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comments51.xml" ContentType="application/vnd.openxmlformats-officedocument.spreadsheetml.comments+xml"/>
  <Override PartName="/xl/comments63.xml" ContentType="application/vnd.openxmlformats-officedocument.spreadsheetml.comments+xml"/>
  <Override PartName="/xl/styles.xml" ContentType="application/vnd.openxmlformats-officedocument.spreadsheetml.styles+xml"/>
  <Override PartName="/xl/worksheets/sheet55.xml" ContentType="application/vnd.openxmlformats-officedocument.spreadsheetml.worksheet+xml"/>
  <Override PartName="/xl/worksheets/sheet54.xml" ContentType="application/vnd.openxmlformats-officedocument.spreadsheetml.worksheet+xml"/>
  <Override PartName="/xl/worksheets/sheet53.xml" ContentType="application/vnd.openxmlformats-officedocument.spreadsheetml.worksheet+xml"/>
  <Override PartName="/xl/worksheets/sheet52.xml" ContentType="application/vnd.openxmlformats-officedocument.spreadsheetml.worksheet+xml"/>
  <Override PartName="/xl/worksheets/sheet51.xml" ContentType="application/vnd.openxmlformats-officedocument.spreadsheetml.worksheet+xml"/>
  <Override PartName="/xl/worksheets/sheet50.xml" ContentType="application/vnd.openxmlformats-officedocument.spreadsheetml.worksheet+xml"/>
  <Override PartName="/xl/worksheets/sheet46.xml" ContentType="application/vnd.openxmlformats-officedocument.spreadsheetml.worksheet+xml"/>
  <Override PartName="/xl/worksheets/sheet45.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49.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48.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26.xml" ContentType="application/vnd.openxmlformats-officedocument.spreadsheetml.worksheet+xml"/>
  <Override PartName="/xl/worksheets/sheet63.xml" ContentType="application/vnd.openxmlformats-officedocument.spreadsheetml.worksheet+xml"/>
  <Override PartName="/xl/worksheets/sheet27.xml" ContentType="application/vnd.openxmlformats-officedocument.spreadsheetml.worksheet+xml"/>
  <Override PartName="/xl/worksheets/sheet64.xml" ContentType="application/vnd.openxmlformats-officedocument.spreadsheetml.worksheet+xml"/>
  <Override PartName="/xl/worksheets/sheet28.xml" ContentType="application/vnd.openxmlformats-officedocument.spreadsheetml.worksheet+xml"/>
  <Override PartName="/xl/worksheets/sheet70.xml" ContentType="application/vnd.openxmlformats-officedocument.spreadsheetml.worksheet+xml"/>
  <Override PartName="/xl/worksheets/sheet65.xml" ContentType="application/vnd.openxmlformats-officedocument.spreadsheetml.worksheet+xml"/>
  <Override PartName="/xl/worksheets/sheet29.xml" ContentType="application/vnd.openxmlformats-officedocument.spreadsheetml.worksheet+xml"/>
  <Override PartName="/xl/worksheets/sheet71.xml" ContentType="application/vnd.openxmlformats-officedocument.spreadsheetml.worksheet+xml"/>
  <Override PartName="/xl/worksheets/_rels/sheet63.xml.rels" ContentType="application/vnd.openxmlformats-package.relationships+xml"/>
  <Override PartName="/xl/worksheets/_rels/sheet33.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49.xml.rels" ContentType="application/vnd.openxmlformats-package.relationships+xml"/>
  <Override PartName="/xl/worksheets/_rels/sheet36.xml.rels" ContentType="application/vnd.openxmlformats-package.relationships+xml"/>
  <Override PartName="/xl/worksheets/_rels/sheet2.xml.rels" ContentType="application/vnd.openxmlformats-package.relationships+xml"/>
  <Override PartName="/xl/worksheets/_rels/sheet48.xml.rels" ContentType="application/vnd.openxmlformats-package.relationships+xml"/>
  <Override PartName="/xl/worksheets/_rels/sheet35.xml.rels" ContentType="application/vnd.openxmlformats-package.relationships+xml"/>
  <Override PartName="/xl/worksheets/_rels/sheet47.xml.rels" ContentType="application/vnd.openxmlformats-package.relationships+xml"/>
  <Override PartName="/xl/worksheets/_rels/sheet51.xml.rels" ContentType="application/vnd.openxmlformats-package.relationships+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89.xml" ContentType="application/vnd.openxmlformats-officedocument.spreadsheetml.worksheet+xml"/>
  <Override PartName="/xl/worksheets/sheet77.xml" ContentType="application/vnd.openxmlformats-officedocument.spreadsheetml.worksheet+xml"/>
  <Override PartName="/xl/worksheets/sheet88.xml" ContentType="application/vnd.openxmlformats-officedocument.spreadsheetml.worksheet+xml"/>
  <Override PartName="/xl/worksheets/sheet76.xml" ContentType="application/vnd.openxmlformats-officedocument.spreadsheetml.worksheet+xml"/>
  <Override PartName="/xl/worksheets/sheet87.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74.xml" ContentType="application/vnd.openxmlformats-officedocument.spreadsheetml.worksheet+xml"/>
  <Override PartName="/xl/worksheets/sheet85.xml" ContentType="application/vnd.openxmlformats-officedocument.spreadsheetml.worksheet+xml"/>
  <Override PartName="/xl/worksheets/sheet73.xml" ContentType="application/vnd.openxmlformats-officedocument.spreadsheetml.worksheet+xml"/>
  <Override PartName="/xl/worksheets/sheet79.xml" ContentType="application/vnd.openxmlformats-officedocument.spreadsheetml.worksheet+xml"/>
  <Override PartName="/xl/worksheets/sheet78.xml" ContentType="application/vnd.openxmlformats-officedocument.spreadsheetml.worksheet+xml"/>
  <Override PartName="/xl/worksheets/sheet72.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4.xml" ContentType="application/vnd.openxmlformats-officedocument.spreadsheetml.worksheet+xml"/>
  <Override PartName="/xl/worksheets/sheet59.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58.xml" ContentType="application/vnd.openxmlformats-officedocument.spreadsheetml.worksheet+xml"/>
  <Override PartName="/xl/worksheets/sheet19.xml" ContentType="application/vnd.openxmlformats-officedocument.spreadsheetml.worksheet+xml"/>
  <Override PartName="/xl/worksheets/sheet84.xml" ContentType="application/vnd.openxmlformats-officedocument.spreadsheetml.worksheet+xml"/>
  <Override PartName="/xl/worksheets/sheet20.xml" ContentType="application/vnd.openxmlformats-officedocument.spreadsheetml.worksheet+xml"/>
  <Override PartName="/xl/worksheets/sheet2.xml" ContentType="application/vnd.openxmlformats-officedocument.spreadsheetml.worksheet+xml"/>
  <Override PartName="/xl/worksheets/sheet57.xml" ContentType="application/vnd.openxmlformats-officedocument.spreadsheetml.worksheet+xml"/>
  <Override PartName="/xl/worksheets/sheet18.xml" ContentType="application/vnd.openxmlformats-officedocument.spreadsheetml.worksheet+xml"/>
  <Override PartName="/xl/worksheets/sheet83.xml" ContentType="application/vnd.openxmlformats-officedocument.spreadsheetml.worksheet+xml"/>
  <Override PartName="/xl/worksheets/sheet82.xml" ContentType="application/vnd.openxmlformats-officedocument.spreadsheetml.worksheet+xml"/>
  <Override PartName="/xl/worksheets/sheet17.xml" ContentType="application/vnd.openxmlformats-officedocument.spreadsheetml.worksheet+xml"/>
  <Override PartName="/xl/worksheets/sheet81.xml" ContentType="application/vnd.openxmlformats-officedocument.spreadsheetml.worksheet+xml"/>
  <Override PartName="/xl/worksheets/sheet16.xml" ContentType="application/vnd.openxmlformats-officedocument.spreadsheetml.worksheet+xml"/>
  <Override PartName="/xl/worksheets/sheet80.xml" ContentType="application/vnd.openxmlformats-officedocument.spreadsheetml.worksheet+xml"/>
  <Override PartName="/xl/worksheets/sheet15.xml" ContentType="application/vnd.openxmlformats-officedocument.spreadsheetml.worksheet+xml"/>
  <Override PartName="/xl/worksheets/sheet9.xml" ContentType="application/vnd.openxmlformats-officedocument.spreadsheetml.worksheet+xml"/>
  <Override PartName="/xl/worksheets/sheet14.xml" ContentType="application/vnd.openxmlformats-officedocument.spreadsheetml.worksheet+xml"/>
  <Override PartName="/xl/worksheets/sheet1.xml" ContentType="application/vnd.openxmlformats-officedocument.spreadsheetml.worksheet+xml"/>
  <Override PartName="/xl/worksheets/sheet5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47.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media/image1.jpeg" ContentType="image/jpeg"/>
  <Override PartName="/xl/media/image5.png" ContentType="image/png"/>
  <Override PartName="/xl/media/image2.png" ContentType="image/png"/>
  <Override PartName="/xl/media/image3.png" ContentType="image/png"/>
  <Override PartName="/xl/media/image4.png" ContentType="image/png"/>
  <Override PartName="/xl/media/image6.png" ContentType="image/png"/>
  <Override PartName="/xl/media/image7.png" ContentType="image/png"/>
  <Override PartName="/xl/media/image8.png" ContentType="image/png"/>
  <Override PartName="/xl/comments2.xml" ContentType="application/vnd.openxmlformats-officedocument.spreadsheetml.comments+xml"/>
  <Override PartName="/xl/drawings/_rels/drawing8.xml.rels" ContentType="application/vnd.openxmlformats-package.relationships+xml"/>
  <Override PartName="/xl/drawings/_rels/drawing7.xml.rels" ContentType="application/vnd.openxmlformats-package.relationships+xml"/>
  <Override PartName="/xl/drawings/_rels/drawing5.xml.rels" ContentType="application/vnd.openxmlformats-package.relationships+xml"/>
  <Override PartName="/xl/drawings/_rels/drawing2.xml.rels" ContentType="application/vnd.openxmlformats-package.relationships+xml"/>
  <Override PartName="/xl/drawings/_rels/drawing4.xml.rels" ContentType="application/vnd.openxmlformats-package.relationships+xml"/>
  <Override PartName="/xl/drawings/_rels/drawing1.xml.rels" ContentType="application/vnd.openxmlformats-package.relationships+xml"/>
  <Override PartName="/xl/drawings/_rels/drawing3.xml.rels" ContentType="application/vnd.openxmlformats-package.relationships+xml"/>
  <Override PartName="/xl/drawings/_rels/drawing6.xml.rels" ContentType="application/vnd.openxmlformats-package.relationships+xml"/>
  <Override PartName="/xl/drawings/drawing1.xml" ContentType="application/vnd.openxmlformats-officedocument.drawing+xml"/>
  <Override PartName="/xl/drawings/vmlDrawing1.vml" ContentType="application/vnd.openxmlformats-officedocument.vmlDrawing"/>
  <Override PartName="/xl/drawings/drawing6.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7.xml" ContentType="application/vnd.openxmlformats-officedocument.drawing+xml"/>
  <Override PartName="/xl/drawings/vmlDrawing2.vml" ContentType="application/vnd.openxmlformats-officedocument.vmlDrawing"/>
  <Override PartName="/xl/drawings/drawing8.xml" ContentType="application/vnd.openxmlformats-officedocument.drawing+xml"/>
  <Override PartName="/xl/drawings/vmlDrawing3.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Инструкция" sheetId="1" state="visible" r:id="rId2"/>
    <sheet name="Титульный" sheetId="2" state="visible" r:id="rId3"/>
    <sheet name="Список территорий" sheetId="3" state="visible" r:id="rId4"/>
    <sheet name="Дифференциация" sheetId="4" state="visible"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visible"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visible" r:id="rId40"/>
    <sheet name="Ограничения" sheetId="40" state="hidden" r:id="rId41"/>
    <sheet name="ИП" sheetId="41" state="visible" r:id="rId42"/>
    <sheet name="ИП. Детализация" sheetId="42" state="visible" r:id="rId43"/>
    <sheet name="ИП. Финансовый план" sheetId="43" state="hidden" r:id="rId44"/>
    <sheet name="ИП. КНЭ" sheetId="44" state="visible"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state="visible"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function="false" hidden="false" name="anscount" vbProcedure="false">1</definedName>
    <definedName function="false" hidden="false" name="BLOCK_BALANCE_INDICATORS" vbProcedure="false">Титульный!$50:$60</definedName>
    <definedName function="false" hidden="false" name="BLOCK_BALANCE_TKO_FLAG_TRANS" vbProcedure="false">Титульный!$61:$62</definedName>
    <definedName function="false" hidden="false" name="BLOCK_CONNECTION_STATE" vbProcedure="false">Титульный!$48:$49</definedName>
    <definedName function="false" hidden="false" name="BLOCK_DIFFERENTIATION_NOT_TKO" vbProcedure="false">Дифференциация!$J:$M</definedName>
    <definedName function="false" hidden="false" name="BLOCK_DIFF_CS" vbProcedure="false">Титульный!$40:$41</definedName>
    <definedName function="false" hidden="false" name="BLOCK_FIRST_TARIFF" vbProcedure="false">Титульный!$20:$24</definedName>
    <definedName function="false" hidden="false" name="BLOCK_FIRST_TARIFF_OREG_PUBL" vbProcedure="false">Титульный!$23:$24</definedName>
    <definedName function="false" hidden="false" name="BLOCK_IP_DETAILED_FACT_IST_FIN" vbProcedure="false">'ИП. Детализация'!$AD:$AE</definedName>
    <definedName function="false" hidden="false" name="BLOCK_IP_DETAILED_FACT_PERIOD_EVENT" vbProcedure="false">'ИП. Детализация'!$AI:$AK</definedName>
    <definedName function="false" hidden="false" name="BLOCK_MAIN_INFO_HEAT" vbProcedure="false">'Общая информация об организации'!$19:$24</definedName>
    <definedName function="false" hidden="false" name="BLOCK_MAIN_INFO_NOT_TKO" vbProcedure="false">'Общая информация об организации'!$46:$49</definedName>
    <definedName function="false" hidden="false" name="BLOCK_MAIN_INFO_OBJECT_COLDVSNA" vbProcedure="false">'Общая информация по ВД'!$X:$Z</definedName>
    <definedName function="false" hidden="false" name="BLOCK_MAIN_INFO_OBJECT_COMM_COLDVSNA" vbProcedure="false">'Общая информация по ВД'!$AG:$AG</definedName>
    <definedName function="false" hidden="false" name="BLOCK_MAIN_INFO_OBJECT_COMM_HEAT" vbProcedure="false">'Общая информация по ВД'!$AE:$AE</definedName>
    <definedName function="false" hidden="false" name="BLOCK_MAIN_INFO_OBJECT_COMM_HOTVSNA" vbProcedure="false">'Общая информация по ВД'!$AH:$AH</definedName>
    <definedName function="false" hidden="false" name="BLOCK_MAIN_INFO_OBJECT_COMM_VOTV" vbProcedure="false">'Общая информация по ВД'!$AF:$AF</definedName>
    <definedName function="false" hidden="false" name="BLOCK_MAIN_INFO_OBJECT_HEAT" vbProcedure="false">'Общая информация по ВД'!$H:$R</definedName>
    <definedName function="false" hidden="false" name="BLOCK_MAIN_INFO_OBJECT_HOTVSNA" vbProcedure="false">'Общая информация по ВД'!$AB:$AC</definedName>
    <definedName function="false" hidden="false" name="BLOCK_MAIN_INFO_OBJECT_VOTV" vbProcedure="false">'Общая информация по ВД'!$T:$V</definedName>
    <definedName function="false" hidden="false" name="BLOCK_NOTE_P_TARIFF_A" vbProcedure="false">'ТС. Т-ТЭ | &gt;=25МВт'!$58:$60</definedName>
    <definedName function="false" hidden="false" name="BLOCK_NOTE_P_TARIFF_A_COLDVSNA" vbProcedure="false">'ХВС. Т-пит'!$54:$55</definedName>
    <definedName function="false" hidden="false" name="BLOCK_NOTE_P_TARIFF_A_HOTVSNA" vbProcedure="false">'ГВС. Т-гор.вода'!$55:$56</definedName>
    <definedName function="false" hidden="false" name="BLOCK_NOTE_P_TARIFF_A_VOTV" vbProcedure="false">'ВО. Т-во'!$54:$55</definedName>
    <definedName function="false" hidden="false" name="BLOCK_NOTE_P_TARIFF_B" vbProcedure="false">'ТС. Т-ТЭ | ТСО'!$58:$60</definedName>
    <definedName function="false" hidden="false" name="BLOCK_NOTE_P_TARIFF_B_COLDVSNA" vbProcedure="false">'ХВС. Т-тех'!$54:$55</definedName>
    <definedName function="false" hidden="false" name="BLOCK_NOTE_P_TARIFF_B_HOTVSNA" vbProcedure="false">'ГВС. Т-транс'!$55:$56</definedName>
    <definedName function="false" hidden="false" name="BLOCK_NOTE_P_TARIFF_B_VOTV" vbProcedure="false">'ВО. Т-транс'!$54:$55</definedName>
    <definedName function="false" hidden="false" name="BLOCK_NOTE_P_TARIFF_C" vbProcedure="false">'ТС. Т-ТН'!$58:$61</definedName>
    <definedName function="false" hidden="false" name="BLOCK_NOTE_P_TARIFF_C_COLDVSNA" vbProcedure="false">'ХВС. Т-транс'!$54:$55</definedName>
    <definedName function="false" hidden="false" name="BLOCK_NOTE_P_TARIFF_C_HOTVSNA" vbProcedure="false">'ГВС. Т-подкл'!$64:$65</definedName>
    <definedName function="false" hidden="false" name="BLOCK_NOTE_P_TARIFF_C_VOTV" vbProcedure="false">'ВО. Т-подкл'!$64:$65</definedName>
    <definedName function="false" hidden="false" name="BLOCK_NOTE_P_TARIFF_D" vbProcedure="false">'ТС. Т-гор.вода'!$66:$68</definedName>
    <definedName function="false" hidden="false" name="BLOCK_NOTE_P_TARIFF_D_COLDVSNA" vbProcedure="false">'ХВС. Т-подвоз'!$54:$55</definedName>
    <definedName function="false" hidden="false" name="BLOCK_NOTE_P_TARIFF_E1" vbProcedure="false">'ТС. Т-передача ТЭ'!$58:$61</definedName>
    <definedName function="false" hidden="false" name="BLOCK_NOTE_P_TARIFF_E2" vbProcedure="false">'ТС. Т-передача ТН'!$58:$61</definedName>
    <definedName function="false" hidden="false" name="BLOCK_NOTE_P_TARIFF_E_COLDVSNA" vbProcedure="false">'ХВС. Т-подкл'!$64:$65</definedName>
    <definedName function="false" hidden="false" name="BLOCK_NOTE_P_TARIFF_F" vbProcedure="false">'ТС. Резерв мощности'!$58:$60</definedName>
    <definedName function="false" hidden="false" name="BLOCK_NOTE_P_TARIFF_G" vbProcedure="false">'ТС. Т-подкл'!$63:$65</definedName>
    <definedName function="false" hidden="false" name="BLOCK_NOTE_P_TARIFF_H" vbProcedure="false">'ТС. Т-подкл(инд)'!$60:$62</definedName>
    <definedName function="false" hidden="false" name="BLOCK_NOTE_P_TARIFF_I" vbProcedure="false">'ТС. Т-ТЭ | предел'!$58:$60</definedName>
    <definedName function="false" hidden="false" name="BLOCK_NOTE_P_TARIFF_I_1" vbProcedure="false">'ТС. Т-ТЭ | индикат'!$58:$60</definedName>
    <definedName function="false" hidden="false" name="BLOCK_NOTE_R_TARIFF_A" vbProcedure="false">'ТС. Т-ТЭ | &gt;=25МВт'!$61:$64</definedName>
    <definedName function="false" hidden="false" name="BLOCK_NOTE_R_TARIFF_A_COLDVSNA" vbProcedure="false">'ХВС. Т-пит'!$56:$57</definedName>
    <definedName function="false" hidden="false" name="BLOCK_NOTE_R_TARIFF_A_HOTVSNA" vbProcedure="false">'ГВС. Т-гор.вода'!$57:$58</definedName>
    <definedName function="false" hidden="false" name="BLOCK_NOTE_R_TARIFF_A_VOTV" vbProcedure="false">'ВО. Т-во'!$56:$57</definedName>
    <definedName function="false" hidden="false" name="BLOCK_NOTE_R_TARIFF_B" vbProcedure="false">'ТС. Т-ТЭ | ТСО'!$61:$64</definedName>
    <definedName function="false" hidden="false" name="BLOCK_NOTE_R_TARIFF_B_COLDVSNA" vbProcedure="false">'ХВС. Т-тех'!$56:$57</definedName>
    <definedName function="false" hidden="false" name="BLOCK_NOTE_R_TARIFF_B_HOTVSNA" vbProcedure="false">'ГВС. Т-транс'!$57:$58</definedName>
    <definedName function="false" hidden="false" name="BLOCK_NOTE_R_TARIFF_B_VOTV" vbProcedure="false">'ВО. Т-транс'!$56:$57</definedName>
    <definedName function="false" hidden="false" name="BLOCK_NOTE_R_TARIFF_C" vbProcedure="false">'ТС. Т-ТН'!$62:$65</definedName>
    <definedName function="false" hidden="false" name="BLOCK_NOTE_R_TARIFF_C_COLDVSNA" vbProcedure="false">'ХВС. Т-транс'!$56:$57</definedName>
    <definedName function="false" hidden="false" name="BLOCK_NOTE_R_TARIFF_C_HOTVSNA" vbProcedure="false">'ГВС. Т-подкл'!$66:$67</definedName>
    <definedName function="false" hidden="false" name="BLOCK_NOTE_R_TARIFF_C_VOTV" vbProcedure="false">'ВО. Т-подкл'!$66:$67</definedName>
    <definedName function="false" hidden="false" name="BLOCK_NOTE_R_TARIFF_D" vbProcedure="false">'ТС. Т-гор.вода'!$69:$71</definedName>
    <definedName function="false" hidden="false" name="BLOCK_NOTE_R_TARIFF_D_COLDVSNA" vbProcedure="false">'ХВС. Т-подвоз'!$56:$57</definedName>
    <definedName function="false" hidden="false" name="BLOCK_NOTE_R_TARIFF_E1" vbProcedure="false">'ТС. Т-передача ТЭ'!$62:$65</definedName>
    <definedName function="false" hidden="false" name="BLOCK_NOTE_R_TARIFF_E2" vbProcedure="false">'ТС. Т-передача ТН'!$62:$65</definedName>
    <definedName function="false" hidden="false" name="BLOCK_NOTE_R_TARIFF_E_COLDVSNA" vbProcedure="false">'ХВС. Т-подкл'!$66:$67</definedName>
    <definedName function="false" hidden="false" name="BLOCK_NOTE_R_TARIFF_F" vbProcedure="false">'ТС. Резерв мощности'!$61:$64</definedName>
    <definedName function="false" hidden="false" name="BLOCK_NOTE_R_TARIFF_G" vbProcedure="false">'ТС. Т-подкл'!$66:$68</definedName>
    <definedName function="false" hidden="false" name="BLOCK_NOTE_R_TARIFF_H" vbProcedure="false">'ТС. Т-подкл(инд)'!$63:$65</definedName>
    <definedName function="false" hidden="false" name="BLOCK_NOTE_R_TARIFF_I" vbProcedure="false">'ТС. Т-ТЭ | предел'!$61:$64</definedName>
    <definedName function="false" hidden="false" name="BLOCK_NOTE_R_TARIFF_I_1" vbProcedure="false">'ТС. Т-ТЭ | индикат'!$61:$64</definedName>
    <definedName function="false" hidden="false" name="BLOCK_NOT_ROIV_INDICATORS_1" vbProcedure="false">Титульный!$37:$37</definedName>
    <definedName function="false" hidden="false" name="BLOCK_NOT_ROIV_INDICATORS_2" vbProcedure="false">Титульный!$38:$39</definedName>
    <definedName function="false" hidden="false" name="BLOCK_NOT_ROIV_INDICATORS_3" vbProcedure="false">Титульный!$63:$65</definedName>
    <definedName function="false" hidden="false" name="BLOCK_PERIOD_DATA" vbProcedure="false">Титульный!$13:$13</definedName>
    <definedName function="false" hidden="false" name="BLOCK_PERIOD_QUARTER" vbProcedure="false">Титульный!$15:$15</definedName>
    <definedName function="false" hidden="false" name="BLOCK_PERIOD_TWO_DATA" vbProcedure="false">Титульный!$11:$12</definedName>
    <definedName function="false" hidden="false" name="BLOCK_PERIOD_YEAR" vbProcedure="false">Титульный!$14:$14</definedName>
    <definedName function="false" hidden="false" name="BLOCK_POK_FHD20_NOT_HEAT" vbProcedure="false">'Показатели ФХД &gt;20%'!$20:$22</definedName>
    <definedName function="false" hidden="false" name="BLOCK_POK_FHD_COLDVSNA_P1" vbProcedure="false">'Показатели ФХД'!$99:$107</definedName>
    <definedName function="false" hidden="false" name="BLOCK_POK_FHD_COLDVSNA_P2" vbProcedure="false">'Показатели ФХД'!$132:$136</definedName>
    <definedName function="false" hidden="false" name="BLOCK_POK_FHD_HEAT_ONLY_REG_ORG_P1" vbProcedure="false">'Показатели ФХД'!$62:$63</definedName>
    <definedName function="false" hidden="false" name="BLOCK_POK_FHD_HEAT_ONLY_REG_ORG_P2" vbProcedure="false">'Показатели ФХД'!$97:$148</definedName>
    <definedName function="false" hidden="false" name="BLOCK_POK_FHD_HEAT_P1" vbProcedure="false">'Показатели ФХД'!$33:$46</definedName>
    <definedName function="false" hidden="false" name="BLOCK_POK_FHD_HEAT_P2" vbProcedure="false">'Показатели ФХД'!$89:$89</definedName>
    <definedName function="false" hidden="false" name="BLOCK_POK_FHD_HEAT_P3" vbProcedure="false">'Показатели ФХД'!$116:$128</definedName>
    <definedName function="false" hidden="false" name="BLOCK_POK_FHD_HEAT_P4" vbProcedure="false">'Показатели ФХД'!$130:$130</definedName>
    <definedName function="false" hidden="false" name="BLOCK_POK_FHD_HEAT_P5" vbProcedure="false">'Показатели ФХД'!$137:$147</definedName>
    <definedName function="false" hidden="false" name="BLOCK_POK_FHD_HEAT_P6" vbProcedure="false">'Показатели ФХД'!$53:$53</definedName>
    <definedName function="false" hidden="false" name="BLOCK_POK_FHD_HOTVSNA_P1" vbProcedure="false">'Показатели ФХД'!$47:$49</definedName>
    <definedName function="false" hidden="false" name="BLOCK_POK_FHD_HOTVSNA_P2" vbProcedure="false">'Показатели ФХД'!$108:$112</definedName>
    <definedName function="false" hidden="false" name="BLOCK_POK_FHD_NOT_HEAT_P1" vbProcedure="false">'Показатели ФХД'!$73:$74</definedName>
    <definedName function="false" hidden="false" name="BLOCK_POK_FHD_NOT_HEAT_P2" vbProcedure="false">'Показатели ФХД'!$97:$97</definedName>
    <definedName function="false" hidden="false" name="BLOCK_POK_FHD_NOT_HOTVSNA" vbProcedure="false">'Показатели ФХД'!$54:$54</definedName>
    <definedName function="false" hidden="false" name="BLOCK_POK_FHD_VOTV_P1" vbProcedure="false">'Показатели ФХД'!$113:$115</definedName>
    <definedName function="false" hidden="false" name="BLOCK_POK_FHD_VSNA" vbProcedure="false">'Показатели ФХД'!$131:$131</definedName>
    <definedName function="false" hidden="false" name="BLOCK_POK_KNE_COLDVSNA" vbProcedure="false">'Показатели КНЭ'!$37:$63</definedName>
    <definedName function="false" hidden="false" name="BLOCK_POK_KNE_HEAT" vbProcedure="false">'Показатели КНЭ'!$13:$35</definedName>
    <definedName function="false" hidden="false" name="BLOCK_POK_KNE_HOTVSNA" vbProcedure="false">'Показатели КНЭ'!$65:$75</definedName>
    <definedName function="false" hidden="false" name="BLOCK_POK_KNE_VOTV" vbProcedure="false">'Показатели КНЭ'!$77:$100</definedName>
    <definedName function="false" hidden="false" name="BLOCK_PRICE_INDICATORS_HEAT" vbProcedure="false">Титульный!$42:$47</definedName>
    <definedName function="false" hidden="false" name="BLOCK_PRICE_INDICATORS_LEVEL" vbProcedure="false">Титульный!$43:$44</definedName>
    <definedName function="false" hidden="false" name="BLOCK_PRICE_IST_TE" vbProcedure="false">'Перечень тарифов'!$S:$V</definedName>
    <definedName function="false" hidden="false" name="BLOCK_PRICE_REQUEST" vbProcedure="false">Титульный!$20:$24</definedName>
    <definedName function="false" hidden="false" name="BLOCK_PT_COLDVSNA" vbProcedure="false">'Перечень тарифов'!$79:$103</definedName>
    <definedName function="false" hidden="false" name="BLOCK_PT_HEAT" vbProcedure="false">'Перечень тарифов'!$13:$77</definedName>
    <definedName function="false" hidden="false" name="BLOCK_PT_HEAT_NOT_R" vbProcedure="false">'Перечень тарифов'!$63:$67</definedName>
    <definedName function="false" hidden="false" name="BLOCK_PT_HEAT_NOT_R_TMP" vbProcedure="false">'Перечень тарифов'!$58:$62</definedName>
    <definedName function="false" hidden="false" name="BLOCK_PT_HEAT_PHEAT" vbProcedure="false">'Перечень тарифов'!$23:$27</definedName>
    <definedName function="false" hidden="false" name="BLOCK_PT_HEAT_PHEAT_HIDDEN_FORMULAS" vbProcedure="false">'Перечень тарифов'!$Z$23:$AQ$23</definedName>
    <definedName function="false" hidden="false" name="BLOCK_PT_HEAT_RHEAT" vbProcedure="false">'Перечень тарифов'!$18:$22</definedName>
    <definedName function="false" hidden="false" name="BLOCK_PT_HEAT_RHEAT_HIDDEN_FORMULAS" vbProcedure="false">'Перечень тарифов'!$Z$18:$AQ$18</definedName>
    <definedName function="false" hidden="false" name="BLOCK_PT_HOTVSNA" vbProcedure="false">'Перечень тарифов'!$105:$119</definedName>
    <definedName function="false" hidden="false" name="BLOCK_PT_VOTV" vbProcedure="false">'Перечень тарифов'!$121:$135</definedName>
    <definedName function="false" hidden="false" name="BLOCK_TABLE_P_TARIFF_A" vbProcedure="false">'ТС. Т-ТЭ | &gt;=25МВт'!$28:$32</definedName>
    <definedName function="false" hidden="false" name="BLOCK_TABLE_P_TARIFF_A_COLDVSNA" vbProcedure="false">'ХВС. Т-пит'!$26:$30</definedName>
    <definedName function="false" hidden="false" name="BLOCK_TABLE_P_TARIFF_A_HOTVSNA" vbProcedure="false">'ГВС. Т-гор.вода'!$26:$30</definedName>
    <definedName function="false" hidden="false" name="BLOCK_TABLE_P_TARIFF_A_VOTV" vbProcedure="false">'ВО. Т-во'!$26:$30</definedName>
    <definedName function="false" hidden="false" name="BLOCK_TABLE_P_TARIFF_B" vbProcedure="false">'ТС. Т-ТЭ | ТСО'!$28:$32</definedName>
    <definedName function="false" hidden="false" name="BLOCK_TABLE_P_TARIFF_B_COLDVSNA" vbProcedure="false">'ХВС. Т-тех'!$26:$30</definedName>
    <definedName function="false" hidden="false" name="BLOCK_TABLE_P_TARIFF_B_HOTVSNA" vbProcedure="false">'ГВС. Т-транс'!$26:$30</definedName>
    <definedName function="false" hidden="false" name="BLOCK_TABLE_P_TARIFF_B_VOTV" vbProcedure="false">'ВО. Т-транс'!$26:$30</definedName>
    <definedName function="false" hidden="false" name="BLOCK_TABLE_P_TARIFF_C" vbProcedure="false">'ТС. Т-ТН'!$28:$32</definedName>
    <definedName function="false" hidden="false" name="BLOCK_TABLE_P_TARIFF_C_COLDVSNA" vbProcedure="false">'ХВС. Т-транс'!$26:$30</definedName>
    <definedName function="false" hidden="false" name="BLOCK_TABLE_P_TARIFF_C_HOTVSNA" vbProcedure="false">'ГВС. Т-подкл'!$30:$34</definedName>
    <definedName function="false" hidden="false" name="BLOCK_TABLE_P_TARIFF_C_VOTV" vbProcedure="false">'ВО. Т-подкл'!$30:$34</definedName>
    <definedName function="false" hidden="false" name="BLOCK_TABLE_P_TARIFF_D" vbProcedure="false">'ТС. Т-гор.вода'!$32:$36</definedName>
    <definedName function="false" hidden="false" name="BLOCK_TABLE_P_TARIFF_D_COLDVSNA" vbProcedure="false">'ХВС. Т-подвоз'!$26:$30</definedName>
    <definedName function="false" hidden="false" name="BLOCK_TABLE_P_TARIFF_E1" vbProcedure="false">'ТС. Т-передача ТЭ'!$28:$32</definedName>
    <definedName function="false" hidden="false" name="BLOCK_TABLE_P_TARIFF_E2" vbProcedure="false">'ТС. Т-передача ТН'!$28:$32</definedName>
    <definedName function="false" hidden="false" name="BLOCK_TABLE_P_TARIFF_E_COLDVSNA" vbProcedure="false">'ХВС. Т-подкл'!$30:$34</definedName>
    <definedName function="false" hidden="false" name="BLOCK_TABLE_P_TARIFF_F" vbProcedure="false">'ТС. Резерв мощности'!$28:$32</definedName>
    <definedName function="false" hidden="false" name="BLOCK_TABLE_P_TARIFF_G" vbProcedure="false">'ТС. Т-подкл'!$29:$33</definedName>
    <definedName function="false" hidden="false" name="BLOCK_TABLE_P_TARIFF_H" vbProcedure="false">'ТС. Т-подкл(инд)'!$26:$30</definedName>
    <definedName function="false" hidden="false" name="BLOCK_TABLE_P_TARIFF_I" vbProcedure="false">'ТС. Т-ТЭ | предел'!$28:$32</definedName>
    <definedName function="false" hidden="false" name="BLOCK_TABLE_P_TARIFF_I_1" vbProcedure="false">'ТС. Т-ТЭ | индикат'!$28:$32</definedName>
    <definedName function="false" hidden="false" name="BLOCK_TABLE_R_TARIFF_A" vbProcedure="false">'ТС. Т-ТЭ | &gt;=25МВт'!$33:$35</definedName>
    <definedName function="false" hidden="false" name="BLOCK_TABLE_R_TARIFF_A_COLDVSNA" vbProcedure="false">'ХВС. Т-пит'!$31:$33</definedName>
    <definedName function="false" hidden="false" name="BLOCK_TABLE_R_TARIFF_A_HOTVSNA" vbProcedure="false">'ГВС. Т-гор.вода'!$31:$33</definedName>
    <definedName function="false" hidden="false" name="BLOCK_TABLE_R_TARIFF_A_VOTV" vbProcedure="false">'ВО. Т-во'!$31:$33</definedName>
    <definedName function="false" hidden="false" name="BLOCK_TABLE_R_TARIFF_B" vbProcedure="false">'ТС. Т-ТЭ | ТСО'!$33:$35</definedName>
    <definedName function="false" hidden="false" name="BLOCK_TABLE_R_TARIFF_B_COLDVSNA" vbProcedure="false">'ХВС. Т-тех'!$31:$33</definedName>
    <definedName function="false" hidden="false" name="BLOCK_TABLE_R_TARIFF_B_HOTVSNA" vbProcedure="false">'ГВС. Т-транс'!$31:$33</definedName>
    <definedName function="false" hidden="false" name="BLOCK_TABLE_R_TARIFF_B_VOTV" vbProcedure="false">'ВО. Т-транс'!$31:$33</definedName>
    <definedName function="false" hidden="false" name="BLOCK_TABLE_R_TARIFF_C" vbProcedure="false">'ТС. Т-ТН'!$33:$35</definedName>
    <definedName function="false" hidden="false" name="BLOCK_TABLE_R_TARIFF_C_COLDVSNA" vbProcedure="false">'ХВС. Т-транс'!$31:$33</definedName>
    <definedName function="false" hidden="false" name="BLOCK_TABLE_R_TARIFF_C_HOTVSNA" vbProcedure="false">'ГВС. Т-подкл'!$35:$37</definedName>
    <definedName function="false" hidden="false" name="BLOCK_TABLE_R_TARIFF_C_VOTV" vbProcedure="false">'ВО. Т-подкл'!$35:$37</definedName>
    <definedName function="false" hidden="false" name="BLOCK_TABLE_R_TARIFF_D" vbProcedure="false">'ТС. Т-гор.вода'!$37:$39</definedName>
    <definedName function="false" hidden="false" name="BLOCK_TABLE_R_TARIFF_D_COLDVSNA" vbProcedure="false">'ХВС. Т-подвоз'!$31:$33</definedName>
    <definedName function="false" hidden="false" name="BLOCK_TABLE_R_TARIFF_E1" vbProcedure="false">'ТС. Т-передача ТЭ'!$33:$35</definedName>
    <definedName function="false" hidden="false" name="BLOCK_TABLE_R_TARIFF_E2" vbProcedure="false">'ТС. Т-передача ТН'!$33:$35</definedName>
    <definedName function="false" hidden="false" name="BLOCK_TABLE_R_TARIFF_E_COLDVSNA" vbProcedure="false">'ХВС. Т-подкл'!$35:$37</definedName>
    <definedName function="false" hidden="false" name="BLOCK_TABLE_R_TARIFF_F" vbProcedure="false">'ТС. Резерв мощности'!$33:$35</definedName>
    <definedName function="false" hidden="false" name="BLOCK_TABLE_R_TARIFF_G" vbProcedure="false">'ТС. Т-подкл'!$34:$36</definedName>
    <definedName function="false" hidden="false" name="BLOCK_TABLE_R_TARIFF_H" vbProcedure="false">'ТС. Т-подкл(инд)'!$31:$33</definedName>
    <definedName function="false" hidden="false" name="BLOCK_TABLE_R_TARIFF_I" vbProcedure="false">'ТС. Т-ТЭ | предел'!$33:$35</definedName>
    <definedName function="false" hidden="false" name="BLOCK_TABLE_R_TARIFF_I_1" vbProcedure="false">'ТС. Т-ТЭ | индикат'!$33:$35</definedName>
    <definedName function="false" hidden="false" name="BLOCK_TEMPLATES_INVEST_TIT" vbProcedure="false">Титульный!$59:$60</definedName>
    <definedName function="false" hidden="false" name="BLOCK_TERMS_HEAT_P1" vbProcedure="false">Договоры!$19:$19</definedName>
    <definedName function="false" hidden="false" name="BLOCK_TERMS_NOT_TKO_P1" vbProcedure="false">Договоры!$16:$18</definedName>
    <definedName function="false" hidden="false" name="BLOCK_TERMS_NOT_TKO_P2" vbProcedure="false">Договоры!$20:$22</definedName>
    <definedName function="false" hidden="false" name="BLOCK_TERMS_TKO_TRANS" vbProcedure="false">Договоры!$23:$26</definedName>
    <definedName function="false" hidden="false" name="BLOCK_TERRITORY_INFO" vbProcedure="false">'Список территорий'!$7:$7</definedName>
    <definedName function="false" hidden="false" name="BLOCK_TITLE_ROIV_INFO" vbProcedure="false">Титульный!$9:$9</definedName>
    <definedName function="false" hidden="false" name="BLOCK_WARM_ORG_TYPE" vbProcedure="false">Титульный!$36:$36</definedName>
    <definedName function="false" hidden="false" name="B_FHD20_ADD_HL_2_COLUMN_MARKER" vbProcedure="false">'Показатели ФХД &gt;20%'!$G$8</definedName>
    <definedName function="false" hidden="false" name="B_FHD20_ADD_HL_3_COLUMN_MARKER" vbProcedure="false">'Показатели ФХД &gt;20%'!$J$8</definedName>
    <definedName function="false" hidden="false" name="B_FHD20_ADD_HL_4_COLUMN_MARKER" vbProcedure="false">'Показатели ФХД &gt;20%'!$N$8</definedName>
    <definedName function="false" hidden="false" name="B_FHD20_ALL_DATA" vbProcedure="false">'Показатели ФХД &gt;20%'!$D$13:$S$50</definedName>
    <definedName function="false" hidden="false" name="B_FHD20_COSTS_OPS_diff_1" vbProcedure="false">'Показатели ФХД &gt;20%'!$Q$17</definedName>
    <definedName function="false" hidden="false" name="B_FHD20_COSTS_PH_diff_1" vbProcedure="false">'Показатели ФХД &gt;20%'!$Q$20</definedName>
    <definedName function="false" hidden="false" name="B_FHD20_DEL_HL_2_COLUMN_MARKER" vbProcedure="false">'Показатели ФХД &gt;20%'!$E$8</definedName>
    <definedName function="false" hidden="false" name="B_FHD20_DEL_HL_3_COLUMN_MARKER" vbProcedure="false">'Показатели ФХД &gt;20%'!$H$8</definedName>
    <definedName function="false" hidden="false" name="B_FHD20_DEL_HL_4_COLUMN_MARKER" vbProcedure="false">'Показатели ФХД &gt;20%'!$L$8</definedName>
    <definedName function="false" hidden="false" name="B_FHD20_diff_1" vbProcedure="false">'Показатели ФХД &gt;20%'!$H$14:$R$16</definedName>
    <definedName function="false" hidden="false" name="B_FHD20_diff_5" vbProcedure="false">'Показатели ФХД &gt;20%'!$H$23:$R$25</definedName>
    <definedName function="false" hidden="false" name="B_FHD20_diff_51" vbProcedure="false">'Показатели ФХД &gt;20%'!$H$32:$R$34</definedName>
    <definedName function="false" hidden="false" name="B_FHD20_diff_511" vbProcedure="false">'Показатели ФХД &gt;20%'!$H$41:$R$43</definedName>
    <definedName function="false" hidden="false" name="B_FHD20_FLAG_FHD" vbProcedure="false">'Показатели ФХД &gt;20%'!$V$11:$V$50</definedName>
    <definedName function="false" hidden="false" name="B_FHD20_NUMBER_COLUMN_MARKER" vbProcedure="false">'Показатели ФХД &gt;20%'!$D$8</definedName>
    <definedName function="false" hidden="false" name="B_FHD20_PART_COLUMN_MARKER" vbProcedure="false">'Показатели ФХД &gt;20%'!$R$8</definedName>
    <definedName function="false" hidden="false" name="B_FHD_CHECK_INDEX_1" vbProcedure="false">'Показатели ФХД'!$O$72</definedName>
    <definedName function="false" hidden="false" name="B_FHD_CHECK_INDEX_2" vbProcedure="false">'Показатели ФХД'!$O$74</definedName>
    <definedName function="false" hidden="false" name="B_FHD_COSTS_INDEX_1" vbProcedure="false">'Показатели ФХД'!$H$71:$M$71</definedName>
    <definedName function="false" hidden="false" name="B_FHD_COSTS_INDEX_2" vbProcedure="false">'Показатели ФХД'!$H$73:$M$73</definedName>
    <definedName function="false" hidden="false" name="B_FHD_DATA_TOP80_ACTIVITY" vbProcedure="false">'Показатели ФХД'!$H$98:$M$98</definedName>
    <definedName function="false" hidden="false" name="B_FHD_diff_1" vbProcedure="false">'Показатели ФХД'!$I$25:$I$27</definedName>
    <definedName function="false" hidden="false" name="B_FHD_diff_5" vbProcedure="false">'Показатели ФХД'!$J$25:$J$27</definedName>
    <definedName function="false" hidden="false" name="B_FHD_diff_51" vbProcedure="false">'Показатели ФХД'!$K$25:$K$27</definedName>
    <definedName function="false" hidden="false" name="B_FHD_diff_511" vbProcedure="false">'Показатели ФХД'!$L$25:$L$27</definedName>
    <definedName function="false" hidden="false" name="B_FHD_FLAG_DIFFERENTIATION" vbProcedure="false">'Показатели ФХД'!$H$24:$M$24</definedName>
    <definedName function="false" hidden="false" name="B_FHD_FLAG_INDEX_1" vbProcedure="false">'Показатели ФХД'!$H$72:$M$72</definedName>
    <definedName function="false" hidden="false" name="B_FHD_FLAG_INDEX_2" vbProcedure="false">'Показатели ФХД'!$H$74:$M$74</definedName>
    <definedName function="false" hidden="false" name="B_FHD_TKO_DATA_TOP80_ACTIVITY" vbProcedure="false">'ТКО. Показатели ФХД'!$H$43:$M$43</definedName>
    <definedName function="false" hidden="false" name="B_FHD_TKO_diff_1" vbProcedure="false">'ТКО. Показатели ФХД'!$I$10:$I$12</definedName>
    <definedName function="false" hidden="false" name="B_FHD_TKO_diff_5" vbProcedure="false">'ТКО. Показатели ФХД'!$J$10:$J$12</definedName>
    <definedName function="false" hidden="false" name="B_FHD_TKO_diff_51" vbProcedure="false">'ТКО. Показатели ФХД'!$K$10:$K$12</definedName>
    <definedName function="false" hidden="false" name="B_FHD_TKO_diff_511" vbProcedure="false">'ТКО. Показатели ФХД'!$L$10:$L$12</definedName>
    <definedName function="false" hidden="false" name="B_FHD_TKO_FLAG_DIFFERENTIATION" vbProcedure="false">'ТКО. Показатели ФХД'!$H$9:$M$9</definedName>
    <definedName function="false" hidden="false" name="B_FHD_TKO_TRANS_DATA_TOP80_ACTIVITY" vbProcedure="false">'ТКО. Транс. Показатели ФХД'!$H$35:$M$35</definedName>
    <definedName function="false" hidden="false" name="B_FHD_TKO_TRANS_diff_1" vbProcedure="false">'ТКО. Транс. Показатели ФХД'!$I$10:$I$12</definedName>
    <definedName function="false" hidden="false" name="B_FHD_TKO_TRANS_diff_5" vbProcedure="false">'ТКО. Транс. Показатели ФХД'!$J$10:$J$12</definedName>
    <definedName function="false" hidden="false" name="B_FHD_TKO_TRANS_diff_51" vbProcedure="false">'ТКО. Транс. Показатели ФХД'!$K$10:$K$12</definedName>
    <definedName function="false" hidden="false" name="B_FHD_TKO_TRANS_diff_511" vbProcedure="false">'ТКО. Транс. Показатели ФХД'!$L$10:$L$12</definedName>
    <definedName function="false" hidden="false" name="B_FHD_TKO_TRANS_FLAG_DIFFERENTIATION" vbProcedure="false">'ТКО. Транс. Показатели ФХД'!$H$9:$M$9</definedName>
    <definedName function="false" hidden="false" name="B_KNE_diff_1" vbProcedure="false">'Показатели КНЭ'!$I$7:$J$9</definedName>
    <definedName function="false" hidden="false" name="B_KNE_diff_5" vbProcedure="false">'Показатели КНЭ'!$K$7:$L$9</definedName>
    <definedName function="false" hidden="false" name="B_KNE_diff_51" vbProcedure="false">'Показатели КНЭ'!$M$7:$N$9</definedName>
    <definedName function="false" hidden="false" name="B_KNE_diff_511" vbProcedure="false">'Показатели КНЭ'!$O$7:$P$9</definedName>
    <definedName function="false" hidden="false" name="B_OTEP_diff_1" vbProcedure="false">'Показатели ОТЭП'!$L$10:$L$12</definedName>
    <definedName function="false" hidden="false" name="B_OTEP_diff_5" vbProcedure="false">'Показатели ОТЭП'!$N$10:$N$12</definedName>
    <definedName function="false" hidden="false" name="B_OTEP_diff_51" vbProcedure="false">'Показатели ОТЭП'!$O$10:$O$12</definedName>
    <definedName function="false" hidden="false" name="B_OTEP_diff_511" vbProcedure="false">'Показатели ОТЭП'!$P$10:$P$12</definedName>
    <definedName function="false" hidden="false" name="B_OTEP_FLAG_DIFFERENTIATION" vbProcedure="false">'Показатели ОТЭП'!$L$9:$R$9</definedName>
    <definedName function="false" hidden="false" name="B_OTEP_HEAT_DATA_TOP80_ACTIVITY" vbProcedure="false">'Показатели ОТЭП'!$L$15:$R$15</definedName>
    <definedName function="false" hidden="false" name="checkCell_List01" vbProcedure="false">'Список территорий'!$E$21:$I$21</definedName>
    <definedName function="false" hidden="false" name="checkCell_List07" vbProcedure="false">'Сведения об изменении'!$D$11:$E$13</definedName>
    <definedName function="false" hidden="false" name="CLASS_TKO_LIST" vbProcedure="false">TEHSHEET!$AZ$90:$AZ$94</definedName>
    <definedName function="false" hidden="false" name="code" vbProcedure="false">Инструкция!$B$2</definedName>
    <definedName function="false" hidden="false" name="CodeTemplateList" vbProcedure="false">TEHSHEET!$F$46:$F$53</definedName>
    <definedName function="false" hidden="false" name="COLDVSNA_FIN_SRC_LIST" vbProcedure="false">TEHSHEET!$BJ$4:$BJ$34</definedName>
    <definedName function="false" hidden="false" name="COLDVSNA_FIN_SRC_VLD_LIST" vbProcedure="false">TEHSHEET!$BJ$39:$BJ$60</definedName>
    <definedName function="false" hidden="false" name="COLDVSNA_IP_EVENT_CI_STAGE_LIST" vbProcedure="false">TEHSHEET!$BJ$97:$BJ$100</definedName>
    <definedName function="false" hidden="false" name="COLDVSNA_IP_EVENT_GROUP_LIST" vbProcedure="false">TEHSHEET!$BJ$69:$BJ$76</definedName>
    <definedName function="false" hidden="false" name="COLDVSNA_IP_EVENT_SUBGROUP_1_LIST" vbProcedure="false">TEHSHEET!$BJ$80:$BJ$83</definedName>
    <definedName function="false" hidden="false" name="COLDVSNA_IP_EVENT_SUBGROUP_3_LIST" vbProcedure="false">TEHSHEET!$BJ$87:$BJ$88</definedName>
    <definedName function="false" hidden="false" name="COLDVSNA_IP_EVENT_SUBGROUP_5_LIST" vbProcedure="false">TEHSHEET!$BJ$92:$BJ$93</definedName>
    <definedName function="false" hidden="false" name="COLDVSNA_IP_EVENT_TYPE_LIST" vbProcedure="false">TEHSHEET!$BJ$108</definedName>
    <definedName function="false" hidden="false" name="COLDVSNA_PT_VED_ID" vbProcedure="false">TEHSHEET!$BT$19:$BT$25</definedName>
    <definedName function="false" hidden="false" name="COLDVSNA_PT_VED_NAME" vbProcedure="false">TEHSHEET!$BU$19:$BU$25</definedName>
    <definedName function="false" hidden="false" name="COLDVSNA_PT_VED_NAME_LIST" vbProcedure="false">TEHSHEET!$BT$19:$BU$25</definedName>
    <definedName function="false" hidden="false" name="COLDVSNA_TARIFF_A_COLDVSNA_ADD_HL_COLUMN_MARKER" vbProcedure="false">'ХВС. Т-пит'!$T$34</definedName>
    <definedName function="false" hidden="false" name="COLDVSNA_TARIFF_A_COLDVSNA_DELETE_PERIOD_ROW_MARKER" vbProcedure="false">'ХВС. Т-пит'!$O$35</definedName>
    <definedName function="false" hidden="false" name="COLDVSNA_TARIFF_A_COLDVSNA_DEL_HL_DATA_DIFF_COLUMN_MARKER" vbProcedure="false">'ХВС. Т-пит'!$R$34</definedName>
    <definedName function="false" hidden="false" name="COLDVSNA_TARIFF_A_COLDVSNA_DEL_HL_FLAG_DIFF_COLUMN_MARKER" vbProcedure="false">'ХВС. Т-пит'!$P$34</definedName>
    <definedName function="false" hidden="false" name="COLDVSNA_TARIFF_A_COLDVSNA_DEL_HL_GC_COLUMN_MARKER" vbProcedure="false">'ХВС. Т-пит'!$Q$34</definedName>
    <definedName function="false" hidden="false" name="COLDVSNA_TARIFF_A_COLDVSNA_FLAG_BLOCK_COLUMN_MARKER" vbProcedure="false">'ХВС. Т-пит'!$L$36</definedName>
    <definedName function="false" hidden="false" name="COLDVSNA_TARIFF_A_COLDVSNA_FLAG_BLOCK_ROW_MARKER" vbProcedure="false">'ХВС. Т-пит'!$O$20</definedName>
    <definedName function="false" hidden="false" name="COLDVSNA_TARIFF_A_COLDVSNA_NUM_CS_COLUMN_MARKER" vbProcedure="false">'ХВС. Т-пит'!$G$36</definedName>
    <definedName function="false" hidden="false" name="COLDVSNA_TARIFF_A_COLDVSNA_NUM_DATA_DIFF_COLUMN_MARKER" vbProcedure="false">'ХВС. Т-пит'!$K$36</definedName>
    <definedName function="false" hidden="false" name="COLDVSNA_TARIFF_A_COLDVSNA_NUM_FLAG_DIFF_COLUMN_MARKER" vbProcedure="false">'ХВС. Т-пит'!$I$36</definedName>
    <definedName function="false" hidden="false" name="COLDVSNA_TARIFF_A_COLDVSNA_NUM_GC_COLUMN_MARKER" vbProcedure="false">'ХВС. Т-пит'!$J$36</definedName>
    <definedName function="false" hidden="false" name="COLDVSNA_TARIFF_A_COLDVSNA_NUM_NTAR_COLUMN_MARKER" vbProcedure="false">'ХВС. Т-пит'!$E$36</definedName>
    <definedName function="false" hidden="false" name="COLDVSNA_TARIFF_A_COLDVSNA_NUM_TER_COLUMN_MARKER" vbProcedure="false">'ХВС. Т-пит'!$F$36</definedName>
    <definedName function="false" hidden="false" name="COLDVSNA_TARIFF_B_COLDVSNA_ADD_HL_COLUMN_MARKER" vbProcedure="false">'ХВС. Т-тех'!$T$34</definedName>
    <definedName function="false" hidden="false" name="COLDVSNA_TARIFF_B_COLDVSNA_DELETE_PERIOD_ROW_MARKER" vbProcedure="false">'ХВС. Т-тех'!$O$35</definedName>
    <definedName function="false" hidden="false" name="COLDVSNA_TARIFF_B_COLDVSNA_DEL_HL_DATA_DIFF_COLUMN_MARKER" vbProcedure="false">'ХВС. Т-тех'!$R$34</definedName>
    <definedName function="false" hidden="false" name="COLDVSNA_TARIFF_B_COLDVSNA_DEL_HL_FLAG_DIFF_COLUMN_MARKER" vbProcedure="false">'ХВС. Т-тех'!$P$34</definedName>
    <definedName function="false" hidden="false" name="COLDVSNA_TARIFF_B_COLDVSNA_DEL_HL_GC_COLUMN_MARKER" vbProcedure="false">'ХВС. Т-тех'!$Q$34</definedName>
    <definedName function="false" hidden="false" name="COLDVSNA_TARIFF_B_COLDVSNA_FLAG_BLOCK_COLUMN_MARKER" vbProcedure="false">'ХВС. Т-тех'!$L$36</definedName>
    <definedName function="false" hidden="false" name="COLDVSNA_TARIFF_B_COLDVSNA_FLAG_BLOCK_ROW_MARKER" vbProcedure="false">'ХВС. Т-тех'!$O$20</definedName>
    <definedName function="false" hidden="false" name="COLDVSNA_TARIFF_B_COLDVSNA_NUM_CS_COLUMN_MARKER" vbProcedure="false">'ХВС. Т-тех'!$G$36</definedName>
    <definedName function="false" hidden="false" name="COLDVSNA_TARIFF_B_COLDVSNA_NUM_DATA_DIFF_COLUMN_MARKER" vbProcedure="false">'ХВС. Т-тех'!$K$36</definedName>
    <definedName function="false" hidden="false" name="COLDVSNA_TARIFF_B_COLDVSNA_NUM_FLAG_DIFF_COLUMN_MARKER" vbProcedure="false">'ХВС. Т-тех'!$I$36</definedName>
    <definedName function="false" hidden="false" name="COLDVSNA_TARIFF_B_COLDVSNA_NUM_GC_COLUMN_MARKER" vbProcedure="false">'ХВС. Т-тех'!$J$36</definedName>
    <definedName function="false" hidden="false" name="COLDVSNA_TARIFF_B_COLDVSNA_NUM_NTAR_COLUMN_MARKER" vbProcedure="false">'ХВС. Т-тех'!$E$36</definedName>
    <definedName function="false" hidden="false" name="COLDVSNA_TARIFF_B_COLDVSNA_NUM_TER_COLUMN_MARKER" vbProcedure="false">'ХВС. Т-тех'!$F$36</definedName>
    <definedName function="false" hidden="false" name="COLDVSNA_TARIFF_C_COLDVSNA_ADD_HL_COLUMN_MARKER" vbProcedure="false">'ХВС. Т-транс'!$T$34</definedName>
    <definedName function="false" hidden="false" name="COLDVSNA_TARIFF_C_COLDVSNA_DELETE_PERIOD_ROW_MARKER" vbProcedure="false">'ХВС. Т-транс'!$O$35</definedName>
    <definedName function="false" hidden="false" name="COLDVSNA_TARIFF_C_COLDVSNA_DEL_HL_DATA_DIFF_COLUMN_MARKER" vbProcedure="false">'ХВС. Т-транс'!$R$34</definedName>
    <definedName function="false" hidden="false" name="COLDVSNA_TARIFF_C_COLDVSNA_DEL_HL_FLAG_DIFF_COLUMN_MARKER" vbProcedure="false">'ХВС. Т-транс'!$P$34</definedName>
    <definedName function="false" hidden="false" name="COLDVSNA_TARIFF_C_COLDVSNA_DEL_HL_GC_COLUMN_MARKER" vbProcedure="false">'ХВС. Т-транс'!$Q$34</definedName>
    <definedName function="false" hidden="false" name="COLDVSNA_TARIFF_C_COLDVSNA_FLAG_BLOCK_COLUMN_MARKER" vbProcedure="false">'ХВС. Т-транс'!$L$36</definedName>
    <definedName function="false" hidden="false" name="COLDVSNA_TARIFF_C_COLDVSNA_FLAG_BLOCK_ROW_MARKER" vbProcedure="false">'ХВС. Т-транс'!$O$20</definedName>
    <definedName function="false" hidden="false" name="COLDVSNA_TARIFF_C_COLDVSNA_NUM_CS_COLUMN_MARKER" vbProcedure="false">'ХВС. Т-транс'!$G$36</definedName>
    <definedName function="false" hidden="false" name="COLDVSNA_TARIFF_C_COLDVSNA_NUM_DATA_DIFF_COLUMN_MARKER" vbProcedure="false">'ХВС. Т-транс'!$K$36</definedName>
    <definedName function="false" hidden="false" name="COLDVSNA_TARIFF_C_COLDVSNA_NUM_FLAG_DIFF_COLUMN_MARKER" vbProcedure="false">'ХВС. Т-транс'!$I$36</definedName>
    <definedName function="false" hidden="false" name="COLDVSNA_TARIFF_C_COLDVSNA_NUM_GC_COLUMN_MARKER" vbProcedure="false">'ХВС. Т-транс'!$J$36</definedName>
    <definedName function="false" hidden="false" name="COLDVSNA_TARIFF_C_COLDVSNA_NUM_NTAR_COLUMN_MARKER" vbProcedure="false">'ХВС. Т-транс'!$E$36</definedName>
    <definedName function="false" hidden="false" name="COLDVSNA_TARIFF_C_COLDVSNA_NUM_TER_COLUMN_MARKER" vbProcedure="false">'ХВС. Т-транс'!$F$36</definedName>
    <definedName function="false" hidden="false" name="COLDVSNA_TARIFF_D_COLDVSNA_ADD_HL_COLUMN_MARKER" vbProcedure="false">'ХВС. Т-подвоз'!$T$34</definedName>
    <definedName function="false" hidden="false" name="COLDVSNA_TARIFF_D_COLDVSNA_DELETE_PERIOD_ROW_MARKER" vbProcedure="false">'ХВС. Т-подвоз'!$O$35</definedName>
    <definedName function="false" hidden="false" name="COLDVSNA_TARIFF_D_COLDVSNA_DEL_HL_DATA_DIFF_COLUMN_MARKER" vbProcedure="false">'ХВС. Т-подвоз'!$R$34</definedName>
    <definedName function="false" hidden="false" name="COLDVSNA_TARIFF_D_COLDVSNA_DEL_HL_FLAG_DIFF_COLUMN_MARKER" vbProcedure="false">'ХВС. Т-подвоз'!$P$34</definedName>
    <definedName function="false" hidden="false" name="COLDVSNA_TARIFF_D_COLDVSNA_DEL_HL_GC_COLUMN_MARKER" vbProcedure="false">'ХВС. Т-подвоз'!$Q$34</definedName>
    <definedName function="false" hidden="false" name="COLDVSNA_TARIFF_D_COLDVSNA_FLAG_BLOCK_COLUMN_MARKER" vbProcedure="false">'ХВС. Т-подвоз'!$L$36</definedName>
    <definedName function="false" hidden="false" name="COLDVSNA_TARIFF_D_COLDVSNA_FLAG_BLOCK_ROW_MARKER" vbProcedure="false">'ХВС. Т-подвоз'!$O$20</definedName>
    <definedName function="false" hidden="false" name="COLDVSNA_TARIFF_D_COLDVSNA_NUM_CS_COLUMN_MARKER" vbProcedure="false">'ХВС. Т-подвоз'!$G$36</definedName>
    <definedName function="false" hidden="false" name="COLDVSNA_TARIFF_D_COLDVSNA_NUM_DATA_DIFF_COLUMN_MARKER" vbProcedure="false">'ХВС. Т-подвоз'!$K$36</definedName>
    <definedName function="false" hidden="false" name="COLDVSNA_TARIFF_D_COLDVSNA_NUM_FLAG_DIFF_COLUMN_MARKER" vbProcedure="false">'ХВС. Т-подвоз'!$I$36</definedName>
    <definedName function="false" hidden="false" name="COLDVSNA_TARIFF_D_COLDVSNA_NUM_GC_COLUMN_MARKER" vbProcedure="false">'ХВС. Т-подвоз'!$J$36</definedName>
    <definedName function="false" hidden="false" name="COLDVSNA_TARIFF_D_COLDVSNA_NUM_NTAR_COLUMN_MARKER" vbProcedure="false">'ХВС. Т-подвоз'!$E$36</definedName>
    <definedName function="false" hidden="false" name="COLDVSNA_TARIFF_D_COLDVSNA_NUM_TER_COLUMN_MARKER" vbProcedure="false">'ХВС. Т-подвоз'!$F$36</definedName>
    <definedName function="false" hidden="false" name="COLDVSNA_TARIFF_E_COLDVSNA_ADD_HL_COLUMN_MARKER" vbProcedure="false">'ХВС. Т-подкл'!$T$38</definedName>
    <definedName function="false" hidden="false" name="COLDVSNA_TARIFF_E_COLDVSNA_ADD_HL_DIAMETERS_COLUMN_MARKER" vbProcedure="false">'ХВС. Т-подкл'!$AK$38</definedName>
    <definedName function="false" hidden="false" name="COLDVSNA_TARIFF_E_COLDVSNA_ADD_HL_LEN_COLUMN_MARKER" vbProcedure="false">'ХВС. Т-подкл'!$AO$38</definedName>
    <definedName function="false" hidden="false" name="COLDVSNA_TARIFF_E_COLDVSNA_ADD_HL_LOAD_COLUMN_MARKER" vbProcedure="false">'ХВС. Т-подкл'!$AG$38</definedName>
    <definedName function="false" hidden="false" name="COLDVSNA_TARIFF_E_COLDVSNA_ADD_HL_NETS_COLUMN_MARKER" vbProcedure="false">'ХВС. Т-подкл'!$AS$38</definedName>
    <definedName function="false" hidden="false" name="COLDVSNA_TARIFF_E_COLDVSNA_DELETE_PERIOD_ROW_MARKER" vbProcedure="false">'ХВС. Т-подкл'!$O$39</definedName>
    <definedName function="false" hidden="false" name="COLDVSNA_TARIFF_E_COLDVSNA_DEL_HL_DATA_DIFF_COLUMN_MARKER" vbProcedure="false">'ХВС. Т-подкл'!$R$38</definedName>
    <definedName function="false" hidden="false" name="COLDVSNA_TARIFF_E_COLDVSNA_DEL_HL_DIAMETERS_COLUMN_MARKER" vbProcedure="false">'ХВС. Т-подкл'!$AI$38</definedName>
    <definedName function="false" hidden="false" name="COLDVSNA_TARIFF_E_COLDVSNA_DEL_HL_FLAG_DIFF_COLUMN_MARKER" vbProcedure="false">'ХВС. Т-подкл'!$P$38</definedName>
    <definedName function="false" hidden="false" name="COLDVSNA_TARIFF_E_COLDVSNA_DEL_HL_GC_COLUMN_MARKER" vbProcedure="false">'ХВС. Т-подкл'!$Q$38</definedName>
    <definedName function="false" hidden="false" name="COLDVSNA_TARIFF_E_COLDVSNA_DEL_HL_LEN_COLUMN_MARKER" vbProcedure="false">'ХВС. Т-подкл'!$AM$38</definedName>
    <definedName function="false" hidden="false" name="COLDVSNA_TARIFF_E_COLDVSNA_DEL_HL_LOAD_COLUMN_MARKER" vbProcedure="false">'ХВС. Т-подкл'!$AE$38</definedName>
    <definedName function="false" hidden="false" name="COLDVSNA_TARIFF_E_COLDVSNA_DEL_HL_NETS_COLUMN_MARKER" vbProcedure="false">'ХВС. Т-подкл'!$AQ$38</definedName>
    <definedName function="false" hidden="false" name="COLDVSNA_TARIFF_E_COLDVSNA_FLAG_BLOCK_COLUMN_MARKER" vbProcedure="false">'ХВС. Т-подкл'!$L$44</definedName>
    <definedName function="false" hidden="false" name="COLDVSNA_TARIFF_E_COLDVSNA_FLAG_BLOCK_ROW_MARKER" vbProcedure="false">'ХВС. Т-подкл'!$O$24</definedName>
    <definedName function="false" hidden="false" name="COLDVSNA_TARIFF_E_COLDVSNA_NUM_CS_COLUMN_MARKER" vbProcedure="false">'ХВС. Т-подкл'!$G$44</definedName>
    <definedName function="false" hidden="false" name="COLDVSNA_TARIFF_E_COLDVSNA_NUM_DATA_DIFF_COLUMN_MARKER" vbProcedure="false">'ХВС. Т-подкл'!$K$44</definedName>
    <definedName function="false" hidden="false" name="COLDVSNA_TARIFF_E_COLDVSNA_NUM_DIAMETERS_COLUMN_MARKER" vbProcedure="false">'ХВС. Т-подкл'!$AJ$38</definedName>
    <definedName function="false" hidden="false" name="COLDVSNA_TARIFF_E_COLDVSNA_NUM_FLAG_DIFF_COLUMN_MARKER" vbProcedure="false">'ХВС. Т-подкл'!$I$44</definedName>
    <definedName function="false" hidden="false" name="COLDVSNA_TARIFF_E_COLDVSNA_NUM_GC_COLUMN_MARKER" vbProcedure="false">'ХВС. Т-подкл'!$J$44</definedName>
    <definedName function="false" hidden="false" name="COLDVSNA_TARIFF_E_COLDVSNA_NUM_LEN_COLUMN_MARKER" vbProcedure="false">'ХВС. Т-подкл'!$AN$38</definedName>
    <definedName function="false" hidden="false" name="COLDVSNA_TARIFF_E_COLDVSNA_NUM_LOAD_COLUMN_MARKER" vbProcedure="false">'ХВС. Т-подкл'!$AF$38</definedName>
    <definedName function="false" hidden="false" name="COLDVSNA_TARIFF_E_COLDVSNA_NUM_NETS_COLUMN_MARKER" vbProcedure="false">'ХВС. Т-подкл'!$AR$38</definedName>
    <definedName function="false" hidden="false" name="COLDVSNA_TARIFF_E_COLDVSNA_NUM_NTAR_COLUMN_MARKER" vbProcedure="false">'ХВС. Т-подкл'!$E$44</definedName>
    <definedName function="false" hidden="false" name="COLDVSNA_TARIFF_E_COLDVSNA_NUM_TER_COLUMN_MARKER" vbProcedure="false">'ХВС. Т-подкл'!$F$44</definedName>
    <definedName function="false" hidden="false" name="cross_without_borders" vbProcedure="false">TEHSHEET!$J$27</definedName>
    <definedName function="false" hidden="false" name="CS_ID" vbProcedure="false">TEHSHEET!$E$63</definedName>
    <definedName function="false" hidden="false" name="CURRENT_DATE" vbProcedure="false">TEHSHEET!$H$29</definedName>
    <definedName function="false" hidden="false" name="CURRENT_YEAR" vbProcedure="false">TEHSHEET!$G$44</definedName>
    <definedName function="false" hidden="false" name="DATA_URL" vbProcedure="false">TEHSHEET!$H$32</definedName>
    <definedName function="false" hidden="false" name="DESCRIPTION_TERRITORY" vbProcedure="false">REESTR_DS!$B$2:$B$4</definedName>
    <definedName function="false" hidden="false" name="DIFFERENTIATION_AREA" vbProcedure="false">Дифференциация!$I$12:$I$23</definedName>
    <definedName function="false" hidden="false" name="DIFFERENTIATION_AREA_ID" vbProcedure="false">Дифференциация!$U$11:$U$24</definedName>
    <definedName function="false" hidden="false" name="DIFFERENTIATION_CheckC" vbProcedure="false">Дифференциация!$D$12:$M$23</definedName>
    <definedName function="false" hidden="false" name="DIFFERENTIATION_fieldMarker" vbProcedure="false">Дифференциация!$W$12:$W$23</definedName>
    <definedName function="false" hidden="false" name="DIFFERENTIATION_ID" vbProcedure="false">TEHSHEET!$E$57</definedName>
    <definedName function="false" hidden="false" name="DIFFERENTIATION_ID_DIFF" vbProcedure="false">Дифференциация!$O$12:$O$23</definedName>
    <definedName function="false" hidden="false" name="DIFFERENTIATION_SYSTEM" vbProcedure="false">Дифференциация!$M$12:$M$23</definedName>
    <definedName function="false" hidden="false" name="DIFFERENTIATION_TARIFF_AREA_ID" vbProcedure="false">'Перечень тарифов'!$Z$12:$Z$137</definedName>
    <definedName function="false" hidden="false" name="DIFFERENTIATION_TARIFF_VD_ID" vbProcedure="false">'Перечень тарифов'!$AB$12:$AB$137</definedName>
    <definedName function="false" hidden="false" name="DIFFERENTIATION_TARIFF_VTAR_ID" vbProcedure="false">'Перечень тарифов'!$AA$12:$AA$137</definedName>
    <definedName function="false" hidden="false" name="DIFFERENTIATION_TKO_ADD_HL_CLASS_TKO_COLUMN_MARKER" vbProcedure="false">'Дифференциация тариф показатель'!$AH$7</definedName>
    <definedName function="false" hidden="false" name="DIFFERENTIATION_TKO_ADD_HL_NTAR_COLUMN_MARKER" vbProcedure="false">'Дифференциация тариф показатель'!$J$7</definedName>
    <definedName function="false" hidden="false" name="DIFFERENTIATION_TKO_ADD_HL_TER_COLUMN_MARKER" vbProcedure="false">'Дифференциация тариф показатель'!$V$7</definedName>
    <definedName function="false" hidden="false" name="DIFFERENTIATION_TKO_ADD_HL_TO_COLUMN_MARKER" vbProcedure="false">'Дифференциация тариф показатель'!$P$7</definedName>
    <definedName function="false" hidden="false" name="DIFFERENTIATION_TKO_ADD_HL_TYPE_TKO_COLUMN_MARKER" vbProcedure="false">'Дифференциация тариф показатель'!$AB$7</definedName>
    <definedName function="false" hidden="false" name="DIFFERENTIATION_TKO_ADD_HL_VTAR_COLUMN_MARKER" vbProcedure="false">'Дифференциация тариф показатель'!$F$7</definedName>
    <definedName function="false" hidden="false" name="DIFFERENTIATION_TKO_AREA_ID" vbProcedure="false">'Дифференциация тариф показатель'!$AK$11:$AK$41</definedName>
    <definedName function="false" hidden="false" name="DIFFERENTIATION_TKO_DEL_HL_CLASS_TKO_COLUMN_MARKER" vbProcedure="false">'Дифференциация тариф показатель'!$AF$7</definedName>
    <definedName function="false" hidden="false" name="DIFFERENTIATION_TKO_DEL_HL_NTAR_COLUMN_MARKER" vbProcedure="false">'Дифференциация тариф показатель'!$H$7</definedName>
    <definedName function="false" hidden="false" name="DIFFERENTIATION_TKO_DEL_HL_TER_COLUMN_MARKER" vbProcedure="false">'Дифференциация тариф показатель'!$T$7</definedName>
    <definedName function="false" hidden="false" name="DIFFERENTIATION_TKO_DEL_HL_TO_COLUMN_MARKER" vbProcedure="false">'Дифференциация тариф показатель'!$N$7</definedName>
    <definedName function="false" hidden="false" name="DIFFERENTIATION_TKO_DEL_HL_TYPE_TKO_COLUMN_MARKER" vbProcedure="false">'Дифференциация тариф показатель'!$Z$7</definedName>
    <definedName function="false" hidden="false" name="DIFFERENTIATION_TKO_FLAG_DIFF_CLASS_TKO_ETC_COLUMN_MARKER" vbProcedure="false">'Дифференциация тариф показатель'!$AE$7</definedName>
    <definedName function="false" hidden="false" name="DIFFERENTIATION_TKO_FLAG_DIFF_CLASS_TKO_TARIFF_COLUMN_MARKER" vbProcedure="false">'Дифференциация тариф показатель'!$AD$7</definedName>
    <definedName function="false" hidden="false" name="DIFFERENTIATION_TKO_FLAG_DIFF_TER_ETC_COLUMN_MARKER" vbProcedure="false">'Дифференциация тариф показатель'!$S$7</definedName>
    <definedName function="false" hidden="false" name="DIFFERENTIATION_TKO_FLAG_DIFF_TER_TARIFF_COLUMN_MARKER" vbProcedure="false">'Дифференциация тариф показатель'!$R$7</definedName>
    <definedName function="false" hidden="false" name="DIFFERENTIATION_TKO_FLAG_DIFF_TO_ETC_COLUMN_MARKER" vbProcedure="false">'Дифференциация тариф показатель'!$M$7</definedName>
    <definedName function="false" hidden="false" name="DIFFERENTIATION_TKO_FLAG_DIFF_TO_TARIFF_COLUMN_MARKER" vbProcedure="false">'Дифференциация тариф показатель'!$L$7</definedName>
    <definedName function="false" hidden="false" name="DIFFERENTIATION_TKO_FLAG_DIFF_TYPE_TKO_ETC_COLUMN_MARKER" vbProcedure="false">'Дифференциация тариф показатель'!$Y$7</definedName>
    <definedName function="false" hidden="false" name="DIFFERENTIATION_TKO_FLAG_DIFF_TYPE_TKO_TARIFF_COLUMN_MARKER" vbProcedure="false">'Дифференциация тариф показатель'!$X$7</definedName>
    <definedName function="false" hidden="false" name="DIFFERENTIATION_TKO_FLAG_VTAR_COLUMN_MARKER" vbProcedure="false">'Дифференциация тариф показатель'!$G$7</definedName>
    <definedName function="false" hidden="false" name="DIFFERENTIATION_TKO_TER_ID" vbProcedure="false">'Дифференциация тариф показатель'!$AL$11:$AL$41</definedName>
    <definedName function="false" hidden="false" name="DIFFERENTIATION_UNMERGE_AREA" vbProcedure="false">Дифференциация!$Q$12:$Q$23</definedName>
    <definedName function="false" hidden="false" name="DIFFERENTIATION_UNMERGE_SYSTEM" vbProcedure="false">Дифференциация!$R$12:$R$23</definedName>
    <definedName function="false" hidden="false" name="DIFFERENTIATION_UNMERGE_VD" vbProcedure="false">Дифференциация!$P$12:$P$23</definedName>
    <definedName function="false" hidden="false" name="DIFFERENTIATION_VD" vbProcedure="false">Дифференциация!$E$12:$E$23</definedName>
    <definedName function="false" hidden="false" name="DIFFERENTIATION_VD_ID" vbProcedure="false">Дифференциация!$V$11:$V$24</definedName>
    <definedName function="false" hidden="false" name="ED_DATE" vbProcedure="false">ЭД!$G$12:$G$13</definedName>
    <definedName function="false" hidden="false" name="ED_DATE_PARKING" vbProcedure="false">ЭД!$I$5</definedName>
    <definedName function="false" hidden="false" name="ED_LINK" vbProcedure="false">ЭД!$H$12:$H$13</definedName>
    <definedName function="false" hidden="false" name="EndDateList" vbProcedure="false">TEHSHEET!$H$46:$H$53</definedName>
    <definedName function="false" hidden="false" name="et_B_FHD20_1" vbProcedure="false">et_union_hor!$127:$135</definedName>
    <definedName function="false" hidden="false" name="et_B_FHD20_1_HEAT" vbProcedure="false">et_union_hor!$127:$135</definedName>
    <definedName function="false" hidden="false" name="et_B_FHD20_1_NOT_HEAT" vbProcedure="false">et_union_hor!$115:$123</definedName>
    <definedName function="false" hidden="false" name="et_B_FHD20_2" vbProcedure="false">et_union_hor!$139:$142</definedName>
    <definedName function="false" hidden="false" name="et_B_FHD20_3" vbProcedure="false">et_union_hor!$147:$148</definedName>
    <definedName function="false" hidden="false" name="et_B_FHD20_4" vbProcedure="false">et_union_hor!$150:$150</definedName>
    <definedName function="false" hidden="false" name="et_B_STANDARTS" vbProcedure="false">'Стандарты качества'!$2:$2</definedName>
    <definedName function="false" hidden="false" name="et_CHANGE_INFO" vbProcedure="false">et_union_hor!$4:$4</definedName>
    <definedName function="false" hidden="false" name="et_COLDVSNA_TARIFF_A_COLDVSNA_CS" vbProcedure="false">'ХВС. Т-пит'!$4:$11</definedName>
    <definedName function="false" hidden="false" name="et_COLDVSNA_TARIFF_A_COLDVSNA_DATA_DIFF" vbProcedure="false">'ХВС. Т-пит'!$7:$8</definedName>
    <definedName function="false" hidden="false" name="et_COLDVSNA_TARIFF_A_COLDVSNA_FLAG_DIFF" vbProcedure="false">'ХВС. Т-пит'!$5:$10</definedName>
    <definedName function="false" hidden="false" name="et_COLDVSNA_TARIFF_A_COLDVSNA_GC" vbProcedure="false">'ХВС. Т-пит'!$6:$9</definedName>
    <definedName function="false" hidden="false" name="et_COLDVSNA_TARIFF_A_COLDVSNA_NTAR" vbProcedure="false">'ХВС. Т-пит'!$2:$13</definedName>
    <definedName function="false" hidden="false" name="et_COLDVSNA_TARIFF_A_COLDVSNA_PERIOD_COLOR" vbProcedure="false">'ХВС. Т-пит'!$AC$7:$AI$8</definedName>
    <definedName function="false" hidden="false" name="et_COLDVSNA_TARIFF_A_COLDVSNA_PERIOD_NOT_COLOR" vbProcedure="false">'ХВС. Т-пит'!$AC$15:$AI$16</definedName>
    <definedName function="false" hidden="false" name="et_COLDVSNA_TARIFF_A_COLDVSNA_TER" vbProcedure="false">'ХВС. Т-пит'!$3:$12</definedName>
    <definedName function="false" hidden="false" name="et_COLDVSNA_TARIFF_A_COLDVSNA_TN" vbProcedure="false">'ХВС. Т-пит'!$7:$8</definedName>
    <definedName function="false" hidden="false" name="et_COLDVSNA_TARIFF_B_COLDVSNA_CS" vbProcedure="false">'ХВС. Т-тех'!$4:$11</definedName>
    <definedName function="false" hidden="false" name="et_COLDVSNA_TARIFF_B_COLDVSNA_DATA_DIFF" vbProcedure="false">'ХВС. Т-тех'!$7:$8</definedName>
    <definedName function="false" hidden="false" name="et_COLDVSNA_TARIFF_B_COLDVSNA_FLAG_DIFF" vbProcedure="false">'ХВС. Т-тех'!$5:$10</definedName>
    <definedName function="false" hidden="false" name="et_COLDVSNA_TARIFF_B_COLDVSNA_GC" vbProcedure="false">'ХВС. Т-тех'!$6:$9</definedName>
    <definedName function="false" hidden="false" name="et_COLDVSNA_TARIFF_B_COLDVSNA_NTAR" vbProcedure="false">'ХВС. Т-тех'!$2:$13</definedName>
    <definedName function="false" hidden="false" name="et_COLDVSNA_TARIFF_B_COLDVSNA_PERIOD_COLOR" vbProcedure="false">'ХВС. Т-тех'!$AC$7:$AI$8</definedName>
    <definedName function="false" hidden="false" name="et_COLDVSNA_TARIFF_B_COLDVSNA_PERIOD_NOT_COLOR" vbProcedure="false">'ХВС. Т-тех'!$AC$15:$AI$16</definedName>
    <definedName function="false" hidden="false" name="et_COLDVSNA_TARIFF_B_COLDVSNA_TER" vbProcedure="false">'ХВС. Т-тех'!$3:$12</definedName>
    <definedName function="false" hidden="false" name="et_COLDVSNA_TARIFF_C_COLDVSNA_CS" vbProcedure="false">'ХВС. Т-транс'!$4:$11</definedName>
    <definedName function="false" hidden="false" name="et_COLDVSNA_TARIFF_C_COLDVSNA_DATA_DIFF" vbProcedure="false">'ХВС. Т-транс'!$7:$8</definedName>
    <definedName function="false" hidden="false" name="et_COLDVSNA_TARIFF_C_COLDVSNA_FLAG_DIFF" vbProcedure="false">'ХВС. Т-транс'!$5:$10</definedName>
    <definedName function="false" hidden="false" name="et_COLDVSNA_TARIFF_C_COLDVSNA_GC" vbProcedure="false">'ХВС. Т-транс'!$6:$9</definedName>
    <definedName function="false" hidden="false" name="et_COLDVSNA_TARIFF_C_COLDVSNA_NTAR" vbProcedure="false">'ХВС. Т-транс'!$2:$13</definedName>
    <definedName function="false" hidden="false" name="et_COLDVSNA_TARIFF_C_COLDVSNA_PERIOD_COLOR" vbProcedure="false">'ХВС. Т-транс'!$AC$7:$AI$8</definedName>
    <definedName function="false" hidden="false" name="et_COLDVSNA_TARIFF_C_COLDVSNA_PERIOD_NOT_COLOR" vbProcedure="false">'ХВС. Т-транс'!$AC$15:$AI$16</definedName>
    <definedName function="false" hidden="false" name="et_COLDVSNA_TARIFF_C_COLDVSNA_TER" vbProcedure="false">'ХВС. Т-транс'!$3:$12</definedName>
    <definedName function="false" hidden="false" name="et_COLDVSNA_TARIFF_D_COLDVSNA_CS" vbProcedure="false">'ХВС. Т-подвоз'!$4:$11</definedName>
    <definedName function="false" hidden="false" name="et_COLDVSNA_TARIFF_D_COLDVSNA_DATA_DIFF" vbProcedure="false">'ХВС. Т-подвоз'!$7:$8</definedName>
    <definedName function="false" hidden="false" name="et_COLDVSNA_TARIFF_D_COLDVSNA_FLAG_DIFF" vbProcedure="false">'ХВС. Т-подвоз'!$5:$10</definedName>
    <definedName function="false" hidden="false" name="et_COLDVSNA_TARIFF_D_COLDVSNA_GC" vbProcedure="false">'ХВС. Т-подвоз'!$6:$9</definedName>
    <definedName function="false" hidden="false" name="et_COLDVSNA_TARIFF_D_COLDVSNA_NTAR" vbProcedure="false">'ХВС. Т-подвоз'!$2:$13</definedName>
    <definedName function="false" hidden="false" name="et_COLDVSNA_TARIFF_D_COLDVSNA_PERIOD_COLOR" vbProcedure="false">'ХВС. Т-подвоз'!$AC$7:$AI$8</definedName>
    <definedName function="false" hidden="false" name="et_COLDVSNA_TARIFF_D_COLDVSNA_PERIOD_NOT_COLOR" vbProcedure="false">'ХВС. Т-подвоз'!$AC$15:$AI$16</definedName>
    <definedName function="false" hidden="false" name="et_COLDVSNA_TARIFF_D_COLDVSNA_TER" vbProcedure="false">'ХВС. Т-подвоз'!$3:$12</definedName>
    <definedName function="false" hidden="false" name="et_COLDVSNA_TARIFF_E_COLDVSNA_CS" vbProcedure="false">'ХВС. Т-подкл'!$4:$16</definedName>
    <definedName function="false" hidden="false" name="et_COLDVSNA_TARIFF_E_COLDVSNA_DATA_DIFF" vbProcedure="false">'ХВС. Т-подкл'!$8:$12</definedName>
    <definedName function="false" hidden="false" name="et_COLDVSNA_TARIFF_E_COLDVSNA_DIAMETERS" vbProcedure="false">'ХВС. Т-подкл'!$8:$10</definedName>
    <definedName function="false" hidden="false" name="et_COLDVSNA_TARIFF_E_COLDVSNA_FLAG_DIFF" vbProcedure="false">'ХВС. Т-подкл'!$6:$14</definedName>
    <definedName function="false" hidden="false" name="et_COLDVSNA_TARIFF_E_COLDVSNA_GC" vbProcedure="false">'ХВС. Т-подкл'!$7:$13</definedName>
    <definedName function="false" hidden="false" name="et_COLDVSNA_TARIFF_E_COLDVSNA_LEN" vbProcedure="false">'ХВС. Т-подкл'!$8:$9</definedName>
    <definedName function="false" hidden="false" name="et_COLDVSNA_TARIFF_E_COLDVSNA_LOAD" vbProcedure="false">'ХВС. Т-подкл'!$8:$11</definedName>
    <definedName function="false" hidden="false" name="et_COLDVSNA_TARIFF_E_COLDVSNA_NETS" vbProcedure="false">'ХВС. Т-подкл'!$8:$8</definedName>
    <definedName function="false" hidden="false" name="et_COLDVSNA_TARIFF_E_COLDVSNA_NTAR" vbProcedure="false">'ХВС. Т-подкл'!$2:$18</definedName>
    <definedName function="false" hidden="false" name="et_COLDVSNA_TARIFF_E_COLDVSNA_PERIOD_COLOR" vbProcedure="false">'ХВС. Т-подкл'!$AT$8:$BA$8</definedName>
    <definedName function="false" hidden="false" name="et_COLDVSNA_TARIFF_E_COLDVSNA_PERIOD_NOT_COLOR" vbProcedure="false">'ХВС. Т-подкл'!$AT$20:$BA$20</definedName>
    <definedName function="false" hidden="false" name="et_COLDVSNA_TARIFF_E_COLDVSNA_TER" vbProcedure="false">'ХВС. Т-подкл'!$3:$17</definedName>
    <definedName function="false" hidden="false" name="et_Comm" vbProcedure="false">et_union_hor!$8:$8</definedName>
    <definedName function="false" hidden="false" name="et_DIFFERENTIATION_AREA" vbProcedure="false">et_union_hor!$29:$30</definedName>
    <definedName function="false" hidden="false" name="et_DIFFERENTIATION_SYSTEM" vbProcedure="false">et_union_hor!$34:$34</definedName>
    <definedName function="false" hidden="false" name="et_DIFFERENTIATION_TARIFF_COLOR" vbProcedure="false">et_union_hor!$H$154:$W$158</definedName>
    <definedName function="false" hidden="false" name="et_DIFFERENTIATION_TARIFF_CS" vbProcedure="false">et_union_hor!$169:$170</definedName>
    <definedName function="false" hidden="false" name="et_DIFFERENTIATION_TARIFF_IST_TE" vbProcedure="false">et_union_hor!$172:$172</definedName>
    <definedName function="false" hidden="false" name="et_DIFFERENTIATION_TARIFF_NOT_COLOR" vbProcedure="false">et_union_hor!$H$194:$W$198</definedName>
    <definedName function="false" hidden="false" name="et_DIFFERENTIATION_TARIFF_NOT_HEAT_COLOR" vbProcedure="false">et_union_hor!$H$176:$W$180</definedName>
    <definedName function="false" hidden="false" name="et_DIFFERENTIATION_TARIFF_NOT_HEAT_CS" vbProcedure="false">et_union_hor!$191:$192</definedName>
    <definedName function="false" hidden="false" name="et_DIFFERENTIATION_TARIFF_NOT_HEAT_NTAR" vbProcedure="false">et_union_hor!$182:$185</definedName>
    <definedName function="false" hidden="false" name="et_DIFFERENTIATION_TARIFF_NOT_HEAT_TER" vbProcedure="false">et_union_hor!$187:$189</definedName>
    <definedName function="false" hidden="false" name="et_DIFFERENTIATION_TARIFF_NOT_HEAT_VTAR" vbProcedure="false">et_union_hor!$176:$180</definedName>
    <definedName function="false" hidden="false" name="et_DIFFERENTIATION_TARIFF_NTAR" vbProcedure="false">et_union_hor!$160:$163</definedName>
    <definedName function="false" hidden="false" name="et_DIFFERENTIATION_TARIFF_TER" vbProcedure="false">et_union_hor!$165:$167</definedName>
    <definedName function="false" hidden="false" name="et_DIFFERENTIATION_TARIFF_VTAR" vbProcedure="false">et_union_hor!$154:$158</definedName>
    <definedName function="false" hidden="false" name="et_DIFFERENTIATION_TKO_CLASS_TKO" vbProcedure="false">et_union_hor!$202:$202</definedName>
    <definedName function="false" hidden="false" name="et_DIFFERENTIATION_TKO_COLOR" vbProcedure="false">et_union_hor!$H$202:$AI$207</definedName>
    <definedName function="false" hidden="false" name="et_DIFFERENTIATION_TKO_NOT_COLOR" vbProcedure="false">et_union_hor!$H$209:$AI$214</definedName>
    <definedName function="false" hidden="false" name="et_DIFFERENTIATION_TKO_NTAR" vbProcedure="false">et_union_hor!$202:$206</definedName>
    <definedName function="false" hidden="false" name="et_DIFFERENTIATION_TKO_TER" vbProcedure="false">et_union_hor!$202:$204</definedName>
    <definedName function="false" hidden="false" name="et_DIFFERENTIATION_TKO_TO" vbProcedure="false">et_union_hor!$202:$205</definedName>
    <definedName function="false" hidden="false" name="et_DIFFERENTIATION_TKO_TYPE_TKO" vbProcedure="false">et_union_hor!$202:$203</definedName>
    <definedName function="false" hidden="false" name="et_DIFFERENTIATION_TKO_VTAR" vbProcedure="false">et_union_hor!$202:$207</definedName>
    <definedName function="false" hidden="false" name="et_DIFFERENTIATION_VD" vbProcedure="false">et_union_hor!$23:$25</definedName>
    <definedName function="false" hidden="false" name="et_ED" vbProcedure="false">et_union_hor!$64:$64</definedName>
    <definedName function="false" hidden="false" name="et_HEAT_TARIFF_A_CS" vbProcedure="false">'ТС. Т-ТЭ | &gt;=25МВт'!$4:$13</definedName>
    <definedName function="false" hidden="false" name="et_HEAT_TARIFF_A_GC" vbProcedure="false">'ТС. Т-ТЭ | &gt;=25МВт'!$7:$10</definedName>
    <definedName function="false" hidden="false" name="et_HEAT_TARIFF_A_IST_TE" vbProcedure="false">'ТС. Т-ТЭ | &gt;=25МВт'!$5:$12</definedName>
    <definedName function="false" hidden="false" name="et_HEAT_TARIFF_A_NTAR" vbProcedure="false">'ТС. Т-ТЭ | &gt;=25МВт'!$2:$15</definedName>
    <definedName function="false" hidden="false" name="et_HEAT_TARIFF_A_PERIOD_COLOR" vbProcedure="false">'ТС. Т-ТЭ | &gt;=25МВт'!$AD$8:$AK$9</definedName>
    <definedName function="false" hidden="false" name="et_HEAT_TARIFF_A_PERIOD_NOT_COLOR" vbProcedure="false">'ТС. Т-ТЭ | &gt;=25МВт'!$AD$17:$AK$18</definedName>
    <definedName function="false" hidden="false" name="et_HEAT_TARIFF_A_SCHEME" vbProcedure="false">'ТС. Т-ТЭ | &gt;=25МВт'!$6:$11</definedName>
    <definedName function="false" hidden="false" name="et_HEAT_TARIFF_A_TER" vbProcedure="false">'ТС. Т-ТЭ | &gt;=25МВт'!$3:$14</definedName>
    <definedName function="false" hidden="false" name="et_HEAT_TARIFF_A_TN" vbProcedure="false">'ТС. Т-ТЭ | &gt;=25МВт'!$8:$9</definedName>
    <definedName function="false" hidden="false" name="et_HEAT_TARIFF_B_CS" vbProcedure="false">'ТС. Т-ТЭ | ТСО'!$4:$13</definedName>
    <definedName function="false" hidden="false" name="et_HEAT_TARIFF_B_GC" vbProcedure="false">'ТС. Т-ТЭ | ТСО'!$7:$10</definedName>
    <definedName function="false" hidden="false" name="et_HEAT_TARIFF_B_IST_TE" vbProcedure="false">'ТС. Т-ТЭ | ТСО'!$5:$12</definedName>
    <definedName function="false" hidden="false" name="et_HEAT_TARIFF_B_NTAR" vbProcedure="false">'ТС. Т-ТЭ | ТСО'!$2:$15</definedName>
    <definedName function="false" hidden="false" name="et_HEAT_TARIFF_B_PERIOD_COLOR" vbProcedure="false">'ТС. Т-ТЭ | ТСО'!$AD$8:$AK$9</definedName>
    <definedName function="false" hidden="false" name="et_HEAT_TARIFF_B_PERIOD_NOT_COLOR" vbProcedure="false">'ТС. Т-ТЭ | ТСО'!$AD$17:$AK$18</definedName>
    <definedName function="false" hidden="false" name="et_HEAT_TARIFF_B_SCHEME" vbProcedure="false">'ТС. Т-ТЭ | ТСО'!$6:$11</definedName>
    <definedName function="false" hidden="false" name="et_HEAT_TARIFF_B_TER" vbProcedure="false">'ТС. Т-ТЭ | ТСО'!$3:$14</definedName>
    <definedName function="false" hidden="false" name="et_HEAT_TARIFF_B_TN" vbProcedure="false">'ТС. Т-ТЭ | ТСО'!$8:$9</definedName>
    <definedName function="false" hidden="false" name="et_HEAT_TARIFF_C_CS" vbProcedure="false">'ТС. Т-ТН'!$4:$13</definedName>
    <definedName function="false" hidden="false" name="et_HEAT_TARIFF_C_GC" vbProcedure="false">'ТС. Т-ТН'!$7:$10</definedName>
    <definedName function="false" hidden="false" name="et_HEAT_TARIFF_C_IST_TE" vbProcedure="false">'ТС. Т-ТН'!$5:$12</definedName>
    <definedName function="false" hidden="false" name="et_HEAT_TARIFF_C_NTAR" vbProcedure="false">'ТС. Т-ТН'!$2:$15</definedName>
    <definedName function="false" hidden="false" name="et_HEAT_TARIFF_C_PERIOD_COLOR" vbProcedure="false">'ТС. Т-ТН'!$AD$8:$AK$9</definedName>
    <definedName function="false" hidden="false" name="et_HEAT_TARIFF_C_PERIOD_NOT_COLOR" vbProcedure="false">'ТС. Т-ТН'!$AD$17:$AK$18</definedName>
    <definedName function="false" hidden="false" name="et_HEAT_TARIFF_C_SCHEME" vbProcedure="false">'ТС. Т-ТН'!$6:$11</definedName>
    <definedName function="false" hidden="false" name="et_HEAT_TARIFF_C_TER" vbProcedure="false">'ТС. Т-ТН'!$3:$14</definedName>
    <definedName function="false" hidden="false" name="et_HEAT_TARIFF_C_TN" vbProcedure="false">'ТС. Т-ТН'!$8:$9</definedName>
    <definedName function="false" hidden="false" name="et_HEAT_TARIFF_D_CONS" vbProcedure="false">'ТС. Т-гор.вода'!$9:$10</definedName>
    <definedName function="false" hidden="false" name="et_HEAT_TARIFF_D_CS" vbProcedure="false">'ТС. Т-гор.вода'!$4:$15</definedName>
    <definedName function="false" hidden="false" name="et_HEAT_TARIFF_D_GC" vbProcedure="false">'ТС. Т-гор.вода'!$7:$12</definedName>
    <definedName function="false" hidden="false" name="et_HEAT_TARIFF_D_IST_TE" vbProcedure="false">'ТС. Т-гор.вода'!$5:$14</definedName>
    <definedName function="false" hidden="false" name="et_HEAT_TARIFF_D_NTAR" vbProcedure="false">'ТС. Т-гор.вода'!$2:$17</definedName>
    <definedName function="false" hidden="false" name="et_HEAT_TARIFF_D_PERIOD_COLOR" vbProcedure="false">'ТС. Т-гор.вода'!$AG$8:$AO$10</definedName>
    <definedName function="false" hidden="false" name="et_HEAT_TARIFF_D_PERIOD_NOT_COLOR" vbProcedure="false">'ТС. Т-гор.вода'!$AG$19:$AO$22</definedName>
    <definedName function="false" hidden="false" name="et_HEAT_TARIFF_D_SCHEME" vbProcedure="false">'ТС. Т-гор.вода'!$6:$13</definedName>
    <definedName function="false" hidden="false" name="et_HEAT_TARIFF_D_TER" vbProcedure="false">'ТС. Т-гор.вода'!$3:$16</definedName>
    <definedName function="false" hidden="false" name="et_HEAT_TARIFF_D_TN" vbProcedure="false">'ТС. Т-гор.вода'!$8:$11</definedName>
    <definedName function="false" hidden="false" name="et_HEAT_TARIFF_E1_CS" vbProcedure="false">'ТС. Т-передача ТЭ'!$4:$13</definedName>
    <definedName function="false" hidden="false" name="et_HEAT_TARIFF_E1_GC" vbProcedure="false">'ТС. Т-передача ТЭ'!$7:$10</definedName>
    <definedName function="false" hidden="false" name="et_HEAT_TARIFF_E1_IST_TE" vbProcedure="false">'ТС. Т-передача ТЭ'!$5:$12</definedName>
    <definedName function="false" hidden="false" name="et_HEAT_TARIFF_E1_NTAR" vbProcedure="false">'ТС. Т-передача ТЭ'!$2:$15</definedName>
    <definedName function="false" hidden="false" name="et_HEAT_TARIFF_E1_PERIOD_COLOR" vbProcedure="false">'ТС. Т-передача ТЭ'!$AD$8:$AK$9</definedName>
    <definedName function="false" hidden="false" name="et_HEAT_TARIFF_E1_PERIOD_NOT_COLOR" vbProcedure="false">'ТС. Т-передача ТЭ'!$AD$17:$AK$18</definedName>
    <definedName function="false" hidden="false" name="et_HEAT_TARIFF_E1_SCHEME" vbProcedure="false">'ТС. Т-передача ТЭ'!$6:$11</definedName>
    <definedName function="false" hidden="false" name="et_HEAT_TARIFF_E1_TER" vbProcedure="false">'ТС. Т-передача ТЭ'!$3:$14</definedName>
    <definedName function="false" hidden="false" name="et_HEAT_TARIFF_E1_TN" vbProcedure="false">'ТС. Т-передача ТЭ'!$8:$9</definedName>
    <definedName function="false" hidden="false" name="et_HEAT_TARIFF_E2_CS" vbProcedure="false">'ТС. Т-передача ТН'!$4:$13</definedName>
    <definedName function="false" hidden="false" name="et_HEAT_TARIFF_E2_GC" vbProcedure="false">'ТС. Т-передача ТН'!$7:$10</definedName>
    <definedName function="false" hidden="false" name="et_HEAT_TARIFF_E2_IST_TE" vbProcedure="false">'ТС. Т-передача ТН'!$5:$12</definedName>
    <definedName function="false" hidden="false" name="et_HEAT_TARIFF_E2_NTAR" vbProcedure="false">'ТС. Т-передача ТН'!$2:$15</definedName>
    <definedName function="false" hidden="false" name="et_HEAT_TARIFF_E2_PERIOD_COLOR" vbProcedure="false">'ТС. Т-передача ТН'!$AD$8:$AK$9</definedName>
    <definedName function="false" hidden="false" name="et_HEAT_TARIFF_E2_PERIOD_NOT_COLOR" vbProcedure="false">'ТС. Т-передача ТН'!$AD$17:$AK$18</definedName>
    <definedName function="false" hidden="false" name="et_HEAT_TARIFF_E2_SCHEME" vbProcedure="false">'ТС. Т-передача ТН'!$6:$11</definedName>
    <definedName function="false" hidden="false" name="et_HEAT_TARIFF_E2_TER" vbProcedure="false">'ТС. Т-передача ТН'!$3:$14</definedName>
    <definedName function="false" hidden="false" name="et_HEAT_TARIFF_E2_TN" vbProcedure="false">'ТС. Т-передача ТН'!$8:$9</definedName>
    <definedName function="false" hidden="false" name="et_HEAT_TARIFF_F_CS" vbProcedure="false">'ТС. Резерв мощности'!$4:$13</definedName>
    <definedName function="false" hidden="false" name="et_HEAT_TARIFF_F_GC" vbProcedure="false">'ТС. Резерв мощности'!$7:$10</definedName>
    <definedName function="false" hidden="false" name="et_HEAT_TARIFF_F_IST_TE" vbProcedure="false">'ТС. Резерв мощности'!$5:$12</definedName>
    <definedName function="false" hidden="false" name="et_HEAT_TARIFF_F_NTAR" vbProcedure="false">'ТС. Резерв мощности'!$2:$15</definedName>
    <definedName function="false" hidden="false" name="et_HEAT_TARIFF_F_PERIOD_COLOR" vbProcedure="false">'ТС. Резерв мощности'!$AD$8:$AK$9</definedName>
    <definedName function="false" hidden="false" name="et_HEAT_TARIFF_F_PERIOD_NOT_COLOR" vbProcedure="false">'ТС. Резерв мощности'!$AD$17:$AK$18</definedName>
    <definedName function="false" hidden="false" name="et_HEAT_TARIFF_F_SCHEME" vbProcedure="false">'ТС. Резерв мощности'!$6:$11</definedName>
    <definedName function="false" hidden="false" name="et_HEAT_TARIFF_F_TER" vbProcedure="false">'ТС. Резерв мощности'!$3:$14</definedName>
    <definedName function="false" hidden="false" name="et_HEAT_TARIFF_F_TN" vbProcedure="false">'ТС. Резерв мощности'!$8:$9</definedName>
    <definedName function="false" hidden="false" name="et_HEAT_TARIFF_G_CS" vbProcedure="false">'ТС. Т-подкл'!$4:$15</definedName>
    <definedName function="false" hidden="false" name="et_HEAT_TARIFF_G_DIAMETERS" vbProcedure="false">'ТС. Т-подкл'!$8:$8</definedName>
    <definedName function="false" hidden="false" name="et_HEAT_TARIFF_G_GC" vbProcedure="false">'ТС. Т-подкл'!$7:$12</definedName>
    <definedName function="false" hidden="false" name="et_HEAT_TARIFF_G_IST_TE" vbProcedure="false">'ТС. Т-подкл'!$5:$14</definedName>
    <definedName function="false" hidden="false" name="et_HEAT_TARIFF_G_LOAD" vbProcedure="false">'ТС. Т-подкл'!$8:$10</definedName>
    <definedName function="false" hidden="false" name="et_HEAT_TARIFF_G_NETS" vbProcedure="false">'ТС. Т-подкл'!$8:$9</definedName>
    <definedName function="false" hidden="false" name="et_HEAT_TARIFF_G_NTAR" vbProcedure="false">'ТС. Т-подкл'!$2:$17</definedName>
    <definedName function="false" hidden="false" name="et_HEAT_TARIFF_G_PERIOD_COLOR" vbProcedure="false">'ТС. Т-подкл'!$AN$8:$AS$8</definedName>
    <definedName function="false" hidden="false" name="et_HEAT_TARIFF_G_PERIOD_NOT_COLOR" vbProcedure="false">'ТС. Т-подкл'!$AN$19:$AS$19</definedName>
    <definedName function="false" hidden="false" name="et_HEAT_TARIFF_G_SCHEME" vbProcedure="false">'ТС. Т-подкл'!$6:$13</definedName>
    <definedName function="false" hidden="false" name="et_HEAT_TARIFF_G_TER" vbProcedure="false">'ТС. Т-подкл'!$3:$16</definedName>
    <definedName function="false" hidden="false" name="et_HEAT_TARIFF_G_TN" vbProcedure="false">'ТС. Т-подкл'!$8:$11</definedName>
    <definedName function="false" hidden="false" name="et_HEAT_TARIFF_H_CS" vbProcedure="false">'ТС. Т-подкл(инд)'!$4:$12</definedName>
    <definedName function="false" hidden="false" name="et_HEAT_TARIFF_H_DIAMETERS" vbProcedure="false">'ТС. Т-подкл(инд)'!$8:$8</definedName>
    <definedName function="false" hidden="false" name="et_HEAT_TARIFF_H_GC" vbProcedure="false">'ТС. Т-подкл(инд)'!$7:$9</definedName>
    <definedName function="false" hidden="false" name="et_HEAT_TARIFF_H_IST_TE" vbProcedure="false">'ТС. Т-подкл(инд)'!$5:$11</definedName>
    <definedName function="false" hidden="false" name="et_HEAT_TARIFF_H_LOAD" vbProcedure="false">'ТС. Т-подкл(инд)'!$8:$8</definedName>
    <definedName function="false" hidden="false" name="et_HEAT_TARIFF_H_NETS" vbProcedure="false">'ТС. Т-подкл(инд)'!$8:$8</definedName>
    <definedName function="false" hidden="false" name="et_HEAT_TARIFF_H_NTAR" vbProcedure="false">'ТС. Т-подкл(инд)'!$2:$14</definedName>
    <definedName function="false" hidden="false" name="et_HEAT_TARIFF_H_PERIOD_COLOR" vbProcedure="false">'ТС. Т-подкл(инд)'!$AD$8:$AI$8</definedName>
    <definedName function="false" hidden="false" name="et_HEAT_TARIFF_H_PERIOD_NOT_COLOR" vbProcedure="false">'ТС. Т-подкл(инд)'!$AD$16:$AI$16</definedName>
    <definedName function="false" hidden="false" name="et_HEAT_TARIFF_H_SCHEME" vbProcedure="false">'ТС. Т-подкл(инд)'!$6:$10</definedName>
    <definedName function="false" hidden="false" name="et_HEAT_TARIFF_H_TER" vbProcedure="false">'ТС. Т-подкл(инд)'!$3:$13</definedName>
    <definedName function="false" hidden="false" name="et_HEAT_TARIFF_H_TN" vbProcedure="false">'ТС. Т-подкл(инд)'!$8:$8</definedName>
    <definedName function="false" hidden="false" name="et_HEAT_TARIFF_I_1_CS" vbProcedure="false">'ТС. Т-ТЭ | индикат'!$4:$13</definedName>
    <definedName function="false" hidden="false" name="et_HEAT_TARIFF_I_1_GC" vbProcedure="false">'ТС. Т-ТЭ | индикат'!$7:$10</definedName>
    <definedName function="false" hidden="false" name="et_HEAT_TARIFF_I_1_IST_TE" vbProcedure="false">'ТС. Т-ТЭ | индикат'!$5:$12</definedName>
    <definedName function="false" hidden="false" name="et_HEAT_TARIFF_I_1_NTAR" vbProcedure="false">'ТС. Т-ТЭ | индикат'!$2:$15</definedName>
    <definedName function="false" hidden="false" name="et_HEAT_TARIFF_I_1_PERIOD_COLOR" vbProcedure="false">'ТС. Т-ТЭ | индикат'!$AD$8:$AK$9</definedName>
    <definedName function="false" hidden="false" name="et_HEAT_TARIFF_I_1_PERIOD_NOT_COLOR" vbProcedure="false">'ТС. Т-ТЭ | индикат'!$AD$17:$AK$18</definedName>
    <definedName function="false" hidden="false" name="et_HEAT_TARIFF_I_1_SCHEME" vbProcedure="false">'ТС. Т-ТЭ | индикат'!$6:$11</definedName>
    <definedName function="false" hidden="false" name="et_HEAT_TARIFF_I_1_TER" vbProcedure="false">'ТС. Т-ТЭ | индикат'!$3:$14</definedName>
    <definedName function="false" hidden="false" name="et_HEAT_TARIFF_I_1_TN" vbProcedure="false">'ТС. Т-ТЭ | индикат'!$8:$9</definedName>
    <definedName function="false" hidden="false" name="et_HEAT_TARIFF_I_CS" vbProcedure="false">'ТС. Т-ТЭ | предел'!$4:$13</definedName>
    <definedName function="false" hidden="false" name="et_HEAT_TARIFF_I_GC" vbProcedure="false">'ТС. Т-ТЭ | предел'!$7:$10</definedName>
    <definedName function="false" hidden="false" name="et_HEAT_TARIFF_I_IST_TE" vbProcedure="false">'ТС. Т-ТЭ | предел'!$5:$12</definedName>
    <definedName function="false" hidden="false" name="et_HEAT_TARIFF_I_NTAR" vbProcedure="false">'ТС. Т-ТЭ | предел'!$2:$15</definedName>
    <definedName function="false" hidden="false" name="et_HEAT_TARIFF_I_PERIOD_COLOR" vbProcedure="false">'ТС. Т-ТЭ | предел'!$AD$8:$AK$9</definedName>
    <definedName function="false" hidden="false" name="et_HEAT_TARIFF_I_PERIOD_NOT_COLOR" vbProcedure="false">'ТС. Т-ТЭ | предел'!$AD$17:$AK$18</definedName>
    <definedName function="false" hidden="false" name="et_HEAT_TARIFF_I_SCHEME" vbProcedure="false">'ТС. Т-ТЭ | предел'!$6:$11</definedName>
    <definedName function="false" hidden="false" name="et_HEAT_TARIFF_I_TER" vbProcedure="false">'ТС. Т-ТЭ | предел'!$3:$14</definedName>
    <definedName function="false" hidden="false" name="et_HEAT_TARIFF_I_TN" vbProcedure="false">'ТС. Т-ТЭ | предел'!$8:$9</definedName>
    <definedName function="false" hidden="false" name="et_hor_B_FHD_1" vbProcedure="false">'Показатели ФХД'!$2:$7</definedName>
    <definedName function="false" hidden="false" name="et_hor_B_FHD_2" vbProcedure="false">'Показатели ФХД'!$9:$9</definedName>
    <definedName function="false" hidden="false" name="et_hor_B_FHD_3" vbProcedure="false">'Показатели ФХД'!$11:$11</definedName>
    <definedName function="false" hidden="false" name="et_hor_B_FHD_4" vbProcedure="false">'Показатели ФХД'!$13:$13</definedName>
    <definedName function="false" hidden="false" name="et_hor_B_FHD_5" vbProcedure="false">'Показатели ФХД'!$15:$15</definedName>
    <definedName function="false" hidden="false" name="et_hor_B_FHD_6" vbProcedure="false">'Показатели ФХД'!$17:$17</definedName>
    <definedName function="false" hidden="false" name="et_hor_B_FHD_TKO_2" vbProcedure="false">'ТКО. Показатели ФХД'!$2:$2</definedName>
    <definedName function="false" hidden="false" name="et_hor_B_FHD_TKO_TRANS_2" vbProcedure="false">'ТКО. Транс. Показатели ФХД'!$2:$2</definedName>
    <definedName function="false" hidden="false" name="et_hor_B_OTEP_2" vbProcedure="false">'Показатели ОТЭП'!$2:$2</definedName>
    <definedName function="false" hidden="false" name="et_hor_Q_LIMIT_1" vbProcedure="false">Ограничения!$3:$4</definedName>
    <definedName function="false" hidden="false" name="et_hor_Q_LIMIT_2" vbProcedure="false">Ограничения!$6:$7</definedName>
    <definedName function="false" hidden="false" name="et_hor_Q_LIMIT_3" vbProcedure="false">Ограничения!$9:$11</definedName>
    <definedName function="false" hidden="false" name="et_hor_Q_LIMIT_4" vbProcedure="false">Ограничения!$13:$14</definedName>
    <definedName function="false" hidden="false" name="et_hor_Q_TP_1" vbProcedure="false">ТП!$2:$2</definedName>
    <definedName function="false" hidden="false" name="et_HOTVSNA_TARIFF_A_HOTVSNA_CS" vbProcedure="false">'ГВС. Т-гор.вода'!$4:$11</definedName>
    <definedName function="false" hidden="false" name="et_HOTVSNA_TARIFF_A_HOTVSNA_DATA_DIFF" vbProcedure="false">'ГВС. Т-гор.вода'!$7:$8</definedName>
    <definedName function="false" hidden="false" name="et_HOTVSNA_TARIFF_A_HOTVSNA_FLAG_DIFF" vbProcedure="false">'ГВС. Т-гор.вода'!$5:$10</definedName>
    <definedName function="false" hidden="false" name="et_HOTVSNA_TARIFF_A_HOTVSNA_GC" vbProcedure="false">'ГВС. Т-гор.вода'!$6:$9</definedName>
    <definedName function="false" hidden="false" name="et_HOTVSNA_TARIFF_A_HOTVSNA_NTAR" vbProcedure="false">'ГВС. Т-гор.вода'!$2:$13</definedName>
    <definedName function="false" hidden="false" name="et_HOTVSNA_TARIFF_A_HOTVSNA_PERIOD_COLOR" vbProcedure="false">'ГВС. Т-гор.вода'!$AG$7:$AQ$8</definedName>
    <definedName function="false" hidden="false" name="et_HOTVSNA_TARIFF_A_HOTVSNA_PERIOD_NOT_COLOR" vbProcedure="false">'ГВС. Т-гор.вода'!$AG$15:$AQ$16</definedName>
    <definedName function="false" hidden="false" name="et_HOTVSNA_TARIFF_A_HOTVSNA_TER" vbProcedure="false">'ГВС. Т-гор.вода'!$3:$12</definedName>
    <definedName function="false" hidden="false" name="et_HOTVSNA_TARIFF_A_HOTVSNA_TN" vbProcedure="false">'ГВС. Т-гор.вода'!$7:$8</definedName>
    <definedName function="false" hidden="false" name="et_HOTVSNA_TARIFF_B_HOTVSNA_CS" vbProcedure="false">'ГВС. Т-транс'!$4:$11</definedName>
    <definedName function="false" hidden="false" name="et_HOTVSNA_TARIFF_B_HOTVSNA_DATA_DIFF" vbProcedure="false">'ГВС. Т-транс'!$7:$8</definedName>
    <definedName function="false" hidden="false" name="et_HOTVSNA_TARIFF_B_HOTVSNA_FLAG_DIFF" vbProcedure="false">'ГВС. Т-транс'!$5:$10</definedName>
    <definedName function="false" hidden="false" name="et_HOTVSNA_TARIFF_B_HOTVSNA_GC" vbProcedure="false">'ГВС. Т-транс'!$6:$9</definedName>
    <definedName function="false" hidden="false" name="et_HOTVSNA_TARIFF_B_HOTVSNA_NTAR" vbProcedure="false">'ГВС. Т-транс'!$2:$13</definedName>
    <definedName function="false" hidden="false" name="et_HOTVSNA_TARIFF_B_HOTVSNA_PERIOD_COLOR" vbProcedure="false">'ГВС. Т-транс'!$AG$7:$AQ$8</definedName>
    <definedName function="false" hidden="false" name="et_HOTVSNA_TARIFF_B_HOTVSNA_PERIOD_NOT_COLOR" vbProcedure="false">'ГВС. Т-транс'!$AG$15:$AQ$16</definedName>
    <definedName function="false" hidden="false" name="et_HOTVSNA_TARIFF_B_HOTVSNA_TER" vbProcedure="false">'ГВС. Т-транс'!$3:$12</definedName>
    <definedName function="false" hidden="false" name="et_HOTVSNA_TARIFF_B_HOTVSNA_TN" vbProcedure="false">'ГВС. Т-транс'!$7:$8</definedName>
    <definedName function="false" hidden="false" name="et_HOTVSNA_TARIFF_C_HOTVSNA_CS" vbProcedure="false">'ГВС. Т-подкл'!$4:$16</definedName>
    <definedName function="false" hidden="false" name="et_HOTVSNA_TARIFF_C_HOTVSNA_DATA_DIFF" vbProcedure="false">'ГВС. Т-подкл'!$8:$12</definedName>
    <definedName function="false" hidden="false" name="et_HOTVSNA_TARIFF_C_HOTVSNA_DIAMETERS" vbProcedure="false">'ГВС. Т-подкл'!$8:$10</definedName>
    <definedName function="false" hidden="false" name="et_HOTVSNA_TARIFF_C_HOTVSNA_FLAG_DIFF" vbProcedure="false">'ГВС. Т-подкл'!$6:$14</definedName>
    <definedName function="false" hidden="false" name="et_HOTVSNA_TARIFF_C_HOTVSNA_GC" vbProcedure="false">'ГВС. Т-подкл'!$7:$13</definedName>
    <definedName function="false" hidden="false" name="et_HOTVSNA_TARIFF_C_HOTVSNA_LEN" vbProcedure="false">'ГВС. Т-подкл'!$8:$9</definedName>
    <definedName function="false" hidden="false" name="et_HOTVSNA_TARIFF_C_HOTVSNA_LOAD" vbProcedure="false">'ГВС. Т-подкл'!$8:$11</definedName>
    <definedName function="false" hidden="false" name="et_HOTVSNA_TARIFF_C_HOTVSNA_NETS" vbProcedure="false">'ГВС. Т-подкл'!$8:$8</definedName>
    <definedName function="false" hidden="false" name="et_HOTVSNA_TARIFF_C_HOTVSNA_NTAR" vbProcedure="false">'ГВС. Т-подкл'!$2:$18</definedName>
    <definedName function="false" hidden="false" name="et_HOTVSNA_TARIFF_C_HOTVSNA_PERIOD_COLOR" vbProcedure="false">'ГВС. Т-подкл'!$AT$8:$BA$8</definedName>
    <definedName function="false" hidden="false" name="et_HOTVSNA_TARIFF_C_HOTVSNA_PERIOD_NOT_COLOR" vbProcedure="false">'ГВС. Т-подкл'!$AT$20:$BA$20</definedName>
    <definedName function="false" hidden="false" name="et_HOTVSNA_TARIFF_C_HOTVSNA_TER" vbProcedure="false">'ГВС. Т-подкл'!$3:$17</definedName>
    <definedName function="false" hidden="false" name="et_IP_DETAILED" vbProcedure="false">et_union_hor!$81:$87</definedName>
    <definedName function="false" hidden="false" name="et_IP_DETAILED_EVENT" vbProcedure="false">et_union_hor!$101:$105</definedName>
    <definedName function="false" hidden="false" name="et_IP_DETAILED_IST_FIN" vbProcedure="false">et_union_hor!$97:$97</definedName>
    <definedName function="false" hidden="false" name="et_IP_DETAILED_OBJECT" vbProcedure="false">et_union_hor!$91:$93</definedName>
    <definedName function="false" hidden="false" name="et_IP_DETAILED_YEAR" vbProcedure="false">et_union_hor!$82:$87</definedName>
    <definedName function="false" hidden="false" name="et_IP_MAIN" vbProcedure="false">et_union_hor!$72:$73</definedName>
    <definedName function="false" hidden="false" name="et_IP_MAIN_PROPERTY" vbProcedure="false">et_union_hor!$77:$77</definedName>
    <definedName function="false" hidden="false" name="et_IP_QRE" vbProcedure="false">et_union_hor!$109:$111</definedName>
    <definedName function="false" hidden="false" name="et_IP_QRE_CLAIM" vbProcedure="false">et_union_hor!$110:$110</definedName>
    <definedName function="false" hidden="false" name="et_List02" vbProcedure="false">et_union_hor!$154:$158</definedName>
    <definedName function="false" hidden="false" name="et_List02_1_wd" vbProcedure="false">et_union_hor!$194:$197</definedName>
    <definedName function="false" hidden="false" name="et_List02_2_wd" vbProcedure="false">et_union_hor!$194:$196</definedName>
    <definedName function="false" hidden="false" name="et_List02_3_wd" vbProcedure="false">et_union_hor!$194:$195</definedName>
    <definedName function="false" hidden="false" name="et_List02_4_wd" vbProcedure="false">et_union_hor!$194:$194</definedName>
    <definedName function="false" hidden="false" name="et_List02_changeColor_1" vbProcedure="false">et_union_hor!$J$154:$J$157</definedName>
    <definedName function="false" hidden="false" name="et_List02_changeColor_1_wd" vbProcedure="false">et_union_hor!$J$194:$J$197</definedName>
    <definedName function="false" hidden="false" name="et_List02_changeColor_2" vbProcedure="false">et_union_hor!$N$154:$N$156</definedName>
    <definedName function="false" hidden="false" name="et_List02_changeColor_2_wd" vbProcedure="false">et_union_hor!$N$194:$N$196</definedName>
    <definedName function="false" hidden="false" name="et_List02_changeColor_3" vbProcedure="false">et_union_hor!$R$154:$R$155</definedName>
    <definedName function="false" hidden="false" name="et_List02_changeColor_3_wd" vbProcedure="false">et_union_hor!$R$194:$R$195</definedName>
    <definedName function="false" hidden="false" name="et_List02_changeColor_4" vbProcedure="false">et_union_hor!$V$154</definedName>
    <definedName function="false" hidden="false" name="et_List02_changeColor_4_wd" vbProcedure="false">et_union_hor!$V$194</definedName>
    <definedName function="false" hidden="false" name="et_List02_wd" vbProcedure="false">et_union_hor!$194:$198</definedName>
    <definedName function="false" hidden="false" name="et_OFFER_p1" vbProcedure="false">Предложение!$8:$8</definedName>
    <definedName function="false" hidden="false" name="et_OFFER_p1_0" vbProcedure="false">Предложение!$2:$3</definedName>
    <definedName function="false" hidden="false" name="et_OFFER_p2" vbProcedure="false">Предложение!$10:$10</definedName>
    <definedName function="false" hidden="false" name="et_OFFER_p2_0" vbProcedure="false">Предложение!$5:$6</definedName>
    <definedName function="false" hidden="false" name="et_ORG_INFO_1" vbProcedure="false">et_union_hor!$39:$39</definedName>
    <definedName function="false" hidden="false" name="et_ORG_INFO_2" vbProcedure="false">et_union_hor!$43:$43</definedName>
    <definedName function="false" hidden="false" name="et_ORG_INFO_3" vbProcedure="false">et_union_hor!$47:$51</definedName>
    <definedName function="false" hidden="false" name="et_ORG_TERRITORY_MO" vbProcedure="false">et_union_hor!$56:$56</definedName>
    <definedName function="false" hidden="false" name="et_ORG_TERRITORY_MO_FLAG_INTERNET" vbProcedure="false">et_union_hor!$J$56</definedName>
    <definedName function="false" hidden="false" name="et_ORG_TERRITORY_MO_LINK" vbProcedure="false">et_union_hor!$K$56</definedName>
    <definedName function="false" hidden="false" name="et_ORG_VD" vbProcedure="false">et_union_hor!$60:$60</definedName>
    <definedName function="false" hidden="false" name="et_ORG_VD_COLDVSNA" vbProcedure="false">et_union_hor!$X$60:$Z$60</definedName>
    <definedName function="false" hidden="false" name="et_ORG_VD_FIRST_SYSTEM" vbProcedure="false">et_union_hor!$E$60</definedName>
    <definedName function="false" hidden="false" name="et_ORG_VD_HEAT" vbProcedure="false">et_union_hor!$H$60:$R$60</definedName>
    <definedName function="false" hidden="false" name="et_ORG_VD_HOTVSNA" vbProcedure="false">et_union_hor!$AB$60:$AC$60</definedName>
    <definedName function="false" hidden="false" name="et_ORG_VD_TKO_ACTIVITY" vbProcedure="false">'Виды объектов'!$2:$3</definedName>
    <definedName function="false" hidden="false" name="et_ORG_VD_TKO_TYPE_OBJECT" vbProcedure="false">'Виды объектов'!$2:$2</definedName>
    <definedName function="false" hidden="false" name="et_ORG_VD_VOTV" vbProcedure="false">et_union_hor!$T$60:$V$60</definedName>
    <definedName function="false" hidden="false" name="et_P_PROCEDURE_TC_1" vbProcedure="false">'Порядок ТП'!$2:$2</definedName>
    <definedName function="false" hidden="false" name="et_P_PROCEDURE_TC_2" vbProcedure="false">'Порядок ТП'!$4:$4</definedName>
    <definedName function="false" hidden="false" name="et_P_PROCEDURE_TC_3" vbProcedure="false">'Порядок ТП'!$6:$6</definedName>
    <definedName function="false" hidden="false" name="et_P_PROCEDURE_TC_4" vbProcedure="false">'Порядок ТП'!$8:$8</definedName>
    <definedName function="false" hidden="false" name="et_P_PROCEDURE_TC_5" vbProcedure="false">'Порядок ТП'!$10:$10</definedName>
    <definedName function="false" hidden="false" name="et_P_T_TERMS" vbProcedure="false">et_union_hor!$68:$68</definedName>
    <definedName function="false" hidden="false" name="et_QRE" vbProcedure="false">et_union_hor!$109:$111</definedName>
    <definedName function="false" hidden="false" name="et_QRE_CLAIM" vbProcedure="false">et_union_hor!$110:$110</definedName>
    <definedName function="false" hidden="false" name="et_Q_TP_DIFFERENTIATION" vbProcedure="false">ТП!$G:$G</definedName>
    <definedName function="false" hidden="false" name="et_ROIV_CASE_case" vbProcedure="false">'Дела об установлении тарифов'!$2:$2</definedName>
    <definedName function="false" hidden="false" name="et_ROIV_CASE_PUC_case" vbProcedure="false">'Дела об утверждении ПУЦ'!$2:$2</definedName>
    <definedName function="false" hidden="false" name="et_ROIV_INFO_phone" vbProcedure="false">'Орган регулирования'!$2:$2</definedName>
    <definedName function="false" hidden="false" name="et_ROIV_ORG_org" vbProcedure="false">'Перечень организаций'!$2:$2</definedName>
    <definedName function="false" hidden="false" name="et_ROIV_OTV_DL" vbProcedure="false">'Привлечение к ответственности'!$5:$5</definedName>
    <definedName function="false" hidden="false" name="et_ROIV_OTV_org" vbProcedure="false">'Привлечение к ответственности'!$2:$3</definedName>
    <definedName function="false" hidden="false" name="et_R_B_Purch" vbProcedure="false">'Сведения о закупках'!$2:$2</definedName>
    <definedName function="false" hidden="false" name="et_TERMS" vbProcedure="false">et_union_hor!$68:$68</definedName>
    <definedName function="false" hidden="false" name="et_TERRITORY_AREA" vbProcedure="false">et_union_hor!$13:$15</definedName>
    <definedName function="false" hidden="false" name="et_TERRITORY_MO" vbProcedure="false">et_union_hor!$19:$19</definedName>
    <definedName function="false" hidden="false" name="et_ver_B_FHD_DIFFERENTIATION" vbProcedure="false">'Показатели ФХД'!$H:$H</definedName>
    <definedName function="false" hidden="false" name="et_ver_B_FHD_TKO_DIFFERENTIATION" vbProcedure="false">'ТКО. Показатели ФХД'!$H:$H</definedName>
    <definedName function="false" hidden="false" name="et_ver_B_FHD_TKO_TRANS_DIFFERENTIATION" vbProcedure="false">'ТКО. Транс. Показатели ФХД'!$H:$H</definedName>
    <definedName function="false" hidden="false" name="et_ver_B_KNE_DIFFERENTIATION" vbProcedure="false">'Показатели КНЭ'!$G:$H</definedName>
    <definedName function="false" hidden="false" name="et_ver_B_OTEP_DIFFERENTIATION" vbProcedure="false">'Показатели ОТЭП'!$L:$L</definedName>
    <definedName function="false" hidden="false" name="et_ver_COLDVSNA_TARIFF_A_COLDVSNA" vbProcedure="false">'ХВС. Т-пит'!$V:$AB</definedName>
    <definedName function="false" hidden="false" name="et_ver_COLDVSNA_TARIFF_B_COLDVSNA" vbProcedure="false">'ХВС. Т-тех'!$V:$AB</definedName>
    <definedName function="false" hidden="false" name="et_ver_COLDVSNA_TARIFF_C_COLDVSNA" vbProcedure="false">'ХВС. Т-транс'!$V:$AB</definedName>
    <definedName function="false" hidden="false" name="et_ver_COLDVSNA_TARIFF_D_COLDVSNA" vbProcedure="false">'ХВС. Т-подвоз'!$V:$AB</definedName>
    <definedName function="false" hidden="false" name="et_ver_COLDVSNA_TARIFF_E_COLDVSNA" vbProcedure="false">'ХВС. Т-подкл'!$V:$AC</definedName>
    <definedName function="false" hidden="false" name="et_ver_HEAT_TARIFF_A" vbProcedure="false">'ТС. Т-ТЭ | &gt;=25МВт'!$V:$AC</definedName>
    <definedName function="false" hidden="false" name="et_ver_HEAT_TARIFF_B" vbProcedure="false">'ТС. Т-ТЭ | ТСО'!$V:$AC</definedName>
    <definedName function="false" hidden="false" name="et_ver_HEAT_TARIFF_C" vbProcedure="false">'ТС. Т-ТН'!$V:$AC</definedName>
    <definedName function="false" hidden="false" name="et_ver_HEAT_TARIFF_D" vbProcedure="false">'ТС. Т-гор.вода'!$X:$AF</definedName>
    <definedName function="false" hidden="false" name="et_ver_HEAT_TARIFF_E1" vbProcedure="false">'ТС. Т-передача ТЭ'!$V:$AC</definedName>
    <definedName function="false" hidden="false" name="et_ver_HEAT_TARIFF_E2" vbProcedure="false">'ТС. Т-передача ТН'!$V:$AC</definedName>
    <definedName function="false" hidden="false" name="et_ver_HEAT_TARIFF_F" vbProcedure="false">'ТС. Резерв мощности'!$V:$AC</definedName>
    <definedName function="false" hidden="false" name="et_ver_HEAT_TARIFF_G" vbProcedure="false">'ТС. Т-подкл'!$V:$AA</definedName>
    <definedName function="false" hidden="false" name="et_ver_HEAT_TARIFF_H" vbProcedure="false">'ТС. Т-подкл(инд)'!$V:$AA</definedName>
    <definedName function="false" hidden="false" name="et_ver_HEAT_TARIFF_I" vbProcedure="false">'ТС. Т-ТЭ | предел'!$V:$AC</definedName>
    <definedName function="false" hidden="false" name="et_ver_HEAT_TARIFF_I_1" vbProcedure="false">'ТС. Т-ТЭ | индикат'!$V:$AC</definedName>
    <definedName function="false" hidden="false" name="et_ver_HOTVSNA_TARIFF_A_HOTVSNA" vbProcedure="false">'ГВС. Т-гор.вода'!$V:$AF</definedName>
    <definedName function="false" hidden="false" name="et_ver_HOTVSNA_TARIFF_B_HOTVSNA" vbProcedure="false">'ГВС. Т-транс'!$V:$AF</definedName>
    <definedName function="false" hidden="false" name="et_ver_HOTVSNA_TARIFF_C_HOTVSNA" vbProcedure="false">'ГВС. Т-подкл'!$V:$AC</definedName>
    <definedName function="false" hidden="false" name="et_ver_IP_FIN_PLAN" vbProcedure="false">'ИП. Финансовый план'!$H:$J</definedName>
    <definedName function="false" hidden="false" name="et_ver_IP_FIN_PLAN_YEAR" vbProcedure="false">'ИП. Финансовый план'!$I:$I</definedName>
    <definedName function="false" hidden="false" name="et_ver_Q_LIMIT_DIFFERENTIATION" vbProcedure="false">Ограничения!$G:$H</definedName>
    <definedName function="false" hidden="false" name="et_ver_Q_PH_DIFFERENTIATION" vbProcedure="false">'Потребительские характеристики'!$G:$H</definedName>
    <definedName function="false" hidden="false" name="et_ver_Q_TP_DIFFERENTIATION" vbProcedure="false">ТП!$G:$G</definedName>
    <definedName function="false" hidden="false" name="et_ver_VOTV_TARIFF_A_VOTV" vbProcedure="false">'ВО. Т-во'!$V:$AB</definedName>
    <definedName function="false" hidden="false" name="et_ver_VOTV_TARIFF_B_VOTV" vbProcedure="false">'ВО. Т-транс'!$V:$AB</definedName>
    <definedName function="false" hidden="false" name="et_ver_VOTV_TARIFF_C_VOTV" vbProcedure="false">'ВО. Т-подкл'!$V:$AC</definedName>
    <definedName function="false" hidden="false" name="et_VOTV_TARIFF_A_VOTV_CS" vbProcedure="false">'ВО. Т-во'!$4:$11</definedName>
    <definedName function="false" hidden="false" name="et_VOTV_TARIFF_A_VOTV_DATA_DIFF" vbProcedure="false">'ВО. Т-во'!$7:$8</definedName>
    <definedName function="false" hidden="false" name="et_VOTV_TARIFF_A_VOTV_FLAG_DIFF" vbProcedure="false">'ВО. Т-во'!$5:$10</definedName>
    <definedName function="false" hidden="false" name="et_VOTV_TARIFF_A_VOTV_GC" vbProcedure="false">'ВО. Т-во'!$6:$9</definedName>
    <definedName function="false" hidden="false" name="et_VOTV_TARIFF_A_VOTV_NTAR" vbProcedure="false">'ВО. Т-во'!$2:$13</definedName>
    <definedName function="false" hidden="false" name="et_VOTV_TARIFF_A_VOTV_PERIOD_COLOR" vbProcedure="false">'ВО. Т-во'!$AC$7:$AI$8</definedName>
    <definedName function="false" hidden="false" name="et_VOTV_TARIFF_A_VOTV_PERIOD_NOT_COLOR" vbProcedure="false">'ВО. Т-во'!$AC$15:$AI$16</definedName>
    <definedName function="false" hidden="false" name="et_VOTV_TARIFF_A_VOTV_TER" vbProcedure="false">'ВО. Т-во'!$3:$12</definedName>
    <definedName function="false" hidden="false" name="et_VOTV_TARIFF_A_VOTV_TN" vbProcedure="false">'ВО. Т-во'!$7:$8</definedName>
    <definedName function="false" hidden="false" name="et_VOTV_TARIFF_B_VOTV_CS" vbProcedure="false">'ВО. Т-транс'!$4:$11</definedName>
    <definedName function="false" hidden="false" name="et_VOTV_TARIFF_B_VOTV_DATA_DIFF" vbProcedure="false">'ВО. Т-транс'!$7:$8</definedName>
    <definedName function="false" hidden="false" name="et_VOTV_TARIFF_B_VOTV_FLAG_DIFF" vbProcedure="false">'ВО. Т-транс'!$5:$10</definedName>
    <definedName function="false" hidden="false" name="et_VOTV_TARIFF_B_VOTV_GC" vbProcedure="false">'ВО. Т-транс'!$6:$9</definedName>
    <definedName function="false" hidden="false" name="et_VOTV_TARIFF_B_VOTV_NTAR" vbProcedure="false">'ВО. Т-транс'!$2:$13</definedName>
    <definedName function="false" hidden="false" name="et_VOTV_TARIFF_B_VOTV_PERIOD_COLOR" vbProcedure="false">'ВО. Т-транс'!$AC$7:$AI$8</definedName>
    <definedName function="false" hidden="false" name="et_VOTV_TARIFF_B_VOTV_PERIOD_NOT_COLOR" vbProcedure="false">'ВО. Т-транс'!$AC$15:$AI$16</definedName>
    <definedName function="false" hidden="false" name="et_VOTV_TARIFF_B_VOTV_TER" vbProcedure="false">'ВО. Т-транс'!$3:$12</definedName>
    <definedName function="false" hidden="false" name="et_VOTV_TARIFF_B_VOTV_TN" vbProcedure="false">'ВО. Т-транс'!$7:$8</definedName>
    <definedName function="false" hidden="false" name="et_VOTV_TARIFF_C_VOTV_CS" vbProcedure="false">'ВО. Т-подкл'!$4:$16</definedName>
    <definedName function="false" hidden="false" name="et_VOTV_TARIFF_C_VOTV_DATA_DIFF" vbProcedure="false">'ВО. Т-подкл'!$8:$12</definedName>
    <definedName function="false" hidden="false" name="et_VOTV_TARIFF_C_VOTV_DIAMETERS" vbProcedure="false">'ВО. Т-подкл'!$8:$10</definedName>
    <definedName function="false" hidden="false" name="et_VOTV_TARIFF_C_VOTV_FLAG_DIFF" vbProcedure="false">'ВО. Т-подкл'!$6:$14</definedName>
    <definedName function="false" hidden="false" name="et_VOTV_TARIFF_C_VOTV_GC" vbProcedure="false">'ВО. Т-подкл'!$7:$13</definedName>
    <definedName function="false" hidden="false" name="et_VOTV_TARIFF_C_VOTV_LEN" vbProcedure="false">'ВО. Т-подкл'!$8:$9</definedName>
    <definedName function="false" hidden="false" name="et_VOTV_TARIFF_C_VOTV_LOAD" vbProcedure="false">'ВО. Т-подкл'!$8:$11</definedName>
    <definedName function="false" hidden="false" name="et_VOTV_TARIFF_C_VOTV_NETS" vbProcedure="false">'ВО. Т-подкл'!$8:$8</definedName>
    <definedName function="false" hidden="false" name="et_VOTV_TARIFF_C_VOTV_NTAR" vbProcedure="false">'ВО. Т-подкл'!$2:$18</definedName>
    <definedName function="false" hidden="false" name="et_VOTV_TARIFF_C_VOTV_PERIOD_COLOR" vbProcedure="false">'ВО. Т-подкл'!$AT$8:$BA$8</definedName>
    <definedName function="false" hidden="false" name="et_VOTV_TARIFF_C_VOTV_PERIOD_NOT_COLOR" vbProcedure="false">'ВО. Т-подкл'!$AT$20:$BA$20</definedName>
    <definedName function="false" hidden="false" name="et_VOTV_TARIFF_C_VOTV_TER" vbProcedure="false">'ВО. Т-подкл'!$3:$17</definedName>
    <definedName function="false" hidden="false" name="FHD20_NAME_FORM" vbProcedure="false">DATA_FORMS!$C$7</definedName>
    <definedName function="false" hidden="false" name="FHD_NAME_FORM" vbProcedure="false">DATA_FORMS!$C$6</definedName>
    <definedName function="false" hidden="false" name="FHD_NOTE_P_1" vbProcedure="false">DATA_NPA!$N$18</definedName>
    <definedName function="false" hidden="false" name="FHD_NOTE_P_10" vbProcedure="false">DATA_NPA!$N$27</definedName>
    <definedName function="false" hidden="false" name="FHD_NOTE_P_11" vbProcedure="false">DATA_NPA!$N$28</definedName>
    <definedName function="false" hidden="false" name="FHD_NOTE_P_12" vbProcedure="false">DATA_NPA!$N$29</definedName>
    <definedName function="false" hidden="false" name="FHD_NOTE_P_13" vbProcedure="false">DATA_NPA!$N$30</definedName>
    <definedName function="false" hidden="false" name="FHD_NOTE_P_14" vbProcedure="false">DATA_NPA!$N$31</definedName>
    <definedName function="false" hidden="false" name="FHD_NOTE_P_15" vbProcedure="false">DATA_NPA!$N$32</definedName>
    <definedName function="false" hidden="false" name="FHD_NOTE_P_16" vbProcedure="false">DATA_NPA!$N$33</definedName>
    <definedName function="false" hidden="false" name="FHD_NOTE_P_17" vbProcedure="false">DATA_NPA!$N$34</definedName>
    <definedName function="false" hidden="false" name="FHD_NOTE_P_18" vbProcedure="false">DATA_NPA!$N$35</definedName>
    <definedName function="false" hidden="false" name="FHD_NOTE_P_19" vbProcedure="false">DATA_NPA!$N$36</definedName>
    <definedName function="false" hidden="false" name="FHD_NOTE_P_2" vbProcedure="false">DATA_NPA!$N$19</definedName>
    <definedName function="false" hidden="false" name="FHD_NOTE_P_20" vbProcedure="false">DATA_NPA!$N$37</definedName>
    <definedName function="false" hidden="false" name="FHD_NOTE_P_21" vbProcedure="false">DATA_NPA!$N$38</definedName>
    <definedName function="false" hidden="false" name="FHD_NOTE_P_22" vbProcedure="false">DATA_NPA!$N$39</definedName>
    <definedName function="false" hidden="false" name="FHD_NOTE_P_23" vbProcedure="false">DATA_NPA!$N$40</definedName>
    <definedName function="false" hidden="false" name="FHD_NOTE_P_24" vbProcedure="false">DATA_NPA!$N$41</definedName>
    <definedName function="false" hidden="false" name="FHD_NOTE_P_25" vbProcedure="false">DATA_NPA!$N$42</definedName>
    <definedName function="false" hidden="false" name="FHD_NOTE_P_26" vbProcedure="false">DATA_NPA!$N$43</definedName>
    <definedName function="false" hidden="false" name="FHD_NOTE_P_27" vbProcedure="false">DATA_NPA!$N$44</definedName>
    <definedName function="false" hidden="false" name="FHD_NOTE_P_28" vbProcedure="false">DATA_NPA!$N$45</definedName>
    <definedName function="false" hidden="false" name="FHD_NOTE_P_29" vbProcedure="false">DATA_NPA!$N$46</definedName>
    <definedName function="false" hidden="false" name="FHD_NOTE_P_3" vbProcedure="false">DATA_NPA!$N$20</definedName>
    <definedName function="false" hidden="false" name="FHD_NOTE_P_30" vbProcedure="false">DATA_NPA!$N$47</definedName>
    <definedName function="false" hidden="false" name="FHD_NOTE_P_31" vbProcedure="false">DATA_NPA!$N$48</definedName>
    <definedName function="false" hidden="false" name="FHD_NOTE_P_32" vbProcedure="false">DATA_NPA!$N$49</definedName>
    <definedName function="false" hidden="false" name="FHD_NOTE_P_33" vbProcedure="false">DATA_NPA!$N$50</definedName>
    <definedName function="false" hidden="false" name="FHD_NOTE_P_34" vbProcedure="false">DATA_NPA!$N$51</definedName>
    <definedName function="false" hidden="false" name="FHD_NOTE_P_35" vbProcedure="false">DATA_NPA!$N$52</definedName>
    <definedName function="false" hidden="false" name="FHD_NOTE_P_36" vbProcedure="false">DATA_NPA!$N$53</definedName>
    <definedName function="false" hidden="false" name="FHD_NOTE_P_37" vbProcedure="false">DATA_NPA!$N$54</definedName>
    <definedName function="false" hidden="false" name="FHD_NOTE_P_38" vbProcedure="false">DATA_NPA!$N$55</definedName>
    <definedName function="false" hidden="false" name="FHD_NOTE_P_39" vbProcedure="false">DATA_NPA!$N$56</definedName>
    <definedName function="false" hidden="false" name="FHD_NOTE_P_4" vbProcedure="false">DATA_NPA!$N$21</definedName>
    <definedName function="false" hidden="false" name="FHD_NOTE_P_40" vbProcedure="false">DATA_NPA!$N$57</definedName>
    <definedName function="false" hidden="false" name="FHD_NOTE_P_41" vbProcedure="false">DATA_NPA!$N$58</definedName>
    <definedName function="false" hidden="false" name="FHD_NOTE_P_42" vbProcedure="false">DATA_NPA!$N$59</definedName>
    <definedName function="false" hidden="false" name="FHD_NOTE_P_43" vbProcedure="false">DATA_NPA!$N$60</definedName>
    <definedName function="false" hidden="false" name="FHD_NOTE_P_44" vbProcedure="false">DATA_NPA!$N$61</definedName>
    <definedName function="false" hidden="false" name="FHD_NOTE_P_45" vbProcedure="false">DATA_NPA!$N$62</definedName>
    <definedName function="false" hidden="false" name="FHD_NOTE_P_46" vbProcedure="false">DATA_NPA!$N$63</definedName>
    <definedName function="false" hidden="false" name="FHD_NOTE_P_47" vbProcedure="false">DATA_NPA!$N$64</definedName>
    <definedName function="false" hidden="false" name="FHD_NOTE_P_48" vbProcedure="false">DATA_NPA!$N$65</definedName>
    <definedName function="false" hidden="false" name="FHD_NOTE_P_49" vbProcedure="false">DATA_NPA!$N$66</definedName>
    <definedName function="false" hidden="false" name="FHD_NOTE_P_5" vbProcedure="false">DATA_NPA!$N$22</definedName>
    <definedName function="false" hidden="false" name="FHD_NOTE_P_50" vbProcedure="false">DATA_NPA!$N$67</definedName>
    <definedName function="false" hidden="false" name="FHD_NOTE_P_51" vbProcedure="false">DATA_NPA!$N$68</definedName>
    <definedName function="false" hidden="false" name="FHD_NOTE_P_52" vbProcedure="false">DATA_NPA!$N$69</definedName>
    <definedName function="false" hidden="false" name="FHD_NOTE_P_53" vbProcedure="false">DATA_NPA!$N$70</definedName>
    <definedName function="false" hidden="false" name="FHD_NOTE_P_54" vbProcedure="false">DATA_NPA!$N$71</definedName>
    <definedName function="false" hidden="false" name="FHD_NOTE_P_55" vbProcedure="false">DATA_NPA!$N$72</definedName>
    <definedName function="false" hidden="false" name="FHD_NOTE_P_56" vbProcedure="false">DATA_NPA!$N$73</definedName>
    <definedName function="false" hidden="false" name="FHD_NOTE_P_57" vbProcedure="false">DATA_NPA!$N$74</definedName>
    <definedName function="false" hidden="false" name="FHD_NOTE_P_58" vbProcedure="false">DATA_NPA!$N$75</definedName>
    <definedName function="false" hidden="false" name="FHD_NOTE_P_59" vbProcedure="false">DATA_NPA!$N$76</definedName>
    <definedName function="false" hidden="false" name="FHD_NOTE_P_6" vbProcedure="false">DATA_NPA!$N$23</definedName>
    <definedName function="false" hidden="false" name="FHD_NOTE_P_60" vbProcedure="false">DATA_NPA!$N$77</definedName>
    <definedName function="false" hidden="false" name="FHD_NOTE_P_61" vbProcedure="false">DATA_NPA!$N$78</definedName>
    <definedName function="false" hidden="false" name="FHD_NOTE_P_62" vbProcedure="false">DATA_NPA!$N$79</definedName>
    <definedName function="false" hidden="false" name="FHD_NOTE_P_63" vbProcedure="false">DATA_NPA!$N$80</definedName>
    <definedName function="false" hidden="false" name="FHD_NOTE_P_64" vbProcedure="false">DATA_NPA!$N$81</definedName>
    <definedName function="false" hidden="false" name="FHD_NOTE_P_65" vbProcedure="false">DATA_NPA!$N$82</definedName>
    <definedName function="false" hidden="false" name="FHD_NOTE_P_66" vbProcedure="false">DATA_NPA!$N$83</definedName>
    <definedName function="false" hidden="false" name="FHD_NOTE_P_67" vbProcedure="false">DATA_NPA!$N$84</definedName>
    <definedName function="false" hidden="false" name="FHD_NOTE_P_68" vbProcedure="false">DATA_NPA!$N$85</definedName>
    <definedName function="false" hidden="false" name="FHD_NOTE_P_69" vbProcedure="false">DATA_NPA!$N$86</definedName>
    <definedName function="false" hidden="false" name="FHD_NOTE_P_7" vbProcedure="false">DATA_NPA!$N$24</definedName>
    <definedName function="false" hidden="false" name="FHD_NOTE_P_70" vbProcedure="false">DATA_NPA!$N$87</definedName>
    <definedName function="false" hidden="false" name="FHD_NOTE_P_71" vbProcedure="false">DATA_NPA!$N$88</definedName>
    <definedName function="false" hidden="false" name="FHD_NOTE_P_72" vbProcedure="false">DATA_NPA!$N$89</definedName>
    <definedName function="false" hidden="false" name="FHD_NOTE_P_73" vbProcedure="false">DATA_NPA!$N$90</definedName>
    <definedName function="false" hidden="false" name="FHD_NOTE_P_74" vbProcedure="false">DATA_NPA!$N$91</definedName>
    <definedName function="false" hidden="false" name="FHD_NOTE_P_75" vbProcedure="false">DATA_NPA!$N$92</definedName>
    <definedName function="false" hidden="false" name="FHD_NOTE_P_76" vbProcedure="false">DATA_NPA!$N$93</definedName>
    <definedName function="false" hidden="false" name="FHD_NOTE_P_77" vbProcedure="false">DATA_NPA!$N$94</definedName>
    <definedName function="false" hidden="false" name="FHD_NOTE_P_78" vbProcedure="false">DATA_NPA!$N$95</definedName>
    <definedName function="false" hidden="false" name="FHD_NOTE_P_79" vbProcedure="false">DATA_NPA!$N$96</definedName>
    <definedName function="false" hidden="false" name="FHD_NOTE_P_8" vbProcedure="false">DATA_NPA!$N$25</definedName>
    <definedName function="false" hidden="false" name="FHD_NOTE_P_80" vbProcedure="false">DATA_NPA!$N$97</definedName>
    <definedName function="false" hidden="false" name="FHD_NOTE_P_81" vbProcedure="false">DATA_NPA!$N$98</definedName>
    <definedName function="false" hidden="false" name="FHD_NOTE_P_82" vbProcedure="false">DATA_NPA!$N$99</definedName>
    <definedName function="false" hidden="false" name="FHD_NOTE_P_83" vbProcedure="false">DATA_NPA!$N$100</definedName>
    <definedName function="false" hidden="false" name="FHD_NOTE_P_84" vbProcedure="false">DATA_NPA!$N$101</definedName>
    <definedName function="false" hidden="false" name="FHD_NOTE_P_9" vbProcedure="false">DATA_NPA!$N$26</definedName>
    <definedName function="false" hidden="false" name="FHD_NUM_P_1" vbProcedure="false">DATA_NPA!$L$18</definedName>
    <definedName function="false" hidden="false" name="FHD_NUM_P_10" vbProcedure="false">DATA_NPA!$L$27</definedName>
    <definedName function="false" hidden="false" name="FHD_NUM_P_11" vbProcedure="false">DATA_NPA!$L$28</definedName>
    <definedName function="false" hidden="false" name="FHD_NUM_P_12" vbProcedure="false">DATA_NPA!$L$29</definedName>
    <definedName function="false" hidden="false" name="FHD_NUM_P_13" vbProcedure="false">DATA_NPA!$L$30</definedName>
    <definedName function="false" hidden="false" name="FHD_NUM_P_14" vbProcedure="false">DATA_NPA!$L$31</definedName>
    <definedName function="false" hidden="false" name="FHD_NUM_P_15" vbProcedure="false">DATA_NPA!$L$32</definedName>
    <definedName function="false" hidden="false" name="FHD_NUM_P_16" vbProcedure="false">DATA_NPA!$L$33</definedName>
    <definedName function="false" hidden="false" name="FHD_NUM_P_17" vbProcedure="false">DATA_NPA!$L$34</definedName>
    <definedName function="false" hidden="false" name="FHD_NUM_P_18" vbProcedure="false">DATA_NPA!$L$35</definedName>
    <definedName function="false" hidden="false" name="FHD_NUM_P_19" vbProcedure="false">DATA_NPA!$L$36</definedName>
    <definedName function="false" hidden="false" name="FHD_NUM_P_2" vbProcedure="false">DATA_NPA!$L$19</definedName>
    <definedName function="false" hidden="false" name="FHD_NUM_P_20" vbProcedure="false">DATA_NPA!$L$37</definedName>
    <definedName function="false" hidden="false" name="FHD_NUM_P_21" vbProcedure="false">DATA_NPA!$L$38</definedName>
    <definedName function="false" hidden="false" name="FHD_NUM_P_22" vbProcedure="false">DATA_NPA!$L$39</definedName>
    <definedName function="false" hidden="false" name="FHD_NUM_P_23" vbProcedure="false">DATA_NPA!$L$40</definedName>
    <definedName function="false" hidden="false" name="FHD_NUM_P_24" vbProcedure="false">DATA_NPA!$L$41</definedName>
    <definedName function="false" hidden="false" name="FHD_NUM_P_25" vbProcedure="false">DATA_NPA!$L$42</definedName>
    <definedName function="false" hidden="false" name="FHD_NUM_P_26" vbProcedure="false">DATA_NPA!$L$43</definedName>
    <definedName function="false" hidden="false" name="FHD_NUM_P_27" vbProcedure="false">DATA_NPA!$L$44</definedName>
    <definedName function="false" hidden="false" name="FHD_NUM_P_28" vbProcedure="false">DATA_NPA!$L$45</definedName>
    <definedName function="false" hidden="false" name="FHD_NUM_P_29" vbProcedure="false">DATA_NPA!$L$46</definedName>
    <definedName function="false" hidden="false" name="FHD_NUM_P_3" vbProcedure="false">DATA_NPA!$L$20</definedName>
    <definedName function="false" hidden="false" name="FHD_NUM_P_30" vbProcedure="false">DATA_NPA!$L$47</definedName>
    <definedName function="false" hidden="false" name="FHD_NUM_P_31" vbProcedure="false">DATA_NPA!$L$48</definedName>
    <definedName function="false" hidden="false" name="FHD_NUM_P_32" vbProcedure="false">DATA_NPA!$L$49</definedName>
    <definedName function="false" hidden="false" name="FHD_NUM_P_33" vbProcedure="false">DATA_NPA!$L$50</definedName>
    <definedName function="false" hidden="false" name="FHD_NUM_P_34" vbProcedure="false">DATA_NPA!$L$51</definedName>
    <definedName function="false" hidden="false" name="FHD_NUM_P_35" vbProcedure="false">DATA_NPA!$L$52</definedName>
    <definedName function="false" hidden="false" name="FHD_NUM_P_36" vbProcedure="false">DATA_NPA!$L$53</definedName>
    <definedName function="false" hidden="false" name="FHD_NUM_P_37" vbProcedure="false">DATA_NPA!$L$54</definedName>
    <definedName function="false" hidden="false" name="FHD_NUM_P_38" vbProcedure="false">DATA_NPA!$L$55</definedName>
    <definedName function="false" hidden="false" name="FHD_NUM_P_39" vbProcedure="false">DATA_NPA!$L$56</definedName>
    <definedName function="false" hidden="false" name="FHD_NUM_P_4" vbProcedure="false">DATA_NPA!$L$21</definedName>
    <definedName function="false" hidden="false" name="FHD_NUM_P_40" vbProcedure="false">DATA_NPA!$L$57</definedName>
    <definedName function="false" hidden="false" name="FHD_NUM_P_41" vbProcedure="false">DATA_NPA!$L$58</definedName>
    <definedName function="false" hidden="false" name="FHD_NUM_P_42" vbProcedure="false">DATA_NPA!$L$59</definedName>
    <definedName function="false" hidden="false" name="FHD_NUM_P_43" vbProcedure="false">DATA_NPA!$L$60</definedName>
    <definedName function="false" hidden="false" name="FHD_NUM_P_44" vbProcedure="false">DATA_NPA!$L$61</definedName>
    <definedName function="false" hidden="false" name="FHD_NUM_P_45" vbProcedure="false">DATA_NPA!$L$62</definedName>
    <definedName function="false" hidden="false" name="FHD_NUM_P_46" vbProcedure="false">DATA_NPA!$L$63</definedName>
    <definedName function="false" hidden="false" name="FHD_NUM_P_47" vbProcedure="false">DATA_NPA!$L$64</definedName>
    <definedName function="false" hidden="false" name="FHD_NUM_P_48" vbProcedure="false">DATA_NPA!$L$65</definedName>
    <definedName function="false" hidden="false" name="FHD_NUM_P_49" vbProcedure="false">DATA_NPA!$L$66</definedName>
    <definedName function="false" hidden="false" name="FHD_NUM_P_5" vbProcedure="false">DATA_NPA!$L$22</definedName>
    <definedName function="false" hidden="false" name="FHD_NUM_P_50" vbProcedure="false">DATA_NPA!$L$67</definedName>
    <definedName function="false" hidden="false" name="FHD_NUM_P_51" vbProcedure="false">DATA_NPA!$L$68</definedName>
    <definedName function="false" hidden="false" name="FHD_NUM_P_52" vbProcedure="false">DATA_NPA!$L$69</definedName>
    <definedName function="false" hidden="false" name="FHD_NUM_P_53" vbProcedure="false">DATA_NPA!$L$70</definedName>
    <definedName function="false" hidden="false" name="FHD_NUM_P_54" vbProcedure="false">DATA_NPA!$L$71</definedName>
    <definedName function="false" hidden="false" name="FHD_NUM_P_55" vbProcedure="false">DATA_NPA!$L$72</definedName>
    <definedName function="false" hidden="false" name="FHD_NUM_P_56" vbProcedure="false">DATA_NPA!$L$73</definedName>
    <definedName function="false" hidden="false" name="FHD_NUM_P_57" vbProcedure="false">DATA_NPA!$L$74</definedName>
    <definedName function="false" hidden="false" name="FHD_NUM_P_58" vbProcedure="false">DATA_NPA!$L$75</definedName>
    <definedName function="false" hidden="false" name="FHD_NUM_P_59" vbProcedure="false">DATA_NPA!$L$76</definedName>
    <definedName function="false" hidden="false" name="FHD_NUM_P_6" vbProcedure="false">DATA_NPA!$L$23</definedName>
    <definedName function="false" hidden="false" name="FHD_NUM_P_60" vbProcedure="false">DATA_NPA!$L$77</definedName>
    <definedName function="false" hidden="false" name="FHD_NUM_P_61" vbProcedure="false">DATA_NPA!$L$78</definedName>
    <definedName function="false" hidden="false" name="FHD_NUM_P_62" vbProcedure="false">DATA_NPA!$L$79</definedName>
    <definedName function="false" hidden="false" name="FHD_NUM_P_63" vbProcedure="false">DATA_NPA!$L$80</definedName>
    <definedName function="false" hidden="false" name="FHD_NUM_P_64" vbProcedure="false">DATA_NPA!$L$81</definedName>
    <definedName function="false" hidden="false" name="FHD_NUM_P_65" vbProcedure="false">DATA_NPA!$L$82</definedName>
    <definedName function="false" hidden="false" name="FHD_NUM_P_66" vbProcedure="false">DATA_NPA!$L$83</definedName>
    <definedName function="false" hidden="false" name="FHD_NUM_P_67" vbProcedure="false">DATA_NPA!$L$84</definedName>
    <definedName function="false" hidden="false" name="FHD_NUM_P_68" vbProcedure="false">DATA_NPA!$L$85</definedName>
    <definedName function="false" hidden="false" name="FHD_NUM_P_69" vbProcedure="false">DATA_NPA!$L$86</definedName>
    <definedName function="false" hidden="false" name="FHD_NUM_P_7" vbProcedure="false">DATA_NPA!$L$24</definedName>
    <definedName function="false" hidden="false" name="FHD_NUM_P_70" vbProcedure="false">DATA_NPA!$L$87</definedName>
    <definedName function="false" hidden="false" name="FHD_NUM_P_71" vbProcedure="false">DATA_NPA!$L$88</definedName>
    <definedName function="false" hidden="false" name="FHD_NUM_P_72" vbProcedure="false">DATA_NPA!$L$89</definedName>
    <definedName function="false" hidden="false" name="FHD_NUM_P_73" vbProcedure="false">DATA_NPA!$L$90</definedName>
    <definedName function="false" hidden="false" name="FHD_NUM_P_74" vbProcedure="false">DATA_NPA!$L$91</definedName>
    <definedName function="false" hidden="false" name="FHD_NUM_P_75" vbProcedure="false">DATA_NPA!$L$92</definedName>
    <definedName function="false" hidden="false" name="FHD_NUM_P_76" vbProcedure="false">DATA_NPA!$L$93</definedName>
    <definedName function="false" hidden="false" name="FHD_NUM_P_77" vbProcedure="false">DATA_NPA!$L$94</definedName>
    <definedName function="false" hidden="false" name="FHD_NUM_P_78" vbProcedure="false">DATA_NPA!$L$95</definedName>
    <definedName function="false" hidden="false" name="FHD_NUM_P_79" vbProcedure="false">DATA_NPA!$L$96</definedName>
    <definedName function="false" hidden="false" name="FHD_NUM_P_8" vbProcedure="false">DATA_NPA!$L$25</definedName>
    <definedName function="false" hidden="false" name="FHD_NUM_P_80" vbProcedure="false">DATA_NPA!$L$97</definedName>
    <definedName function="false" hidden="false" name="FHD_NUM_P_81" vbProcedure="false">DATA_NPA!$L$98</definedName>
    <definedName function="false" hidden="false" name="FHD_NUM_P_82" vbProcedure="false">DATA_NPA!$L$99</definedName>
    <definedName function="false" hidden="false" name="FHD_NUM_P_83" vbProcedure="false">DATA_NPA!$L$100</definedName>
    <definedName function="false" hidden="false" name="FHD_NUM_P_84" vbProcedure="false">DATA_NPA!$L$101</definedName>
    <definedName function="false" hidden="false" name="FHD_NUM_P_9" vbProcedure="false">DATA_NPA!$L$26</definedName>
    <definedName function="false" hidden="false" name="FHD_NUM_P_A" vbProcedure="false">DATA_NPA!$L$18</definedName>
    <definedName function="false" hidden="false" name="FHD_P_1" vbProcedure="false">DATA_NPA!$M$18</definedName>
    <definedName function="false" hidden="false" name="FHD_P_10" vbProcedure="false">DATA_NPA!$M$27</definedName>
    <definedName function="false" hidden="false" name="FHD_P_11" vbProcedure="false">DATA_NPA!$M$28</definedName>
    <definedName function="false" hidden="false" name="FHD_P_12" vbProcedure="false">DATA_NPA!$M$29</definedName>
    <definedName function="false" hidden="false" name="FHD_P_13" vbProcedure="false">DATA_NPA!$M$30</definedName>
    <definedName function="false" hidden="false" name="FHD_P_14" vbProcedure="false">DATA_NPA!$M$31</definedName>
    <definedName function="false" hidden="false" name="FHD_P_15" vbProcedure="false">DATA_NPA!$M$32</definedName>
    <definedName function="false" hidden="false" name="FHD_P_16" vbProcedure="false">DATA_NPA!$M$33</definedName>
    <definedName function="false" hidden="false" name="FHD_P_17" vbProcedure="false">DATA_NPA!$M$34</definedName>
    <definedName function="false" hidden="false" name="FHD_P_18" vbProcedure="false">DATA_NPA!$M$35</definedName>
    <definedName function="false" hidden="false" name="FHD_P_19" vbProcedure="false">DATA_NPA!$M$36</definedName>
    <definedName function="false" hidden="false" name="FHD_P_2" vbProcedure="false">DATA_NPA!$M$19</definedName>
    <definedName function="false" hidden="false" name="FHD_P_20" vbProcedure="false">DATA_NPA!$M$37</definedName>
    <definedName function="false" hidden="false" name="FHD_P_21" vbProcedure="false">DATA_NPA!$M$38</definedName>
    <definedName function="false" hidden="false" name="FHD_P_22" vbProcedure="false">DATA_NPA!$M$39</definedName>
    <definedName function="false" hidden="false" name="FHD_P_23" vbProcedure="false">DATA_NPA!$M$40</definedName>
    <definedName function="false" hidden="false" name="FHD_P_24" vbProcedure="false">DATA_NPA!$M$41</definedName>
    <definedName function="false" hidden="false" name="FHD_P_25" vbProcedure="false">DATA_NPA!$M$42</definedName>
    <definedName function="false" hidden="false" name="FHD_P_26" vbProcedure="false">DATA_NPA!$M$43</definedName>
    <definedName function="false" hidden="false" name="FHD_P_27" vbProcedure="false">DATA_NPA!$M$44</definedName>
    <definedName function="false" hidden="false" name="FHD_P_28" vbProcedure="false">DATA_NPA!$M$45</definedName>
    <definedName function="false" hidden="false" name="FHD_P_29" vbProcedure="false">DATA_NPA!$M$46</definedName>
    <definedName function="false" hidden="false" name="FHD_P_3" vbProcedure="false">DATA_NPA!$M$20</definedName>
    <definedName function="false" hidden="false" name="FHD_P_30" vbProcedure="false">DATA_NPA!$M$47</definedName>
    <definedName function="false" hidden="false" name="FHD_P_31" vbProcedure="false">DATA_NPA!$M$48</definedName>
    <definedName function="false" hidden="false" name="FHD_P_32" vbProcedure="false">DATA_NPA!$M$49</definedName>
    <definedName function="false" hidden="false" name="FHD_P_33" vbProcedure="false">DATA_NPA!$M$50</definedName>
    <definedName function="false" hidden="false" name="FHD_P_34" vbProcedure="false">DATA_NPA!$M$51</definedName>
    <definedName function="false" hidden="false" name="FHD_P_35" vbProcedure="false">DATA_NPA!$M$52</definedName>
    <definedName function="false" hidden="false" name="FHD_P_36" vbProcedure="false">DATA_NPA!$M$53</definedName>
    <definedName function="false" hidden="false" name="FHD_P_37" vbProcedure="false">DATA_NPA!$M$54</definedName>
    <definedName function="false" hidden="false" name="FHD_P_38" vbProcedure="false">DATA_NPA!$M$55</definedName>
    <definedName function="false" hidden="false" name="FHD_P_39" vbProcedure="false">DATA_NPA!$M$56</definedName>
    <definedName function="false" hidden="false" name="FHD_P_4" vbProcedure="false">DATA_NPA!$M$21</definedName>
    <definedName function="false" hidden="false" name="FHD_P_40" vbProcedure="false">DATA_NPA!$M$57</definedName>
    <definedName function="false" hidden="false" name="FHD_P_41" vbProcedure="false">DATA_NPA!$M$58</definedName>
    <definedName function="false" hidden="false" name="FHD_P_42" vbProcedure="false">DATA_NPA!$M$59</definedName>
    <definedName function="false" hidden="false" name="FHD_P_43" vbProcedure="false">DATA_NPA!$M$60</definedName>
    <definedName function="false" hidden="false" name="FHD_P_44" vbProcedure="false">DATA_NPA!$M$61</definedName>
    <definedName function="false" hidden="false" name="FHD_P_45" vbProcedure="false">DATA_NPA!$M$62</definedName>
    <definedName function="false" hidden="false" name="FHD_P_46" vbProcedure="false">DATA_NPA!$M$63</definedName>
    <definedName function="false" hidden="false" name="FHD_P_47" vbProcedure="false">DATA_NPA!$M$64</definedName>
    <definedName function="false" hidden="false" name="FHD_P_48" vbProcedure="false">DATA_NPA!$M$65</definedName>
    <definedName function="false" hidden="false" name="FHD_P_49" vbProcedure="false">DATA_NPA!$M$66</definedName>
    <definedName function="false" hidden="false" name="FHD_P_5" vbProcedure="false">DATA_NPA!$M$22</definedName>
    <definedName function="false" hidden="false" name="FHD_P_50" vbProcedure="false">DATA_NPA!$M$67</definedName>
    <definedName function="false" hidden="false" name="FHD_P_51" vbProcedure="false">DATA_NPA!$M$68</definedName>
    <definedName function="false" hidden="false" name="FHD_P_52" vbProcedure="false">DATA_NPA!$M$69</definedName>
    <definedName function="false" hidden="false" name="FHD_P_53" vbProcedure="false">DATA_NPA!$M$70</definedName>
    <definedName function="false" hidden="false" name="FHD_P_54" vbProcedure="false">DATA_NPA!$M$71</definedName>
    <definedName function="false" hidden="false" name="FHD_P_55" vbProcedure="false">DATA_NPA!$M$72</definedName>
    <definedName function="false" hidden="false" name="FHD_P_56" vbProcedure="false">DATA_NPA!$M$73</definedName>
    <definedName function="false" hidden="false" name="FHD_P_57" vbProcedure="false">DATA_NPA!$M$74</definedName>
    <definedName function="false" hidden="false" name="FHD_P_58" vbProcedure="false">DATA_NPA!$M$75</definedName>
    <definedName function="false" hidden="false" name="FHD_P_59" vbProcedure="false">DATA_NPA!$M$76</definedName>
    <definedName function="false" hidden="false" name="FHD_P_6" vbProcedure="false">DATA_NPA!$M$23</definedName>
    <definedName function="false" hidden="false" name="FHD_P_60" vbProcedure="false">DATA_NPA!$M$77</definedName>
    <definedName function="false" hidden="false" name="FHD_P_61" vbProcedure="false">DATA_NPA!$M$78</definedName>
    <definedName function="false" hidden="false" name="FHD_P_62" vbProcedure="false">DATA_NPA!$M$79</definedName>
    <definedName function="false" hidden="false" name="FHD_P_63" vbProcedure="false">DATA_NPA!$M$80</definedName>
    <definedName function="false" hidden="false" name="FHD_P_64" vbProcedure="false">DATA_NPA!$M$81</definedName>
    <definedName function="false" hidden="false" name="FHD_P_65" vbProcedure="false">DATA_NPA!$M$82</definedName>
    <definedName function="false" hidden="false" name="FHD_P_66" vbProcedure="false">DATA_NPA!$M$83</definedName>
    <definedName function="false" hidden="false" name="FHD_P_67" vbProcedure="false">DATA_NPA!$M$84</definedName>
    <definedName function="false" hidden="false" name="FHD_P_68" vbProcedure="false">DATA_NPA!$M$85</definedName>
    <definedName function="false" hidden="false" name="FHD_P_69" vbProcedure="false">DATA_NPA!$M$86</definedName>
    <definedName function="false" hidden="false" name="FHD_P_7" vbProcedure="false">DATA_NPA!$M$24</definedName>
    <definedName function="false" hidden="false" name="FHD_P_70" vbProcedure="false">DATA_NPA!$M$87</definedName>
    <definedName function="false" hidden="false" name="FHD_P_71" vbProcedure="false">DATA_NPA!$M$88</definedName>
    <definedName function="false" hidden="false" name="FHD_P_72" vbProcedure="false">DATA_NPA!$M$89</definedName>
    <definedName function="false" hidden="false" name="FHD_P_73" vbProcedure="false">DATA_NPA!$M$90</definedName>
    <definedName function="false" hidden="false" name="FHD_P_74" vbProcedure="false">DATA_NPA!$M$91</definedName>
    <definedName function="false" hidden="false" name="FHD_P_75" vbProcedure="false">DATA_NPA!$M$92</definedName>
    <definedName function="false" hidden="false" name="FHD_P_76" vbProcedure="false">DATA_NPA!$M$93</definedName>
    <definedName function="false" hidden="false" name="FHD_P_77" vbProcedure="false">DATA_NPA!$M$94</definedName>
    <definedName function="false" hidden="false" name="FHD_P_78" vbProcedure="false">DATA_NPA!$M$95</definedName>
    <definedName function="false" hidden="false" name="FHD_P_79" vbProcedure="false">DATA_NPA!$M$96</definedName>
    <definedName function="false" hidden="false" name="FHD_P_8" vbProcedure="false">DATA_NPA!$M$25</definedName>
    <definedName function="false" hidden="false" name="FHD_P_80" vbProcedure="false">DATA_NPA!$M$97</definedName>
    <definedName function="false" hidden="false" name="FHD_P_81" vbProcedure="false">DATA_NPA!$M$98</definedName>
    <definedName function="false" hidden="false" name="FHD_P_82" vbProcedure="false">DATA_NPA!$M$99</definedName>
    <definedName function="false" hidden="false" name="FHD_P_83" vbProcedure="false">DATA_NPA!$M$100</definedName>
    <definedName function="false" hidden="false" name="FHD_P_84" vbProcedure="false">DATA_NPA!$M$101</definedName>
    <definedName function="false" hidden="false" name="FHD_P_9" vbProcedure="false">DATA_NPA!$M$26</definedName>
    <definedName function="false" hidden="false" name="FHD_P_A" vbProcedure="false">DATA_NPA!$M$18</definedName>
    <definedName function="false" hidden="false" name="fil" vbProcedure="false">Титульный!$F$32</definedName>
    <definedName function="false" hidden="false" name="flag_Q_LIMIT_p3" vbProcedure="false">Ограничения!$F$36:$Q$36</definedName>
    <definedName function="false" hidden="false" name="flag_Q_LIMIT_p4" vbProcedure="false">Ограничения!$F$38:$Q$38</definedName>
    <definedName function="false" hidden="false" name="f_quart" vbProcedure="false">Титульный!$F$15</definedName>
    <definedName function="false" hidden="false" name="f_year" vbProcedure="false">Титульный!$F$14</definedName>
    <definedName function="false" hidden="false" name="HEAT_FIN_SRC_LIST" vbProcedure="false">TEHSHEET!$BH$4:$BH$26</definedName>
    <definedName function="false" hidden="false" name="HEAT_FIN_SRC_VLD_LIST" vbProcedure="false">TEHSHEET!$BH$39:$BH$54</definedName>
    <definedName function="false" hidden="false" name="HEAT_IP_EVENT_CI_STAGE_LIST" vbProcedure="false">TEHSHEET!$BH$97:$BH$99</definedName>
    <definedName function="false" hidden="false" name="HEAT_IP_EVENT_GROUP_LIST" vbProcedure="false">TEHSHEET!$BH$69:$BH$76</definedName>
    <definedName function="false" hidden="false" name="HEAT_IP_EVENT_SUBGROUP_1_LIST" vbProcedure="false">TEHSHEET!$BH$80:$BH$83</definedName>
    <definedName function="false" hidden="false" name="HEAT_IP_EVENT_SUBGROUP_3_LIST" vbProcedure="false">TEHSHEET!$BH$87:$BH$88</definedName>
    <definedName function="false" hidden="false" name="HEAT_IP_EVENT_SUBGROUP_5_LIST" vbProcedure="false">TEHSHEET!$BH$92:$BH$93</definedName>
    <definedName function="false" hidden="false" name="HEAT_IP_EVENT_TYPE_LIST" vbProcedure="false">TEHSHEET!$BH$108:$BH$110</definedName>
    <definedName function="false" hidden="false" name="HEAT_PT_SCHEME" vbProcedure="false">TEHSHEET!$BH$115:$BH$118</definedName>
    <definedName function="false" hidden="false" name="HEAT_PT_TARIFF_ID" vbProcedure="false">TEHSHEET!$BQ$5:$BQ$14</definedName>
    <definedName function="false" hidden="false" name="HEAT_PT_TARIFF_NAME" vbProcedure="false">TEHSHEET!$BR$5:$BR$14</definedName>
    <definedName function="false" hidden="false" name="HEAT_PT_TARIFF_NAME_LIST" vbProcedure="false">TEHSHEET!$BQ$5:$BR$14</definedName>
    <definedName function="false" hidden="false" name="HEAT_PT_VED_ID" vbProcedure="false">TEHSHEET!$BQ$19:$BQ$28</definedName>
    <definedName function="false" hidden="false" name="HEAT_PT_VED_NAME" vbProcedure="false">TEHSHEET!$BR$19:$BR$28</definedName>
    <definedName function="false" hidden="false" name="HEAT_PT_VED_NAME_LIST" vbProcedure="false">TEHSHEET!$BQ$19:$BR$28</definedName>
    <definedName function="false" hidden="false" name="HEAT_TARIFF_A_ADD_HL_COLUMN_MARKER" vbProcedure="false">'ТС. Т-ТЭ | &gt;=25МВт'!$T$36</definedName>
    <definedName function="false" hidden="false" name="HEAT_TARIFF_A_DELETE_PERIOD_ROW_MARKER" vbProcedure="false">'ТС. Т-ТЭ | &gt;=25МВт'!$O$37</definedName>
    <definedName function="false" hidden="false" name="HEAT_TARIFF_A_DEL_HL_GC_COLUMN_MARKER" vbProcedure="false">'ТС. Т-ТЭ | &gt;=25МВт'!$Q$36</definedName>
    <definedName function="false" hidden="false" name="HEAT_TARIFF_A_DEL_HL_SCHEME_COLUMN_MARKER" vbProcedure="false">'ТС. Т-ТЭ | &gt;=25МВт'!$P$36</definedName>
    <definedName function="false" hidden="false" name="HEAT_TARIFF_A_DEL_HL_TN_COLUMN_MARKER" vbProcedure="false">'ТС. Т-ТЭ | &gt;=25МВт'!$R$36</definedName>
    <definedName function="false" hidden="false" name="HEAT_TARIFF_A_FLAG_BLOCK_COLUMN_MARKER" vbProcedure="false">'ТС. Т-ТЭ | &gt;=25МВт'!$L$41</definedName>
    <definedName function="false" hidden="false" name="HEAT_TARIFF_A_FLAG_BLOCK_ROW_MARKER" vbProcedure="false">'ТС. Т-ТЭ | &gt;=25МВт'!$O$22</definedName>
    <definedName function="false" hidden="false" name="HEAT_TARIFF_A_NUM_CS_COLUMN_MARKER" vbProcedure="false">'ТС. Т-ТЭ | &gt;=25МВт'!$G$41</definedName>
    <definedName function="false" hidden="false" name="HEAT_TARIFF_A_NUM_GC_COLUMN_MARKER" vbProcedure="false">'ТС. Т-ТЭ | &gt;=25МВт'!$J$41</definedName>
    <definedName function="false" hidden="false" name="HEAT_TARIFF_A_NUM_IST_TE_COLUMN_MARKER" vbProcedure="false">'ТС. Т-ТЭ | &gt;=25МВт'!$H$41</definedName>
    <definedName function="false" hidden="false" name="HEAT_TARIFF_A_NUM_NTAR_COLUMN_MARKER" vbProcedure="false">'ТС. Т-ТЭ | &gt;=25МВт'!$E$41</definedName>
    <definedName function="false" hidden="false" name="HEAT_TARIFF_A_NUM_SCHEME_COLUMN_MARKER" vbProcedure="false">'ТС. Т-ТЭ | &gt;=25МВт'!$I$41</definedName>
    <definedName function="false" hidden="false" name="HEAT_TARIFF_A_NUM_TER_COLUMN_MARKER" vbProcedure="false">'ТС. Т-ТЭ | &gt;=25МВт'!$F$41</definedName>
    <definedName function="false" hidden="false" name="HEAT_TARIFF_A_NUM_TN_COLUMN_MARKER" vbProcedure="false">'ТС. Т-ТЭ | &gt;=25МВт'!$K$41</definedName>
    <definedName function="false" hidden="false" name="HEAT_TARIFF_B_ADD_HL_COLUMN_MARKER" vbProcedure="false">'ТС. Т-ТЭ | ТСО'!$T$36</definedName>
    <definedName function="false" hidden="false" name="HEAT_TARIFF_B_DELETE_PERIOD_ROW_MARKER" vbProcedure="false">'ТС. Т-ТЭ | ТСО'!$O$37</definedName>
    <definedName function="false" hidden="false" name="HEAT_TARIFF_B_DEL_HL_GC_COLUMN_MARKER" vbProcedure="false">'ТС. Т-ТЭ | ТСО'!$Q$36</definedName>
    <definedName function="false" hidden="false" name="HEAT_TARIFF_B_DEL_HL_SCHEME_COLUMN_MARKER" vbProcedure="false">'ТС. Т-ТЭ | ТСО'!$P$36</definedName>
    <definedName function="false" hidden="false" name="HEAT_TARIFF_B_DEL_HL_TN_COLUMN_MARKER" vbProcedure="false">'ТС. Т-ТЭ | ТСО'!$R$36</definedName>
    <definedName function="false" hidden="false" name="HEAT_TARIFF_B_FLAG_BLOCK_COLUMN_MARKER" vbProcedure="false">'ТС. Т-ТЭ | ТСО'!$L$41</definedName>
    <definedName function="false" hidden="false" name="HEAT_TARIFF_B_FLAG_BLOCK_ROW_MARKER" vbProcedure="false">'ТС. Т-ТЭ | ТСО'!$O$22</definedName>
    <definedName function="false" hidden="false" name="HEAT_TARIFF_B_NUM_CS_COLUMN_MARKER" vbProcedure="false">'ТС. Т-ТЭ | ТСО'!$G$41</definedName>
    <definedName function="false" hidden="false" name="HEAT_TARIFF_B_NUM_GC_COLUMN_MARKER" vbProcedure="false">'ТС. Т-ТЭ | ТСО'!$J$41</definedName>
    <definedName function="false" hidden="false" name="HEAT_TARIFF_B_NUM_IST_TE_COLUMN_MARKER" vbProcedure="false">'ТС. Т-ТЭ | ТСО'!$H$41</definedName>
    <definedName function="false" hidden="false" name="HEAT_TARIFF_B_NUM_NTAR_COLUMN_MARKER" vbProcedure="false">'ТС. Т-ТЭ | ТСО'!$E$41</definedName>
    <definedName function="false" hidden="false" name="HEAT_TARIFF_B_NUM_SCHEME_COLUMN_MARKER" vbProcedure="false">'ТС. Т-ТЭ | ТСО'!$I$41</definedName>
    <definedName function="false" hidden="false" name="HEAT_TARIFF_B_NUM_TER_COLUMN_MARKER" vbProcedure="false">'ТС. Т-ТЭ | ТСО'!$F$41</definedName>
    <definedName function="false" hidden="false" name="HEAT_TARIFF_B_NUM_TN_COLUMN_MARKER" vbProcedure="false">'ТС. Т-ТЭ | ТСО'!$K$41</definedName>
    <definedName function="false" hidden="false" name="HEAT_TARIFF_C_ADD_HL_COLUMN_MARKER" vbProcedure="false">'ТС. Т-ТН'!$T$36</definedName>
    <definedName function="false" hidden="false" name="HEAT_TARIFF_C_DELETE_PERIOD_ROW_MARKER" vbProcedure="false">'ТС. Т-ТН'!$O$37</definedName>
    <definedName function="false" hidden="false" name="HEAT_TARIFF_C_DEL_HL_GC_COLUMN_MARKER" vbProcedure="false">'ТС. Т-ТН'!$Q$36</definedName>
    <definedName function="false" hidden="false" name="HEAT_TARIFF_C_DEL_HL_SCHEME_COLUMN_MARKER" vbProcedure="false">'ТС. Т-ТН'!$P$36</definedName>
    <definedName function="false" hidden="false" name="HEAT_TARIFF_C_DEL_HL_TN_COLUMN_MARKER" vbProcedure="false">'ТС. Т-ТН'!$R$36</definedName>
    <definedName function="false" hidden="false" name="HEAT_TARIFF_C_FLAG_BLOCK_COLUMN_MARKER" vbProcedure="false">'ТС. Т-ТН'!$L$41</definedName>
    <definedName function="false" hidden="false" name="HEAT_TARIFF_C_FLAG_BLOCK_ROW_MARKER" vbProcedure="false">'ТС. Т-ТН'!$O$22</definedName>
    <definedName function="false" hidden="false" name="HEAT_TARIFF_C_NUM_CS_COLUMN_MARKER" vbProcedure="false">'ТС. Т-ТН'!$G$41</definedName>
    <definedName function="false" hidden="false" name="HEAT_TARIFF_C_NUM_GC_COLUMN_MARKER" vbProcedure="false">'ТС. Т-ТН'!$J$41</definedName>
    <definedName function="false" hidden="false" name="HEAT_TARIFF_C_NUM_IST_TE_COLUMN_MARKER" vbProcedure="false">'ТС. Т-ТН'!$H$41</definedName>
    <definedName function="false" hidden="false" name="HEAT_TARIFF_C_NUM_NTAR_COLUMN_MARKER" vbProcedure="false">'ТС. Т-ТН'!$E$41</definedName>
    <definedName function="false" hidden="false" name="HEAT_TARIFF_C_NUM_SCHEME_COLUMN_MARKER" vbProcedure="false">'ТС. Т-ТН'!$I$41</definedName>
    <definedName function="false" hidden="false" name="HEAT_TARIFF_C_NUM_TER_COLUMN_MARKER" vbProcedure="false">'ТС. Т-ТН'!$F$41</definedName>
    <definedName function="false" hidden="false" name="HEAT_TARIFF_C_NUM_TN_COLUMN_MARKER" vbProcedure="false">'ТС. Т-ТН'!$K$41</definedName>
    <definedName function="false" hidden="false" name="HEAT_TARIFF_D_ADD_HL_COLUMN_MARKER" vbProcedure="false">'ТС. Т-гор.вода'!$V$40</definedName>
    <definedName function="false" hidden="false" name="HEAT_TARIFF_D_DELETE_PERIOD_ROW_MARKER" vbProcedure="false">'ТС. Т-гор.вода'!$P$41</definedName>
    <definedName function="false" hidden="false" name="HEAT_TARIFF_D_DEL_HL_CONS_COLUMN_MARKER" vbProcedure="false">'ТС. Т-гор.вода'!$T$40</definedName>
    <definedName function="false" hidden="false" name="HEAT_TARIFF_D_DEL_HL_GC_COLUMN_MARKER" vbProcedure="false">'ТС. Т-гор.вода'!$R$40</definedName>
    <definedName function="false" hidden="false" name="HEAT_TARIFF_D_DEL_HL_SCHEME_COLUMN_MARKER" vbProcedure="false">'ТС. Т-гор.вода'!$Q$40</definedName>
    <definedName function="false" hidden="false" name="HEAT_TARIFF_D_DEL_HL_TN_COLUMN_MARKER" vbProcedure="false">'ТС. Т-гор.вода'!$S$40</definedName>
    <definedName function="false" hidden="false" name="HEAT_TARIFF_D_FLAG_BLOCK_COLUMN_MARKER" vbProcedure="false">'ТС. Т-гор.вода'!$M$47</definedName>
    <definedName function="false" hidden="false" name="HEAT_TARIFF_D_FLAG_BLOCK_ROW_MARKER" vbProcedure="false">'ТС. Т-гор.вода'!$P$26</definedName>
    <definedName function="false" hidden="false" name="HEAT_TARIFF_D_NUM_CONS_COLUMN_MARKER" vbProcedure="false">'ТС. Т-гор.вода'!$L$47</definedName>
    <definedName function="false" hidden="false" name="HEAT_TARIFF_D_NUM_CS_COLUMN_MARKER" vbProcedure="false">'ТС. Т-гор.вода'!$G$47</definedName>
    <definedName function="false" hidden="false" name="HEAT_TARIFF_D_NUM_GC_COLUMN_MARKER" vbProcedure="false">'ТС. Т-гор.вода'!$J$47</definedName>
    <definedName function="false" hidden="false" name="HEAT_TARIFF_D_NUM_IST_TE_COLUMN_MARKER" vbProcedure="false">'ТС. Т-гор.вода'!$H$47</definedName>
    <definedName function="false" hidden="false" name="HEAT_TARIFF_D_NUM_NTAR_COLUMN_MARKER" vbProcedure="false">'ТС. Т-гор.вода'!$E$47</definedName>
    <definedName function="false" hidden="false" name="HEAT_TARIFF_D_NUM_SCHEME_COLUMN_MARKER" vbProcedure="false">'ТС. Т-гор.вода'!$I$47</definedName>
    <definedName function="false" hidden="false" name="HEAT_TARIFF_D_NUM_TER_COLUMN_MARKER" vbProcedure="false">'ТС. Т-гор.вода'!$F$47</definedName>
    <definedName function="false" hidden="false" name="HEAT_TARIFF_D_NUM_TN_COLUMN_MARKER" vbProcedure="false">'ТС. Т-гор.вода'!$K$47</definedName>
    <definedName function="false" hidden="false" name="HEAT_TARIFF_E1_ADD_HL_COLUMN_MARKER" vbProcedure="false">'ТС. Т-передача ТЭ'!$T$36</definedName>
    <definedName function="false" hidden="false" name="HEAT_TARIFF_E1_DELETE_PERIOD_ROW_MARKER" vbProcedure="false">'ТС. Т-передача ТЭ'!$O$37</definedName>
    <definedName function="false" hidden="false" name="HEAT_TARIFF_E1_DEL_HL_GC_COLUMN_MARKER" vbProcedure="false">'ТС. Т-передача ТЭ'!$Q$36</definedName>
    <definedName function="false" hidden="false" name="HEAT_TARIFF_E1_DEL_HL_SCHEME_COLUMN_MARKER" vbProcedure="false">'ТС. Т-передача ТЭ'!$P$36</definedName>
    <definedName function="false" hidden="false" name="HEAT_TARIFF_E1_DEL_HL_TN_COLUMN_MARKER" vbProcedure="false">'ТС. Т-передача ТЭ'!$R$36</definedName>
    <definedName function="false" hidden="false" name="HEAT_TARIFF_E1_FLAG_BLOCK_COLUMN_MARKER" vbProcedure="false">'ТС. Т-передача ТЭ'!$L$41</definedName>
    <definedName function="false" hidden="false" name="HEAT_TARIFF_E1_FLAG_BLOCK_ROW_MARKER" vbProcedure="false">'ТС. Т-передача ТЭ'!$O$22</definedName>
    <definedName function="false" hidden="false" name="HEAT_TARIFF_E1_NUM_CS_COLUMN_MARKER" vbProcedure="false">'ТС. Т-передача ТЭ'!$G$41</definedName>
    <definedName function="false" hidden="false" name="HEAT_TARIFF_E1_NUM_GC_COLUMN_MARKER" vbProcedure="false">'ТС. Т-передача ТЭ'!$J$41</definedName>
    <definedName function="false" hidden="false" name="HEAT_TARIFF_E1_NUM_IST_TE_COLUMN_MARKER" vbProcedure="false">'ТС. Т-передача ТЭ'!$H$41</definedName>
    <definedName function="false" hidden="false" name="HEAT_TARIFF_E1_NUM_NTAR_COLUMN_MARKER" vbProcedure="false">'ТС. Т-передача ТЭ'!$E$41</definedName>
    <definedName function="false" hidden="false" name="HEAT_TARIFF_E1_NUM_SCHEME_COLUMN_MARKER" vbProcedure="false">'ТС. Т-передача ТЭ'!$I$41</definedName>
    <definedName function="false" hidden="false" name="HEAT_TARIFF_E1_NUM_TER_COLUMN_MARKER" vbProcedure="false">'ТС. Т-передача ТЭ'!$F$41</definedName>
    <definedName function="false" hidden="false" name="HEAT_TARIFF_E1_NUM_TN_COLUMN_MARKER" vbProcedure="false">'ТС. Т-передача ТЭ'!$K$41</definedName>
    <definedName function="false" hidden="false" name="HEAT_TARIFF_E2_ADD_HL_COLUMN_MARKER" vbProcedure="false">'ТС. Т-передача ТН'!$T$36</definedName>
    <definedName function="false" hidden="false" name="HEAT_TARIFF_E2_DELETE_PERIOD_ROW_MARKER" vbProcedure="false">'ТС. Т-передача ТН'!$O$37</definedName>
    <definedName function="false" hidden="false" name="HEAT_TARIFF_E2_DEL_HL_GC_COLUMN_MARKER" vbProcedure="false">'ТС. Т-передача ТН'!$Q$36</definedName>
    <definedName function="false" hidden="false" name="HEAT_TARIFF_E2_DEL_HL_SCHEME_COLUMN_MARKER" vbProcedure="false">'ТС. Т-передача ТН'!$P$36</definedName>
    <definedName function="false" hidden="false" name="HEAT_TARIFF_E2_DEL_HL_TN_COLUMN_MARKER" vbProcedure="false">'ТС. Т-передача ТН'!$R$36</definedName>
    <definedName function="false" hidden="false" name="HEAT_TARIFF_E2_FLAG_BLOCK_COLUMN_MARKER" vbProcedure="false">'ТС. Т-передача ТН'!$L$41</definedName>
    <definedName function="false" hidden="false" name="HEAT_TARIFF_E2_FLAG_BLOCK_ROW_MARKER" vbProcedure="false">'ТС. Т-передача ТН'!$O$22</definedName>
    <definedName function="false" hidden="false" name="HEAT_TARIFF_E2_NUM_CS_COLUMN_MARKER" vbProcedure="false">'ТС. Т-передача ТН'!$G$41</definedName>
    <definedName function="false" hidden="false" name="HEAT_TARIFF_E2_NUM_GC_COLUMN_MARKER" vbProcedure="false">'ТС. Т-передача ТН'!$J$41</definedName>
    <definedName function="false" hidden="false" name="HEAT_TARIFF_E2_NUM_IST_TE_COLUMN_MARKER" vbProcedure="false">'ТС. Т-передача ТН'!$H$41</definedName>
    <definedName function="false" hidden="false" name="HEAT_TARIFF_E2_NUM_NTAR_COLUMN_MARKER" vbProcedure="false">'ТС. Т-передача ТН'!$E$41</definedName>
    <definedName function="false" hidden="false" name="HEAT_TARIFF_E2_NUM_SCHEME_COLUMN_MARKER" vbProcedure="false">'ТС. Т-передача ТН'!$I$41</definedName>
    <definedName function="false" hidden="false" name="HEAT_TARIFF_E2_NUM_TER_COLUMN_MARKER" vbProcedure="false">'ТС. Т-передача ТН'!$F$41</definedName>
    <definedName function="false" hidden="false" name="HEAT_TARIFF_E2_NUM_TN_COLUMN_MARKER" vbProcedure="false">'ТС. Т-передача ТН'!$K$41</definedName>
    <definedName function="false" hidden="false" name="HEAT_TARIFF_F_ADD_HL_COLUMN_MARKER" vbProcedure="false">'ТС. Резерв мощности'!$T$36</definedName>
    <definedName function="false" hidden="false" name="HEAT_TARIFF_F_DELETE_PERIOD_ROW_MARKER" vbProcedure="false">'ТС. Резерв мощности'!$O$37</definedName>
    <definedName function="false" hidden="false" name="HEAT_TARIFF_F_DEL_HL_GC_COLUMN_MARKER" vbProcedure="false">'ТС. Резерв мощности'!$Q$36</definedName>
    <definedName function="false" hidden="false" name="HEAT_TARIFF_F_DEL_HL_SCHEME_COLUMN_MARKER" vbProcedure="false">'ТС. Резерв мощности'!$P$36</definedName>
    <definedName function="false" hidden="false" name="HEAT_TARIFF_F_DEL_HL_TN_COLUMN_MARKER" vbProcedure="false">'ТС. Резерв мощности'!$R$36</definedName>
    <definedName function="false" hidden="false" name="HEAT_TARIFF_F_FLAG_BLOCK_COLUMN_MARKER" vbProcedure="false">'ТС. Резерв мощности'!$L$41</definedName>
    <definedName function="false" hidden="false" name="HEAT_TARIFF_F_FLAG_BLOCK_ROW_MARKER" vbProcedure="false">'ТС. Резерв мощности'!$O$22</definedName>
    <definedName function="false" hidden="false" name="HEAT_TARIFF_F_NUM_CS_COLUMN_MARKER" vbProcedure="false">'ТС. Резерв мощности'!$G$41</definedName>
    <definedName function="false" hidden="false" name="HEAT_TARIFF_F_NUM_GC_COLUMN_MARKER" vbProcedure="false">'ТС. Резерв мощности'!$J$41</definedName>
    <definedName function="false" hidden="false" name="HEAT_TARIFF_F_NUM_IST_TE_COLUMN_MARKER" vbProcedure="false">'ТС. Резерв мощности'!$H$41</definedName>
    <definedName function="false" hidden="false" name="HEAT_TARIFF_F_NUM_NTAR_COLUMN_MARKER" vbProcedure="false">'ТС. Резерв мощности'!$E$41</definedName>
    <definedName function="false" hidden="false" name="HEAT_TARIFF_F_NUM_SCHEME_COLUMN_MARKER" vbProcedure="false">'ТС. Резерв мощности'!$I$41</definedName>
    <definedName function="false" hidden="false" name="HEAT_TARIFF_F_NUM_TER_COLUMN_MARKER" vbProcedure="false">'ТС. Резерв мощности'!$F$41</definedName>
    <definedName function="false" hidden="false" name="HEAT_TARIFF_F_NUM_TN_COLUMN_MARKER" vbProcedure="false">'ТС. Резерв мощности'!$K$41</definedName>
    <definedName function="false" hidden="false" name="HEAT_TARIFF_G_ADD_HL_COLUMN_MARKER" vbProcedure="false">'ТС. Т-подкл'!$T$37</definedName>
    <definedName function="false" hidden="false" name="HEAT_TARIFF_G_ADD_HL_DIAMETERS_COLUMN_MARKER" vbProcedure="false">'ТС. Т-подкл'!$AM$37</definedName>
    <definedName function="false" hidden="false" name="HEAT_TARIFF_G_ADD_HL_LOAD_COLUMN_MARKER" vbProcedure="false">'ТС. Т-подкл'!$AE$37</definedName>
    <definedName function="false" hidden="false" name="HEAT_TARIFF_G_ADD_HL_NETS_COLUMN_MARKER" vbProcedure="false">'ТС. Т-подкл'!$AI$37</definedName>
    <definedName function="false" hidden="false" name="HEAT_TARIFF_G_DELETE_PERIOD_ROW_MARKER" vbProcedure="false">'ТС. Т-подкл'!$O$38</definedName>
    <definedName function="false" hidden="false" name="HEAT_TARIFF_G_DEL_HL_DIAMETERS_COLUMN_MARKER" vbProcedure="false">'ТС. Т-подкл'!$AK$37</definedName>
    <definedName function="false" hidden="false" name="HEAT_TARIFF_G_DEL_HL_GC_COLUMN_MARKER" vbProcedure="false">'ТС. Т-подкл'!$Q$37</definedName>
    <definedName function="false" hidden="false" name="HEAT_TARIFF_G_DEL_HL_LOAD_COLUMN_MARKER" vbProcedure="false">'ТС. Т-подкл'!$AC$37</definedName>
    <definedName function="false" hidden="false" name="HEAT_TARIFF_G_DEL_HL_NETS_COLUMN_MARKER" vbProcedure="false">'ТС. Т-подкл'!$AG$37</definedName>
    <definedName function="false" hidden="false" name="HEAT_TARIFF_G_DEL_HL_SCHEME_COLUMN_MARKER" vbProcedure="false">'ТС. Т-подкл'!$P$37</definedName>
    <definedName function="false" hidden="false" name="HEAT_TARIFF_G_DEL_HL_TN_COLUMN_MARKER" vbProcedure="false">'ТС. Т-подкл'!$R$37</definedName>
    <definedName function="false" hidden="false" name="HEAT_TARIFF_G_FLAG_BLOCK_COLUMN_MARKER" vbProcedure="false">'ТС. Т-подкл'!$L$43</definedName>
    <definedName function="false" hidden="false" name="HEAT_TARIFF_G_FLAG_BLOCK_ROW_MARKER" vbProcedure="false">'ТС. Т-подкл'!$O$23</definedName>
    <definedName function="false" hidden="false" name="HEAT_TARIFF_G_NUM_CS_COLUMN_MARKER" vbProcedure="false">'ТС. Т-подкл'!$G$43</definedName>
    <definedName function="false" hidden="false" name="HEAT_TARIFF_G_NUM_DIAMETERS_COLUMN_MARKER" vbProcedure="false">'ТС. Т-подкл'!$AL$37</definedName>
    <definedName function="false" hidden="false" name="HEAT_TARIFF_G_NUM_GC_COLUMN_MARKER" vbProcedure="false">'ТС. Т-подкл'!$J$43</definedName>
    <definedName function="false" hidden="false" name="HEAT_TARIFF_G_NUM_IST_TE_COLUMN_MARKER" vbProcedure="false">'ТС. Т-подкл'!$H$43</definedName>
    <definedName function="false" hidden="false" name="HEAT_TARIFF_G_NUM_LOAD_COLUMN_MARKER" vbProcedure="false">'ТС. Т-подкл'!$AD$37</definedName>
    <definedName function="false" hidden="false" name="HEAT_TARIFF_G_NUM_NETS_COLUMN_MARKER" vbProcedure="false">'ТС. Т-подкл'!$AH$37</definedName>
    <definedName function="false" hidden="false" name="HEAT_TARIFF_G_NUM_NTAR_COLUMN_MARKER" vbProcedure="false">'ТС. Т-подкл'!$E$43</definedName>
    <definedName function="false" hidden="false" name="HEAT_TARIFF_G_NUM_SCHEME_COLUMN_MARKER" vbProcedure="false">'ТС. Т-подкл'!$I$43</definedName>
    <definedName function="false" hidden="false" name="HEAT_TARIFF_G_NUM_TER_COLUMN_MARKER" vbProcedure="false">'ТС. Т-подкл'!$F$43</definedName>
    <definedName function="false" hidden="false" name="HEAT_TARIFF_G_NUM_TN_COLUMN_MARKER" vbProcedure="false">'ТС. Т-подкл'!$K$43</definedName>
    <definedName function="false" hidden="false" name="HEAT_TARIFF_H_ADD_HL_COLUMN_MARKER" vbProcedure="false">'ТС. Т-подкл(инд)'!$T$34</definedName>
    <definedName function="false" hidden="false" name="HEAT_TARIFF_H_ADD_HL_DIAMETERS_COLUMN_MARKER" vbProcedure="false">'ТС. Т-подкл(инд)'!$AO$34</definedName>
    <definedName function="false" hidden="false" name="HEAT_TARIFF_H_ADD_HL_LOAD_COLUMN_MARKER" vbProcedure="false">'ТС. Т-подкл(инд)'!$AM$34</definedName>
    <definedName function="false" hidden="false" name="HEAT_TARIFF_H_ADD_HL_NETS_COLUMN_MARKER" vbProcedure="false">'ТС. Т-подкл(инд)'!$AN$34</definedName>
    <definedName function="false" hidden="false" name="HEAT_TARIFF_H_DELETE_PERIOD_ROW_MARKER" vbProcedure="false">'ТС. Т-подкл(инд)'!$O$35</definedName>
    <definedName function="false" hidden="false" name="HEAT_TARIFF_H_DEL_HL_DIAMETERS_COLUMN_MARKER" vbProcedure="false">'ТС. Т-подкл(инд)'!$AO$34</definedName>
    <definedName function="false" hidden="false" name="HEAT_TARIFF_H_DEL_HL_GC_COLUMN_MARKER" vbProcedure="false">'ТС. Т-подкл(инд)'!$Q$34</definedName>
    <definedName function="false" hidden="false" name="HEAT_TARIFF_H_DEL_HL_LOAD_COLUMN_MARKER" vbProcedure="false">'ТС. Т-подкл(инд)'!$AM$34</definedName>
    <definedName function="false" hidden="false" name="HEAT_TARIFF_H_DEL_HL_NETS_COLUMN_MARKER" vbProcedure="false">'ТС. Т-подкл(инд)'!$AN$34</definedName>
    <definedName function="false" hidden="false" name="HEAT_TARIFF_H_DEL_HL_SCHEME_COLUMN_MARKER" vbProcedure="false">'ТС. Т-подкл(инд)'!$P$34</definedName>
    <definedName function="false" hidden="false" name="HEAT_TARIFF_H_DEL_HL_TN_COLUMN_MARKER" vbProcedure="false">'ТС. Т-подкл(инд)'!$R$34</definedName>
    <definedName function="false" hidden="false" name="HEAT_TARIFF_H_FLAG_BLOCK_COLUMN_MARKER" vbProcedure="false">'ТС. Т-подкл(инд)'!$L$40</definedName>
    <definedName function="false" hidden="false" name="HEAT_TARIFF_H_FLAG_BLOCK_ROW_MARKER" vbProcedure="false">'ТС. Т-подкл(инд)'!$O$20</definedName>
    <definedName function="false" hidden="false" name="HEAT_TARIFF_H_NUM_CS_COLUMN_MARKER" vbProcedure="false">'ТС. Т-подкл(инд)'!$G$40</definedName>
    <definedName function="false" hidden="false" name="HEAT_TARIFF_H_NUM_DIAMETERS_COLUMN_MARKER" vbProcedure="false">'ТС. Т-подкл(инд)'!$AO$34</definedName>
    <definedName function="false" hidden="false" name="HEAT_TARIFF_H_NUM_GC_COLUMN_MARKER" vbProcedure="false">'ТС. Т-подкл(инд)'!$J$40</definedName>
    <definedName function="false" hidden="false" name="HEAT_TARIFF_H_NUM_IST_TE_COLUMN_MARKER" vbProcedure="false">'ТС. Т-подкл(инд)'!$H$40</definedName>
    <definedName function="false" hidden="false" name="HEAT_TARIFF_H_NUM_LOAD_COLUMN_MARKER" vbProcedure="false">'ТС. Т-подкл(инд)'!$AM$34</definedName>
    <definedName function="false" hidden="false" name="HEAT_TARIFF_H_NUM_NETS_COLUMN_MARKER" vbProcedure="false">'ТС. Т-подкл(инд)'!$AN$34</definedName>
    <definedName function="false" hidden="false" name="HEAT_TARIFF_H_NUM_NTAR_COLUMN_MARKER" vbProcedure="false">'ТС. Т-подкл(инд)'!$E$40</definedName>
    <definedName function="false" hidden="false" name="HEAT_TARIFF_H_NUM_SCHEME_COLUMN_MARKER" vbProcedure="false">'ТС. Т-подкл(инд)'!$I$40</definedName>
    <definedName function="false" hidden="false" name="HEAT_TARIFF_H_NUM_TER_COLUMN_MARKER" vbProcedure="false">'ТС. Т-подкл(инд)'!$F$40</definedName>
    <definedName function="false" hidden="false" name="HEAT_TARIFF_H_NUM_TN_COLUMN_MARKER" vbProcedure="false">'ТС. Т-подкл(инд)'!$K$40</definedName>
    <definedName function="false" hidden="false" name="HEAT_TARIFF_I_1_ADD_HL_COLUMN_MARKER" vbProcedure="false">'ТС. Т-ТЭ | индикат'!$T$36</definedName>
    <definedName function="false" hidden="false" name="HEAT_TARIFF_I_1_DELETE_PERIOD_ROW_MARKER" vbProcedure="false">'ТС. Т-ТЭ | индикат'!$O$37</definedName>
    <definedName function="false" hidden="false" name="HEAT_TARIFF_I_1_DEL_HL_GC_COLUMN_MARKER" vbProcedure="false">'ТС. Т-ТЭ | индикат'!$Q$36</definedName>
    <definedName function="false" hidden="false" name="HEAT_TARIFF_I_1_DEL_HL_SCHEME_COLUMN_MARKER" vbProcedure="false">'ТС. Т-ТЭ | индикат'!$P$36</definedName>
    <definedName function="false" hidden="false" name="HEAT_TARIFF_I_1_DEL_HL_TN_COLUMN_MARKER" vbProcedure="false">'ТС. Т-ТЭ | индикат'!$R$36</definedName>
    <definedName function="false" hidden="false" name="HEAT_TARIFF_I_1_FLAG_BLOCK_COLUMN_MARKER" vbProcedure="false">'ТС. Т-ТЭ | индикат'!$L$41</definedName>
    <definedName function="false" hidden="false" name="HEAT_TARIFF_I_1_FLAG_BLOCK_ROW_MARKER" vbProcedure="false">'ТС. Т-ТЭ | индикат'!$O$22</definedName>
    <definedName function="false" hidden="false" name="HEAT_TARIFF_I_1_NUM_CS_COLUMN_MARKER" vbProcedure="false">'ТС. Т-ТЭ | индикат'!$G$41</definedName>
    <definedName function="false" hidden="false" name="HEAT_TARIFF_I_1_NUM_GC_COLUMN_MARKER" vbProcedure="false">'ТС. Т-ТЭ | индикат'!$J$41</definedName>
    <definedName function="false" hidden="false" name="HEAT_TARIFF_I_1_NUM_IST_TE_COLUMN_MARKER" vbProcedure="false">'ТС. Т-ТЭ | индикат'!$H$41</definedName>
    <definedName function="false" hidden="false" name="HEAT_TARIFF_I_1_NUM_NTAR_COLUMN_MARKER" vbProcedure="false">'ТС. Т-ТЭ | индикат'!$E$41</definedName>
    <definedName function="false" hidden="false" name="HEAT_TARIFF_I_1_NUM_SCHEME_COLUMN_MARKER" vbProcedure="false">'ТС. Т-ТЭ | индикат'!$I$41</definedName>
    <definedName function="false" hidden="false" name="HEAT_TARIFF_I_1_NUM_TER_COLUMN_MARKER" vbProcedure="false">'ТС. Т-ТЭ | индикат'!$F$41</definedName>
    <definedName function="false" hidden="false" name="HEAT_TARIFF_I_1_NUM_TN_COLUMN_MARKER" vbProcedure="false">'ТС. Т-ТЭ | индикат'!$K$41</definedName>
    <definedName function="false" hidden="false" name="HEAT_TARIFF_I_ADD_HL_COLUMN_MARKER" vbProcedure="false">'ТС. Т-ТЭ | предел'!$T$36</definedName>
    <definedName function="false" hidden="false" name="HEAT_TARIFF_I_DELETE_PERIOD_ROW_MARKER" vbProcedure="false">'ТС. Т-ТЭ | предел'!$O$37</definedName>
    <definedName function="false" hidden="false" name="HEAT_TARIFF_I_DEL_HL_GC_COLUMN_MARKER" vbProcedure="false">'ТС. Т-ТЭ | предел'!$Q$36</definedName>
    <definedName function="false" hidden="false" name="HEAT_TARIFF_I_DEL_HL_SCHEME_COLUMN_MARKER" vbProcedure="false">'ТС. Т-ТЭ | предел'!$P$36</definedName>
    <definedName function="false" hidden="false" name="HEAT_TARIFF_I_DEL_HL_TN_COLUMN_MARKER" vbProcedure="false">'ТС. Т-ТЭ | предел'!$R$36</definedName>
    <definedName function="false" hidden="false" name="HEAT_TARIFF_I_FLAG_BLOCK_COLUMN_MARKER" vbProcedure="false">'ТС. Т-ТЭ | предел'!$L$41</definedName>
    <definedName function="false" hidden="false" name="HEAT_TARIFF_I_FLAG_BLOCK_ROW_MARKER" vbProcedure="false">'ТС. Т-ТЭ | предел'!$O$22</definedName>
    <definedName function="false" hidden="false" name="HEAT_TARIFF_I_NUM_CS_COLUMN_MARKER" vbProcedure="false">'ТС. Т-ТЭ | предел'!$G$41</definedName>
    <definedName function="false" hidden="false" name="HEAT_TARIFF_I_NUM_GC_COLUMN_MARKER" vbProcedure="false">'ТС. Т-ТЭ | предел'!$J$41</definedName>
    <definedName function="false" hidden="false" name="HEAT_TARIFF_I_NUM_IST_TE_COLUMN_MARKER" vbProcedure="false">'ТС. Т-ТЭ | предел'!$H$41</definedName>
    <definedName function="false" hidden="false" name="HEAT_TARIFF_I_NUM_NTAR_COLUMN_MARKER" vbProcedure="false">'ТС. Т-ТЭ | предел'!$E$41</definedName>
    <definedName function="false" hidden="false" name="HEAT_TARIFF_I_NUM_SCHEME_COLUMN_MARKER" vbProcedure="false">'ТС. Т-ТЭ | предел'!$I$41</definedName>
    <definedName function="false" hidden="false" name="HEAT_TARIFF_I_NUM_TER_COLUMN_MARKER" vbProcedure="false">'ТС. Т-ТЭ | предел'!$F$41</definedName>
    <definedName function="false" hidden="false" name="HEAT_TARIFF_I_NUM_TN_COLUMN_MARKER" vbProcedure="false">'ТС. Т-ТЭ | предел'!$K$41</definedName>
    <definedName function="false" hidden="false" name="HOTVSNA_FIN_SRC_LIST" vbProcedure="false">TEHSHEET!$BJ$4:$BJ$34</definedName>
    <definedName function="false" hidden="false" name="HOTVSNA_FIN_SRC_VLD_LIST" vbProcedure="false">TEHSHEET!$BJ$39:$BJ$60</definedName>
    <definedName function="false" hidden="false" name="HOTVSNA_IP_EVENT_CI_STAGE_LIST" vbProcedure="false">TEHSHEET!$BJ$97:$BJ$100</definedName>
    <definedName function="false" hidden="false" name="HOTVSNA_IP_EVENT_GROUP_LIST" vbProcedure="false">TEHSHEET!$BJ$69:$BJ$76</definedName>
    <definedName function="false" hidden="false" name="HOTVSNA_IP_EVENT_SUBGROUP_1_LIST" vbProcedure="false">TEHSHEET!$BJ$80:$BJ$83</definedName>
    <definedName function="false" hidden="false" name="HOTVSNA_IP_EVENT_SUBGROUP_3_LIST" vbProcedure="false">TEHSHEET!$BJ$87:$BJ$88</definedName>
    <definedName function="false" hidden="false" name="HOTVSNA_IP_EVENT_SUBGROUP_5_LIST" vbProcedure="false">TEHSHEET!$BJ$92:$BJ$93</definedName>
    <definedName function="false" hidden="false" name="HOTVSNA_IP_EVENT_TYPE_LIST" vbProcedure="false">TEHSHEET!$BJ$108</definedName>
    <definedName function="false" hidden="false" name="HOTVSNA_PT_VED_ID" vbProcedure="false">TEHSHEET!$BW$19:$BW$21</definedName>
    <definedName function="false" hidden="false" name="HOTVSNA_PT_VED_NAME" vbProcedure="false">TEHSHEET!$BX$19:$BX$21</definedName>
    <definedName function="false" hidden="false" name="HOTVSNA_PT_VED_NAME_LIST" vbProcedure="false">TEHSHEET!$BW$19:$BX$21</definedName>
    <definedName function="false" hidden="false" name="HOTVSNA_TARIFF_A_HOTVSNA_ADD_HL_COLUMN_MARKER" vbProcedure="false">'ГВС. Т-гор.вода'!$T$34</definedName>
    <definedName function="false" hidden="false" name="HOTVSNA_TARIFF_A_HOTVSNA_DELETE_PERIOD_ROW_MARKER" vbProcedure="false">'ГВС. Т-гор.вода'!$O$35</definedName>
    <definedName function="false" hidden="false" name="HOTVSNA_TARIFF_A_HOTVSNA_DEL_HL_DATA_DIFF_COLUMN_MARKER" vbProcedure="false">'ГВС. Т-гор.вода'!$R$34</definedName>
    <definedName function="false" hidden="false" name="HOTVSNA_TARIFF_A_HOTVSNA_DEL_HL_FLAG_DIFF_COLUMN_MARKER" vbProcedure="false">'ГВС. Т-гор.вода'!$P$34</definedName>
    <definedName function="false" hidden="false" name="HOTVSNA_TARIFF_A_HOTVSNA_DEL_HL_GC_COLUMN_MARKER" vbProcedure="false">'ГВС. Т-гор.вода'!$Q$34</definedName>
    <definedName function="false" hidden="false" name="HOTVSNA_TARIFF_A_HOTVSNA_FLAG_BLOCK_COLUMN_MARKER" vbProcedure="false">'ГВС. Т-гор.вода'!$L$36</definedName>
    <definedName function="false" hidden="false" name="HOTVSNA_TARIFF_A_HOTVSNA_FLAG_BLOCK_ROW_MARKER" vbProcedure="false">'ГВС. Т-гор.вода'!$O$20</definedName>
    <definedName function="false" hidden="false" name="HOTVSNA_TARIFF_A_HOTVSNA_NUM_CS_COLUMN_MARKER" vbProcedure="false">'ГВС. Т-гор.вода'!$G$36</definedName>
    <definedName function="false" hidden="false" name="HOTVSNA_TARIFF_A_HOTVSNA_NUM_DATA_DIFF_COLUMN_MARKER" vbProcedure="false">'ГВС. Т-гор.вода'!$K$36</definedName>
    <definedName function="false" hidden="false" name="HOTVSNA_TARIFF_A_HOTVSNA_NUM_FLAG_DIFF_COLUMN_MARKER" vbProcedure="false">'ГВС. Т-гор.вода'!$I$36</definedName>
    <definedName function="false" hidden="false" name="HOTVSNA_TARIFF_A_HOTVSNA_NUM_GC_COLUMN_MARKER" vbProcedure="false">'ГВС. Т-гор.вода'!$J$36</definedName>
    <definedName function="false" hidden="false" name="HOTVSNA_TARIFF_A_HOTVSNA_NUM_NTAR_COLUMN_MARKER" vbProcedure="false">'ГВС. Т-гор.вода'!$E$36</definedName>
    <definedName function="false" hidden="false" name="HOTVSNA_TARIFF_A_HOTVSNA_NUM_TER_COLUMN_MARKER" vbProcedure="false">'ГВС. Т-гор.вода'!$F$36</definedName>
    <definedName function="false" hidden="false" name="HOTVSNA_TARIFF_B_HOTVSNA_ADD_HL_COLUMN_MARKER" vbProcedure="false">'ГВС. Т-транс'!$T$34</definedName>
    <definedName function="false" hidden="false" name="HOTVSNA_TARIFF_B_HOTVSNA_DELETE_PERIOD_ROW_MARKER" vbProcedure="false">'ГВС. Т-транс'!$O$35</definedName>
    <definedName function="false" hidden="false" name="HOTVSNA_TARIFF_B_HOTVSNA_DEL_HL_DATA_DIFF_COLUMN_MARKER" vbProcedure="false">'ГВС. Т-транс'!$R$34</definedName>
    <definedName function="false" hidden="false" name="HOTVSNA_TARIFF_B_HOTVSNA_DEL_HL_FLAG_DIFF_COLUMN_MARKER" vbProcedure="false">'ГВС. Т-транс'!$P$34</definedName>
    <definedName function="false" hidden="false" name="HOTVSNA_TARIFF_B_HOTVSNA_DEL_HL_GC_COLUMN_MARKER" vbProcedure="false">'ГВС. Т-транс'!$Q$34</definedName>
    <definedName function="false" hidden="false" name="HOTVSNA_TARIFF_B_HOTVSNA_FLAG_BLOCK_COLUMN_MARKER" vbProcedure="false">'ГВС. Т-транс'!$L$36</definedName>
    <definedName function="false" hidden="false" name="HOTVSNA_TARIFF_B_HOTVSNA_FLAG_BLOCK_ROW_MARKER" vbProcedure="false">'ГВС. Т-транс'!$O$20</definedName>
    <definedName function="false" hidden="false" name="HOTVSNA_TARIFF_B_HOTVSNA_NUM_CS_COLUMN_MARKER" vbProcedure="false">'ГВС. Т-транс'!$G$36</definedName>
    <definedName function="false" hidden="false" name="HOTVSNA_TARIFF_B_HOTVSNA_NUM_DATA_DIFF_COLUMN_MARKER" vbProcedure="false">'ГВС. Т-транс'!$K$36</definedName>
    <definedName function="false" hidden="false" name="HOTVSNA_TARIFF_B_HOTVSNA_NUM_FLAG_DIFF_COLUMN_MARKER" vbProcedure="false">'ГВС. Т-транс'!$I$36</definedName>
    <definedName function="false" hidden="false" name="HOTVSNA_TARIFF_B_HOTVSNA_NUM_GC_COLUMN_MARKER" vbProcedure="false">'ГВС. Т-транс'!$J$36</definedName>
    <definedName function="false" hidden="false" name="HOTVSNA_TARIFF_B_HOTVSNA_NUM_NTAR_COLUMN_MARKER" vbProcedure="false">'ГВС. Т-транс'!$E$36</definedName>
    <definedName function="false" hidden="false" name="HOTVSNA_TARIFF_B_HOTVSNA_NUM_TER_COLUMN_MARKER" vbProcedure="false">'ГВС. Т-транс'!$F$36</definedName>
    <definedName function="false" hidden="false" name="HOTVSNA_TARIFF_C_HOTVSNA_ADD_HL_COLUMN_MARKER" vbProcedure="false">'ГВС. Т-подкл'!$T$38</definedName>
    <definedName function="false" hidden="false" name="HOTVSNA_TARIFF_C_HOTVSNA_ADD_HL_DIAMETERS_COLUMN_MARKER" vbProcedure="false">'ГВС. Т-подкл'!$AK$38</definedName>
    <definedName function="false" hidden="false" name="HOTVSNA_TARIFF_C_HOTVSNA_ADD_HL_LEN_COLUMN_MARKER" vbProcedure="false">'ГВС. Т-подкл'!$AO$38</definedName>
    <definedName function="false" hidden="false" name="HOTVSNA_TARIFF_C_HOTVSNA_ADD_HL_LOAD_COLUMN_MARKER" vbProcedure="false">'ГВС. Т-подкл'!$AG$38</definedName>
    <definedName function="false" hidden="false" name="HOTVSNA_TARIFF_C_HOTVSNA_ADD_HL_NETS_COLUMN_MARKER" vbProcedure="false">'ГВС. Т-подкл'!$AS$38</definedName>
    <definedName function="false" hidden="false" name="HOTVSNA_TARIFF_C_HOTVSNA_DELETE_PERIOD_ROW_MARKER" vbProcedure="false">'ГВС. Т-подкл'!$O$39</definedName>
    <definedName function="false" hidden="false" name="HOTVSNA_TARIFF_C_HOTVSNA_DEL_HL_DATA_DIFF_COLUMN_MARKER" vbProcedure="false">'ГВС. Т-подкл'!$R$38</definedName>
    <definedName function="false" hidden="false" name="HOTVSNA_TARIFF_C_HOTVSNA_DEL_HL_DIAMETERS_COLUMN_MARKER" vbProcedure="false">'ГВС. Т-подкл'!$AI$38</definedName>
    <definedName function="false" hidden="false" name="HOTVSNA_TARIFF_C_HOTVSNA_DEL_HL_FLAG_DIFF_COLUMN_MARKER" vbProcedure="false">'ГВС. Т-подкл'!$P$38</definedName>
    <definedName function="false" hidden="false" name="HOTVSNA_TARIFF_C_HOTVSNA_DEL_HL_GC_COLUMN_MARKER" vbProcedure="false">'ГВС. Т-подкл'!$Q$38</definedName>
    <definedName function="false" hidden="false" name="HOTVSNA_TARIFF_C_HOTVSNA_DEL_HL_LEN_COLUMN_MARKER" vbProcedure="false">'ГВС. Т-подкл'!$AM$38</definedName>
    <definedName function="false" hidden="false" name="HOTVSNA_TARIFF_C_HOTVSNA_DEL_HL_LOAD_COLUMN_MARKER" vbProcedure="false">'ГВС. Т-подкл'!$AE$38</definedName>
    <definedName function="false" hidden="false" name="HOTVSNA_TARIFF_C_HOTVSNA_DEL_HL_NETS_COLUMN_MARKER" vbProcedure="false">'ГВС. Т-подкл'!$AQ$38</definedName>
    <definedName function="false" hidden="false" name="HOTVSNA_TARIFF_C_HOTVSNA_FLAG_BLOCK_COLUMN_MARKER" vbProcedure="false">'ГВС. Т-подкл'!$L$44</definedName>
    <definedName function="false" hidden="false" name="HOTVSNA_TARIFF_C_HOTVSNA_FLAG_BLOCK_ROW_MARKER" vbProcedure="false">'ГВС. Т-подкл'!$O$24</definedName>
    <definedName function="false" hidden="false" name="HOTVSNA_TARIFF_C_HOTVSNA_NUM_CS_COLUMN_MARKER" vbProcedure="false">'ГВС. Т-подкл'!$G$44</definedName>
    <definedName function="false" hidden="false" name="HOTVSNA_TARIFF_C_HOTVSNA_NUM_DATA_DIFF_COLUMN_MARKER" vbProcedure="false">'ГВС. Т-подкл'!$K$44</definedName>
    <definedName function="false" hidden="false" name="HOTVSNA_TARIFF_C_HOTVSNA_NUM_DIAMETERS_COLUMN_MARKER" vbProcedure="false">'ГВС. Т-подкл'!$AJ$38</definedName>
    <definedName function="false" hidden="false" name="HOTVSNA_TARIFF_C_HOTVSNA_NUM_FLAG_DIFF_COLUMN_MARKER" vbProcedure="false">'ГВС. Т-подкл'!$I$44</definedName>
    <definedName function="false" hidden="false" name="HOTVSNA_TARIFF_C_HOTVSNA_NUM_GC_COLUMN_MARKER" vbProcedure="false">'ГВС. Т-подкл'!$J$44</definedName>
    <definedName function="false" hidden="false" name="HOTVSNA_TARIFF_C_HOTVSNA_NUM_LEN_COLUMN_MARKER" vbProcedure="false">'ГВС. Т-подкл'!$AN$38</definedName>
    <definedName function="false" hidden="false" name="HOTVSNA_TARIFF_C_HOTVSNA_NUM_LOAD_COLUMN_MARKER" vbProcedure="false">'ГВС. Т-подкл'!$AF$38</definedName>
    <definedName function="false" hidden="false" name="HOTVSNA_TARIFF_C_HOTVSNA_NUM_NETS_COLUMN_MARKER" vbProcedure="false">'ГВС. Т-подкл'!$AR$38</definedName>
    <definedName function="false" hidden="false" name="HOTVSNA_TARIFF_C_HOTVSNA_NUM_NTAR_COLUMN_MARKER" vbProcedure="false">'ГВС. Т-подкл'!$E$44</definedName>
    <definedName function="false" hidden="false" name="HOTVSNA_TARIFF_C_HOTVSNA_NUM_TER_COLUMN_MARKER" vbProcedure="false">'ГВС. Т-подкл'!$F$44</definedName>
    <definedName function="false" hidden="false" name="Info_Diff" vbProcedure="false">modInfo!$B$28</definedName>
    <definedName function="false" hidden="false" name="Info_Diff1" vbProcedure="false">modInfo!$B$30</definedName>
    <definedName function="false" hidden="false" name="Info_FilFlag" vbProcedure="false">modInfo!$B$1</definedName>
    <definedName function="false" hidden="false" name="Info_ForMOInListMO" vbProcedure="false">modInfo!$B$18</definedName>
    <definedName function="false" hidden="false" name="Info_ForMRInListMO" vbProcedure="false">modInfo!$B$17</definedName>
    <definedName function="false" hidden="false" name="Info_ForSKIInListMO" vbProcedure="false">modInfo!$B$19</definedName>
    <definedName function="false" hidden="false" name="Info_ForSKINumberInListMO" vbProcedure="false">modInfo!$B$20</definedName>
    <definedName function="false" hidden="false" name="Info_NoteStandarts" vbProcedure="false">modInfo!$B$22</definedName>
    <definedName function="false" hidden="false" name="Info_NoUpdates" vbProcedure="false">modInfo!$B$36</definedName>
    <definedName function="false" hidden="false" name="Info_PeriodInTitle" vbProcedure="false">modInfo!$B$4</definedName>
    <definedName function="false" hidden="false" name="Info_PrDiff" vbProcedure="false">modInfo!$B$29</definedName>
    <definedName function="false" hidden="false" name="Info_PublicationNotDisclosed" vbProcedure="false">modInfo!$B$15</definedName>
    <definedName function="false" hidden="false" name="Info_PublicationPdf" vbProcedure="false">modInfo!$B$14</definedName>
    <definedName function="false" hidden="false" name="Info_PublicationWeb" vbProcedure="false">modInfo!$B$13</definedName>
    <definedName function="false" hidden="false" name="Info_TarName" vbProcedure="false">modInfo!$B$27</definedName>
    <definedName function="false" hidden="false" name="Info_TerExcludeHelp_1" vbProcedure="false">modInfo!$B$33</definedName>
    <definedName function="false" hidden="false" name="Info_TerExcludeHelp_2" vbProcedure="false">modInfo!$B$34</definedName>
    <definedName function="false" hidden="false" name="Info_TitleFil" vbProcedure="false">modInfo!$B$11</definedName>
    <definedName function="false" hidden="false" name="Info_TitleFlagCrossSubsidization" vbProcedure="false">modInfo!$B$8</definedName>
    <definedName function="false" hidden="false" name="Info_TitleFlagIstPubl" vbProcedure="false">modInfo!$B$9</definedName>
    <definedName function="false" hidden="false" name="Info_TitleFlagTwoPartTariff" vbProcedure="false">modInfo!$B$7</definedName>
    <definedName function="false" hidden="false" name="Info_TitleGroupRates" vbProcedure="false">modInfo!$B$5</definedName>
    <definedName function="false" hidden="false" name="Info_TitleKindPublication" vbProcedure="false">modInfo!$B$3</definedName>
    <definedName function="false" hidden="false" name="Info_TitleKindsOfGoods" vbProcedure="false">modInfo!$B$6</definedName>
    <definedName function="false" hidden="false" name="Info_TitlePublication" vbProcedure="false">modInfo!$B$2</definedName>
    <definedName function="false" hidden="false" name="Info_TitleType" vbProcedure="false">modInfo!$B$10</definedName>
    <definedName function="false" hidden="false" name="Info_T_Podkl" vbProcedure="false">modInfo!$B$24</definedName>
    <definedName function="false" hidden="false" name="inn" vbProcedure="false">Титульный!$F$33</definedName>
    <definedName function="false" hidden="false" name="IP_CLAIM_LIST" vbProcedure="false">TEHSHEET!$AZ$20:$AZ$26</definedName>
    <definedName function="false" hidden="false" name="IP_DETAILED_ADD_HL_EVENT_COLUMN_MARKER" vbProcedure="false">'ИП. Детализация'!$I$7</definedName>
    <definedName function="false" hidden="false" name="IP_DETAILED_ADD_HL_IST_FIN_COLUMN_MARKER" vbProcedure="false">'ИП. Детализация'!$AB$7</definedName>
    <definedName function="false" hidden="false" name="IP_DETAILED_ADD_HL_OBJECT_COLUMN_MARKER" vbProcedure="false">'ИП. Детализация'!$P$7</definedName>
    <definedName function="false" hidden="false" name="IP_DETAILED_DATA_KS" vbProcedure="false">'ИП. Детализация'!$M$7</definedName>
    <definedName function="false" hidden="false" name="IP_DETAILED_EVENT_MARKER" vbProcedure="false">'ИП. Детализация'!$K$7:$Y$7</definedName>
    <definedName function="false" hidden="false" name="IP_DETAILED_EVENT_SUBGROUP_COLUMN_MARKER" vbProcedure="false">'ИП. Детализация'!$J$7</definedName>
    <definedName function="false" hidden="false" name="IP_DETAILED_EVENT_SUBGROUP_RANGE_COLUMN_MARKER" vbProcedure="false">'ИП. Детализация'!$B$7</definedName>
    <definedName function="false" hidden="false" name="IP_DETAILED_FLAG_KS" vbProcedure="false">'ИП. Детализация'!$L$7</definedName>
    <definedName function="false" hidden="false" name="IP_DETAILED_FLAG_OBJECT" vbProcedure="false">'ИП. Детализация'!$P$13</definedName>
    <definedName function="false" hidden="false" name="IP_DETAILED_GROUP_MARKER" vbProcedure="false">'ИП. Детализация'!$I$7:$J$7</definedName>
    <definedName function="false" hidden="false" name="IP_DETAILED_ip_5" vbProcedure="false">'ИП. Детализация'!$14:$669</definedName>
    <definedName function="false" hidden="false" name="IP_DETAILED_IST_FIN_FACT_COLUMN_MARKER" vbProcedure="false">'ИП. Детализация'!$AD$7</definedName>
    <definedName function="false" hidden="false" name="IP_DETAILED_LIST_IP_ID" vbProcedure="false">'ИП. Детализация'!$A$670:$A$670</definedName>
    <definedName function="false" hidden="false" name="IP_DETAILED_MONTH_FACT_COLUMN_MARKER" vbProcedure="false">'ИП. Детализация'!$AJ$7</definedName>
    <definedName function="false" hidden="false" name="IP_DETAILED_MONTH_PLAN_COLUMN_MARKER" vbProcedure="false">'ИП. Детализация'!$AG$7</definedName>
    <definedName function="false" hidden="false" name="IP_DETAILED_NAME_EVENT_COLUMN_MARKER" vbProcedure="false">'ИП. Детализация'!$K$7</definedName>
    <definedName function="false" hidden="false" name="IP_DETAILED_YEAR_FACT_COLUMN_MARKER" vbProcedure="false">'ИП. Детализация'!$AK$7</definedName>
    <definedName function="false" hidden="false" name="IP_DETAILED_YEAR_PLAN_COLUMN_MARKER" vbProcedure="false">'ИП. Детализация'!$AH$7</definedName>
    <definedName function="false" hidden="false" name="IP_FIN_PLAN_ip_5" vbProcedure="false">'ИП. Финансовый план'!$K$11:$Q$11</definedName>
    <definedName function="false" hidden="false" name="IP_FIN_PLAN_LIST_ID_MARKER_ROW" vbProcedure="false">'ИП. Финансовый план'!$E$8</definedName>
    <definedName function="false" hidden="false" name="IP_FIN_PLAN_NAME_IP_MARKER_ROW" vbProcedure="false">'ИП. Финансовый план'!$E$11</definedName>
    <definedName function="false" hidden="false" name="IP_FIN_PLAN_YEAR_MARKER_ROW" vbProcedure="false">'ИП. Финансовый план'!$E$12</definedName>
    <definedName function="false" hidden="false" name="IP_ID" vbProcedure="false">TEHSHEET!$E$58</definedName>
    <definedName function="false" hidden="false" name="IP_MAIN_ADD_HL_PROPERTY_COLUMN_MARKER" vbProcedure="false">ИП!$AB$7</definedName>
    <definedName function="false" hidden="false" name="IP_MAIN_APPROVAL_DATE" vbProcedure="false">ИП!$I$11:$I$15</definedName>
    <definedName function="false" hidden="false" name="IP_MAIN_CHANGE_DATE" vbProcedure="false">ИП!$J$11:$J$15</definedName>
    <definedName function="false" hidden="false" name="IP_MAIN_CLAIM" vbProcedure="false">ИП!$K$11:$K$15</definedName>
    <definedName function="false" hidden="false" name="IP_MAIN_DATE_PARKING" vbProcedure="false">ИП!$L$5</definedName>
    <definedName function="false" hidden="false" name="IP_MAIN_DELETE_HL_COLUMN_MARKER" vbProcedure="false">ИП!$E$7</definedName>
    <definedName function="false" hidden="false" name="IP_MAIN_DIFFERENTIATION_EVENTS_FLAG" vbProcedure="false">ИП!$H$11:$H$15</definedName>
    <definedName function="false" hidden="false" name="IP_MAIN_END_DATE" vbProcedure="false">ИП!$O$11:$O$15</definedName>
    <definedName function="false" hidden="false" name="IP_MAIN_FLAG_KS" vbProcedure="false">ИП!$Y$11:$Y$15</definedName>
    <definedName function="false" hidden="false" name="IP_MAIN_FLAG_KS_COLUMN_MARKER" vbProcedure="false">ИП!$Y$7</definedName>
    <definedName function="false" hidden="false" name="IP_MAIN_ip_5" vbProcedure="false">ИП!$13:$14</definedName>
    <definedName function="false" hidden="false" name="IP_MAIN_IP_FIN_PLAN_VISIBLE_FLAG" vbProcedure="false">ИП!$H$17</definedName>
    <definedName function="false" hidden="false" name="IP_MAIN_LIST_IP_ID" vbProcedure="false">ИП!$AD$11:$AD$15</definedName>
    <definedName function="false" hidden="false" name="IP_MAIN_LIST_NAME_IP" vbProcedure="false">ИП!$G$11:$G$15</definedName>
    <definedName function="false" hidden="false" name="IP_MAIN_PERIOD_REALIZ_DATE" vbProcedure="false">ИП!$P$11:$P$15</definedName>
    <definedName function="false" hidden="false" name="IP_MAIN_PR_IP_CHANGE_DATE" vbProcedure="false">ИП!$X$11:$X$15</definedName>
    <definedName function="false" hidden="false" name="IP_MAIN_PR_IP_DATE" vbProcedure="false">ИП!$T$11:$T$15</definedName>
    <definedName function="false" hidden="false" name="IP_MAIN_PR_IP_NAME" vbProcedure="false">ИП!$Q$11:$Q$15</definedName>
    <definedName function="false" hidden="false" name="IP_MAIN_PR_IP_NUMBER" vbProcedure="false">ИП!$S$11:$S$15</definedName>
    <definedName function="false" hidden="false" name="IP_MAIN_PR_IP_TYPE" vbProcedure="false">ИП!$R$11:$R$15</definedName>
    <definedName function="false" hidden="false" name="IP_MAIN_START_DATE" vbProcedure="false">ИП!$N$11:$N$15</definedName>
    <definedName function="false" hidden="false" name="IP_NAME_FORM" vbProcedure="false">DATA_FORMS!$C$32</definedName>
    <definedName function="false" hidden="false" name="IP_QRE_ADD_HL_CLAIM_COLUMN_MARKER" vbProcedure="false">'ИП. КНЭ'!$G$7</definedName>
    <definedName function="false" hidden="false" name="IP_QRE_ADD_HL_COLUMN_MARKER" vbProcedure="false">'ИП. КНЭ'!$G$8</definedName>
    <definedName function="false" hidden="false" name="IP_QRE_DELETE_HL_COLUMN_MARKER" vbProcedure="false">'ИП. КНЭ'!$E$8</definedName>
    <definedName function="false" hidden="false" name="IP_QRE_ip_5" vbProcedure="false">'ИП. КНЭ'!$21:$23</definedName>
    <definedName function="false" hidden="false" name="IP_QRE_LIST_IP_ID" vbProcedure="false">'ИП. КНЭ'!$A$18:$A$20</definedName>
    <definedName function="false" hidden="false" name="IP_QRE_NUM_COLUMN_MARKER" vbProcedure="false">'ИП. КНЭ'!$F$8</definedName>
    <definedName function="false" hidden="false" name="IP_QRE_OTKO_FEATURES_BLOCK" vbProcedure="false">'ИП. КНЭ'!$DY$8</definedName>
    <definedName function="false" hidden="false" name="IP_QRE_VOTV_FEATURES_BLOCK" vbProcedure="false">'ИП. КНЭ'!$CY$8:$DX$8</definedName>
    <definedName function="false" hidden="false" name="IP_QRE_VSNA_FEATURES_BLOCK" vbProcedure="false">'ИП. КНЭ'!$BT$8:$CX$8</definedName>
    <definedName function="false" hidden="false" name="IP_QRE_WARM_FEATURES_BLOCK" vbProcedure="false">'ИП. КНЭ'!$O$8:$BS$8</definedName>
    <definedName function="false" hidden="false" name="IST_TE_ID" vbProcedure="false">TEHSHEET!$E$64</definedName>
    <definedName function="false" hidden="false" name="kind_group_rates" vbProcedure="false">TEHSHEET!$X$2:$X$14</definedName>
    <definedName function="false" hidden="false" name="kind_group_rates_load" vbProcedure="false">TEHSHEET!$AP$2:$AP$11</definedName>
    <definedName function="false" hidden="false" name="kind_group_rates_load_ETS" vbProcedure="false">TEHSHEET!$AP$2:$AP$11</definedName>
    <definedName function="false" hidden="false" name="kind_group_rates_load_filter" vbProcedure="false">TEHSHEET!$AQ$2:$AQ$11</definedName>
    <definedName function="false" hidden="false" name="kind_group_rates_load_filter_ETS" vbProcedure="false">TEHSHEET!$AQ$2:$AQ$11</definedName>
    <definedName function="false" hidden="false" name="kind_of_activity_WARM" vbProcedure="false">TEHSHEET!$N$2:$N$8</definedName>
    <definedName function="false" hidden="false" name="kind_of_cons" vbProcedure="false">TEHSHEET!$R$2:$R$6</definedName>
    <definedName function="false" hidden="false" name="kind_of_control_method" vbProcedure="false">TEHSHEET!$K$2:$K$5</definedName>
    <definedName function="false" hidden="false" name="kind_of_control_method_filter" vbProcedure="false">TEHSHEET!$L$2:$L$5</definedName>
    <definedName function="false" hidden="false" name="kind_of_data_type" vbProcedure="false">TEHSHEET!$P$2:$P$3</definedName>
    <definedName function="false" hidden="false" name="kind_of_diameters" vbProcedure="false">TEHSHEET!$T$2:$T$6</definedName>
    <definedName function="false" hidden="false" name="kind_of_diameters2" vbProcedure="false">TEHSHEET!$AU$2:$AU$8</definedName>
    <definedName function="false" hidden="false" name="kind_of_diff" vbProcedure="false">TEHSHEET!$AS$2:$AS$4</definedName>
    <definedName function="false" hidden="false" name="kind_of_fuel" vbProcedure="false">TEHSHEET!$AK$2:$AK$9</definedName>
    <definedName function="false" hidden="false" name="kind_of_fuels" vbProcedure="false">TEHSHEET!$BB$2:$BB$29</definedName>
    <definedName function="false" hidden="false" name="kind_of_heat_transfer" vbProcedure="false">TEHSHEET!$O$2:$O$12</definedName>
    <definedName function="false" hidden="false" name="kind_of_heat_transfer2" vbProcedure="false">TEHSHEET!$AH$2:$AH$7</definedName>
    <definedName function="false" hidden="false" name="kind_of_heat_transfer3" vbProcedure="false">TEHSHEET!$AI$2:$AI$3</definedName>
    <definedName function="false" hidden="false" name="kind_of_load" vbProcedure="false">TEHSHEET!$U$2:$U$7</definedName>
    <definedName function="false" hidden="false" name="kind_of_load2" vbProcedure="false">TEHSHEET!$U$2:$U$4</definedName>
    <definedName function="false" hidden="false" name="kind_of_load3" vbProcedure="false">TEHSHEET!$AF$2:$AF$5</definedName>
    <definedName function="false" hidden="false" name="kind_of_load4" vbProcedure="false">TEHSHEET!$U$2:$U$5</definedName>
    <definedName function="false" hidden="false" name="kind_of_NDS" vbProcedure="false">TEHSHEET!$H$2:$H$8</definedName>
    <definedName function="false" hidden="false" name="kind_of_NDS_tariff" vbProcedure="false">TEHSHEET!$H$10:$H$11</definedName>
    <definedName function="false" hidden="false" name="kind_of_NDS_tariff_people" vbProcedure="false">TEHSHEET!$H$16:$H$17</definedName>
    <definedName function="false" hidden="false" name="kind_of_nets" vbProcedure="false">TEHSHEET!$S$2:$S$4</definedName>
    <definedName function="false" hidden="false" name="kind_of_org_type" vbProcedure="false">TEHSHEET!$AZ$2:$AZ$5</definedName>
    <definedName function="false" hidden="false" name="kind_of_power_te_unit" vbProcedure="false">TEHSHEET!$J$11:$J$12</definedName>
    <definedName function="false" hidden="false" name="kind_of_publication" vbProcedure="false">TEHSHEET!$G$2:$G$3</definedName>
    <definedName function="false" hidden="false" name="kind_of_purchase_method" vbProcedure="false">TEHSHEET!$K$11:$K$13</definedName>
    <definedName function="false" hidden="false" name="kind_of_scheme_in" vbProcedure="false">TEHSHEET!$Q$2:$Q$5</definedName>
    <definedName function="false" hidden="false" name="kind_of_scheme_in2" vbProcedure="false">TEHSHEET!$Q$3:$Q$5</definedName>
    <definedName function="false" hidden="false" name="kind_of_tariff_RHEAT" vbProcedure="false">TEHSHEET!$E$19:$E$20</definedName>
    <definedName function="false" hidden="false" name="kind_of_tariff_unit" vbProcedure="false">TEHSHEET!$J$7:$J$8</definedName>
    <definedName function="false" hidden="false" name="kind_of_unit" vbProcedure="false">TEHSHEET!$J$2:$J$4</definedName>
    <definedName function="false" hidden="false" name="kind_of_volume_te_unit" vbProcedure="false">TEHSHEET!$J$15:$J$16</definedName>
    <definedName function="false" hidden="false" name="kind_of_zak" vbProcedure="false">TEHSHEET!$AM$2:$AM$7</definedName>
    <definedName function="false" hidden="false" name="KNE_NAME_FORM" vbProcedure="false">DATA_FORMS!$C$8</definedName>
    <definedName function="false" hidden="false" name="kpp" vbProcedure="false">Титульный!$F$34</definedName>
    <definedName function="false" hidden="false" name="LINK_RANGE" vbProcedure="false">REESTR_LINK!$B$2:$B$3</definedName>
    <definedName function="false" hidden="false" name="ListForms" vbProcedure="false">modSheetMain!$A:$A</definedName>
    <definedName function="false" hidden="false" name="List_H" vbProcedure="false">TEHSHEET!$AW$2:$AW$25</definedName>
    <definedName function="false" hidden="false" name="List_M" vbProcedure="false">TEHSHEET!$AX$2:$AX$61</definedName>
    <definedName function="false" hidden="false" name="LIST_MR_MO_OKTMO" vbProcedure="false">REESTR_MO!$A$2:$D$709</definedName>
    <definedName function="false" hidden="false" name="LIST_MR_MO_OKTMO_FILTER" vbProcedure="false">REESTR_MO_FILTER!$A$2:$D$708</definedName>
    <definedName function="false" hidden="false" name="logical" vbProcedure="false">TEHSHEET!$D$2:$D$3</definedName>
    <definedName function="false" hidden="false" name="MONTH" vbProcedure="false">TEHSHEET!$E$2:$E$13</definedName>
    <definedName function="false" hidden="false" name="MONTH_IP_LIST" vbProcedure="false">TEHSHEET!$BF$2:$BF$13</definedName>
    <definedName function="false" hidden="false" name="nalog" vbProcedure="false">Титульный!$F$37</definedName>
    <definedName function="false" hidden="false" name="NameTemplatesInListMO" vbProcedure="false">TEHSHEET!$K$45</definedName>
    <definedName function="false" hidden="false" name="NameTemplatesInTitle" vbProcedure="false">TEHSHEET!$J$45</definedName>
    <definedName function="false" hidden="false" name="NameTemplatesInTitleList" vbProcedure="false">TEHSHEET!$J$46:$J$53</definedName>
    <definedName function="false" hidden="false" name="name_rates_4" vbProcedure="false">TEHSHEET!$AA$2:$AA$3</definedName>
    <definedName function="false" hidden="false" name="name_rates_4_filter" vbProcedure="false">TEHSHEET!$AB$2:$AB$3</definedName>
    <definedName function="false" hidden="false" name="name_rates_8" vbProcedure="false">TEHSHEET!$AC$2:$AC$4</definedName>
    <definedName function="false" hidden="false" name="name_rates_8_filter" vbProcedure="false">TEHSHEET!$AD$2:$AD$4</definedName>
    <definedName function="false" hidden="false" name="NTAR_ID" vbProcedure="false">TEHSHEET!$E$61</definedName>
    <definedName function="false" hidden="false" name="OFFER_DPR" vbProcedure="false">Предложение!$L$85</definedName>
    <definedName function="false" hidden="false" name="OFFER_METHOD" vbProcedure="false">Предложение!$K$24:$K$83</definedName>
    <definedName function="false" hidden="false" name="OFFER_METHOD_FLAG" vbProcedure="false">TEHSHEET!$L$6</definedName>
    <definedName function="false" hidden="false" name="OFFER_TARIFF_A_1" vbProcedure="false">Предложение!$24:$26</definedName>
    <definedName function="false" hidden="false" name="OFFER_TARIFF_A_2" vbProcedure="false">Предложение!$87:$89</definedName>
    <definedName function="false" hidden="false" name="OFFER_TARIFF_A_3" vbProcedure="false">Предложение!$148:$150</definedName>
    <definedName function="false" hidden="false" name="OFFER_TARIFF_A_4" vbProcedure="false">Предложение!$209:$211</definedName>
    <definedName function="false" hidden="false" name="OFFER_TARIFF_A_5" vbProcedure="false">Предложение!$270:$272</definedName>
    <definedName function="false" hidden="false" name="OFFER_TARIFF_A_COLDVSNA_1" vbProcedure="false">Предложение!$51:$53</definedName>
    <definedName function="false" hidden="false" name="OFFER_TARIFF_A_COLDVSNA_2" vbProcedure="false">Предложение!$114:$116</definedName>
    <definedName function="false" hidden="false" name="OFFER_TARIFF_A_COLDVSNA_3" vbProcedure="false">Предложение!$175:$177</definedName>
    <definedName function="false" hidden="false" name="OFFER_TARIFF_A_COLDVSNA_4" vbProcedure="false">Предложение!$236:$238</definedName>
    <definedName function="false" hidden="false" name="OFFER_TARIFF_A_COLDVSNA_5" vbProcedure="false">Предложение!$297:$299</definedName>
    <definedName function="false" hidden="false" name="OFFER_TARIFF_A_HOTVSNA_1" vbProcedure="false">Предложение!$66:$68</definedName>
    <definedName function="false" hidden="false" name="OFFER_TARIFF_A_HOTVSNA_2" vbProcedure="false">Предложение!$129:$131</definedName>
    <definedName function="false" hidden="false" name="OFFER_TARIFF_A_HOTVSNA_3" vbProcedure="false">Предложение!$190:$192</definedName>
    <definedName function="false" hidden="false" name="OFFER_TARIFF_A_HOTVSNA_4" vbProcedure="false">Предложение!$251:$253</definedName>
    <definedName function="false" hidden="false" name="OFFER_TARIFF_A_HOTVSNA_5" vbProcedure="false">Предложение!$312:$314</definedName>
    <definedName function="false" hidden="false" name="OFFER_TARIFF_A_VOTV_1" vbProcedure="false">Предложение!$75:$77</definedName>
    <definedName function="false" hidden="false" name="OFFER_TARIFF_A_VOTV_2" vbProcedure="false">Предложение!$138:$140</definedName>
    <definedName function="false" hidden="false" name="OFFER_TARIFF_A_VOTV_3" vbProcedure="false">Предложение!$199:$201</definedName>
    <definedName function="false" hidden="false" name="OFFER_TARIFF_A_VOTV_4" vbProcedure="false">Предложение!$260:$262</definedName>
    <definedName function="false" hidden="false" name="OFFER_TARIFF_A_VOTV_5" vbProcedure="false">Предложение!$321:$323</definedName>
    <definedName function="false" hidden="false" name="OFFER_TARIFF_B_1" vbProcedure="false">Предложение!$27:$29</definedName>
    <definedName function="false" hidden="false" name="OFFER_TARIFF_B_2" vbProcedure="false">Предложение!$90:$92</definedName>
    <definedName function="false" hidden="false" name="OFFER_TARIFF_B_3" vbProcedure="false">Предложение!$151:$153</definedName>
    <definedName function="false" hidden="false" name="OFFER_TARIFF_B_4" vbProcedure="false">Предложение!$212:$214</definedName>
    <definedName function="false" hidden="false" name="OFFER_TARIFF_B_5" vbProcedure="false">Предложение!$273:$275</definedName>
    <definedName function="false" hidden="false" name="OFFER_TARIFF_B_COLDVSNA_1" vbProcedure="false">Предложение!$54:$56</definedName>
    <definedName function="false" hidden="false" name="OFFER_TARIFF_B_COLDVSNA_2" vbProcedure="false">Предложение!$117:$119</definedName>
    <definedName function="false" hidden="false" name="OFFER_TARIFF_B_COLDVSNA_3" vbProcedure="false">Предложение!$178:$180</definedName>
    <definedName function="false" hidden="false" name="OFFER_TARIFF_B_COLDVSNA_4" vbProcedure="false">Предложение!$239:$241</definedName>
    <definedName function="false" hidden="false" name="OFFER_TARIFF_B_COLDVSNA_5" vbProcedure="false">Предложение!$300:$302</definedName>
    <definedName function="false" hidden="false" name="OFFER_TARIFF_B_HOTVSNA_1" vbProcedure="false">Предложение!$69:$71</definedName>
    <definedName function="false" hidden="false" name="OFFER_TARIFF_B_HOTVSNA_2" vbProcedure="false">Предложение!$132:$134</definedName>
    <definedName function="false" hidden="false" name="OFFER_TARIFF_B_HOTVSNA_3" vbProcedure="false">Предложение!$193:$195</definedName>
    <definedName function="false" hidden="false" name="OFFER_TARIFF_B_HOTVSNA_4" vbProcedure="false">Предложение!$254:$256</definedName>
    <definedName function="false" hidden="false" name="OFFER_TARIFF_B_HOTVSNA_5" vbProcedure="false">Предложение!$315:$317</definedName>
    <definedName function="false" hidden="false" name="OFFER_TARIFF_B_VOTV_1" vbProcedure="false">Предложение!$78:$80</definedName>
    <definedName function="false" hidden="false" name="OFFER_TARIFF_B_VOTV_2" vbProcedure="false">Предложение!$141:$143</definedName>
    <definedName function="false" hidden="false" name="OFFER_TARIFF_B_VOTV_3" vbProcedure="false">Предложение!$202:$204</definedName>
    <definedName function="false" hidden="false" name="OFFER_TARIFF_B_VOTV_4" vbProcedure="false">Предложение!$263:$265</definedName>
    <definedName function="false" hidden="false" name="OFFER_TARIFF_B_VOTV_5" vbProcedure="false">Предложение!$324:$326</definedName>
    <definedName function="false" hidden="false" name="OFFER_TARIFF_C_1" vbProcedure="false">Предложение!$30:$32</definedName>
    <definedName function="false" hidden="false" name="OFFER_TARIFF_C_2" vbProcedure="false">Предложение!$93:$95</definedName>
    <definedName function="false" hidden="false" name="OFFER_TARIFF_C_3" vbProcedure="false">Предложение!$154:$156</definedName>
    <definedName function="false" hidden="false" name="OFFER_TARIFF_C_4" vbProcedure="false">Предложение!$215:$217</definedName>
    <definedName function="false" hidden="false" name="OFFER_TARIFF_C_5" vbProcedure="false">Предложение!$276:$278</definedName>
    <definedName function="false" hidden="false" name="OFFER_TARIFF_C_COLDVSNA_1" vbProcedure="false">Предложение!$57:$59</definedName>
    <definedName function="false" hidden="false" name="OFFER_TARIFF_C_COLDVSNA_2" vbProcedure="false">Предложение!$120:$122</definedName>
    <definedName function="false" hidden="false" name="OFFER_TARIFF_C_COLDVSNA_3" vbProcedure="false">Предложение!$181:$183</definedName>
    <definedName function="false" hidden="false" name="OFFER_TARIFF_C_COLDVSNA_4" vbProcedure="false">Предложение!$242:$244</definedName>
    <definedName function="false" hidden="false" name="OFFER_TARIFF_C_COLDVSNA_5" vbProcedure="false">Предложение!$303:$305</definedName>
    <definedName function="false" hidden="false" name="OFFER_TARIFF_C_HOTVSNA_1" vbProcedure="false">Предложение!$72:$74</definedName>
    <definedName function="false" hidden="false" name="OFFER_TARIFF_C_HOTVSNA_2" vbProcedure="false">Предложение!$135:$137</definedName>
    <definedName function="false" hidden="false" name="OFFER_TARIFF_C_HOTVSNA_3" vbProcedure="false">Предложение!$196:$198</definedName>
    <definedName function="false" hidden="false" name="OFFER_TARIFF_C_HOTVSNA_4" vbProcedure="false">Предложение!$257:$259</definedName>
    <definedName function="false" hidden="false" name="OFFER_TARIFF_C_HOTVSNA_5" vbProcedure="false">Предложение!$318:$320</definedName>
    <definedName function="false" hidden="false" name="OFFER_TARIFF_C_VOTV_1" vbProcedure="false">Предложение!$81:$83</definedName>
    <definedName function="false" hidden="false" name="OFFER_TARIFF_C_VOTV_2" vbProcedure="false">Предложение!$144:$146</definedName>
    <definedName function="false" hidden="false" name="OFFER_TARIFF_C_VOTV_3" vbProcedure="false">Предложение!$205:$207</definedName>
    <definedName function="false" hidden="false" name="OFFER_TARIFF_C_VOTV_4" vbProcedure="false">Предложение!$266:$268</definedName>
    <definedName function="false" hidden="false" name="OFFER_TARIFF_C_VOTV_5" vbProcedure="false">Предложение!$327:$329</definedName>
    <definedName function="false" hidden="false" name="OFFER_TARIFF_D_1" vbProcedure="false">Предложение!$33:$35</definedName>
    <definedName function="false" hidden="false" name="OFFER_TARIFF_D_2" vbProcedure="false">Предложение!$96:$98</definedName>
    <definedName function="false" hidden="false" name="OFFER_TARIFF_D_3" vbProcedure="false">Предложение!$157:$159</definedName>
    <definedName function="false" hidden="false" name="OFFER_TARIFF_D_4" vbProcedure="false">Предложение!$218:$220</definedName>
    <definedName function="false" hidden="false" name="OFFER_TARIFF_D_5" vbProcedure="false">Предложение!$279:$281</definedName>
    <definedName function="false" hidden="false" name="OFFER_TARIFF_D_COLDVSNA_1" vbProcedure="false">Предложение!$60:$62</definedName>
    <definedName function="false" hidden="false" name="OFFER_TARIFF_D_COLDVSNA_2" vbProcedure="false">Предложение!$123:$125</definedName>
    <definedName function="false" hidden="false" name="OFFER_TARIFF_D_COLDVSNA_3" vbProcedure="false">Предложение!$184:$186</definedName>
    <definedName function="false" hidden="false" name="OFFER_TARIFF_D_COLDVSNA_4" vbProcedure="false">Предложение!$245:$247</definedName>
    <definedName function="false" hidden="false" name="OFFER_TARIFF_D_COLDVSNA_5" vbProcedure="false">Предложение!$306:$308</definedName>
    <definedName function="false" hidden="false" name="OFFER_TARIFF_E1_1" vbProcedure="false">Предложение!$36:$38</definedName>
    <definedName function="false" hidden="false" name="OFFER_TARIFF_E1_2" vbProcedure="false">Предложение!$99:$101</definedName>
    <definedName function="false" hidden="false" name="OFFER_TARIFF_E1_3" vbProcedure="false">Предложение!$160:$162</definedName>
    <definedName function="false" hidden="false" name="OFFER_TARIFF_E1_4" vbProcedure="false">Предложение!$221:$223</definedName>
    <definedName function="false" hidden="false" name="OFFER_TARIFF_E1_5" vbProcedure="false">Предложение!$282:$284</definedName>
    <definedName function="false" hidden="false" name="OFFER_TARIFF_E2_1" vbProcedure="false">Предложение!$39:$41</definedName>
    <definedName function="false" hidden="false" name="OFFER_TARIFF_E2_2" vbProcedure="false">Предложение!$102:$104</definedName>
    <definedName function="false" hidden="false" name="OFFER_TARIFF_E2_3" vbProcedure="false">Предложение!$163:$165</definedName>
    <definedName function="false" hidden="false" name="OFFER_TARIFF_E2_4" vbProcedure="false">Предложение!$224:$226</definedName>
    <definedName function="false" hidden="false" name="OFFER_TARIFF_E2_5" vbProcedure="false">Предложение!$285:$287</definedName>
    <definedName function="false" hidden="false" name="OFFER_TARIFF_E_COLDVSNA_1" vbProcedure="false">Предложение!$63:$65</definedName>
    <definedName function="false" hidden="false" name="OFFER_TARIFF_E_COLDVSNA_2" vbProcedure="false">Предложение!$126:$128</definedName>
    <definedName function="false" hidden="false" name="OFFER_TARIFF_E_COLDVSNA_3" vbProcedure="false">Предложение!$187:$189</definedName>
    <definedName function="false" hidden="false" name="OFFER_TARIFF_E_COLDVSNA_4" vbProcedure="false">Предложение!$248:$250</definedName>
    <definedName function="false" hidden="false" name="OFFER_TARIFF_E_COLDVSNA_5" vbProcedure="false">Предложение!$309:$311</definedName>
    <definedName function="false" hidden="false" name="OFFER_TARIFF_F_1" vbProcedure="false">Предложение!$42:$44</definedName>
    <definedName function="false" hidden="false" name="OFFER_TARIFF_F_2" vbProcedure="false">Предложение!$105:$107</definedName>
    <definedName function="false" hidden="false" name="OFFER_TARIFF_F_3" vbProcedure="false">Предложение!$166:$168</definedName>
    <definedName function="false" hidden="false" name="OFFER_TARIFF_F_4" vbProcedure="false">Предложение!$227:$229</definedName>
    <definedName function="false" hidden="false" name="OFFER_TARIFF_F_5" vbProcedure="false">Предложение!$288:$290</definedName>
    <definedName function="false" hidden="false" name="OFFER_TARIFF_G_1" vbProcedure="false">Предложение!$45:$47</definedName>
    <definedName function="false" hidden="false" name="OFFER_TARIFF_G_2" vbProcedure="false">Предложение!$108:$110</definedName>
    <definedName function="false" hidden="false" name="OFFER_TARIFF_G_3" vbProcedure="false">Предложение!$169:$171</definedName>
    <definedName function="false" hidden="false" name="OFFER_TARIFF_G_4" vbProcedure="false">Предложение!$230:$232</definedName>
    <definedName function="false" hidden="false" name="OFFER_TARIFF_G_5" vbProcedure="false">Предложение!$291:$293</definedName>
    <definedName function="false" hidden="false" name="OFFER_TARIFF_H_1" vbProcedure="false">Предложение!$48:$50</definedName>
    <definedName function="false" hidden="false" name="org" vbProcedure="false">Титульный!$F$31</definedName>
    <definedName function="false" hidden="false" name="Org_Address" vbProcedure="false">Титульный!$F$64:$F$64</definedName>
    <definedName function="false" hidden="false" name="ORG_END_DATE" vbProcedure="false">TEHSHEET!$F$29</definedName>
    <definedName function="false" hidden="false" name="ORG_INFO_DATE_OGRN" vbProcedure="false">'Общая информация об организации'!$F$17</definedName>
    <definedName function="false" hidden="false" name="ORG_INFO_DATE_PARKING" vbProcedure="false">'Общая информация об организации'!$G$4</definedName>
    <definedName function="false" hidden="false" name="ORG_INFO_DATE_UNI_TS" vbProcedure="false">'Общая информация об организации'!$F$21</definedName>
    <definedName function="false" hidden="false" name="ORG_INFO_EMAIL" vbProcedure="false">'Общая информация об организации'!$F$44</definedName>
    <definedName function="false" hidden="false" name="ORG_INFO_ET" vbProcedure="false">'Общая информация об организации'!$F$20:$F$24</definedName>
    <definedName function="false" hidden="false" name="ORG_INFO_ET_CYAN" vbProcedure="false">'Общая информация об организации'!$F$20:$F$23</definedName>
    <definedName function="false" hidden="false" name="ORG_INFO_FLAG_INVEST" vbProcedure="false">'Общая информация об организации'!$F$51</definedName>
    <definedName function="false" hidden="false" name="ORG_INFO_NAME_FORM" vbProcedure="false">DATA_FORMS!$C$4</definedName>
    <definedName function="false" hidden="false" name="ORG_INFO_P_NOTE_MAIN" vbProcedure="false">DATA_NPA!$N$3</definedName>
    <definedName function="false" hidden="false" name="ORG_INFO_RESP_EMAIL" vbProcedure="false">'Общая информация об организации'!$F$32</definedName>
    <definedName function="false" hidden="false" name="ORG_INFO_URL" vbProcedure="false">'Общая информация об организации'!$F$43</definedName>
    <definedName function="false" hidden="false" name="Org_main" vbProcedure="false">Титульный!$F$65</definedName>
    <definedName function="false" hidden="false" name="ORG_START_DATE" vbProcedure="false">TEHSHEET!$E$29</definedName>
    <definedName function="false" hidden="false" name="ORG_TERRITORY_FIRST_MO" vbProcedure="false">'Сведения по территориям'!$G$12</definedName>
    <definedName function="false" hidden="false" name="ORG_TERRITORY_FLAG_INTERNET" vbProcedure="false">'Сведения по территориям'!$J$11:$J$13</definedName>
    <definedName function="false" hidden="false" name="ORG_TERRITORY_LINK" vbProcedure="false">'Сведения по территориям'!$K$11:$K$13</definedName>
    <definedName function="false" hidden="false" name="ORG_TERRITORY_NAME_COL" vbProcedure="false">'Сведения по территориям'!$G$1:$I$1</definedName>
    <definedName function="false" hidden="false" name="ORG_TERRITORY_POINT_NUMBER_1" vbProcedure="false">'Сведения по территориям'!$A:$A</definedName>
    <definedName function="false" hidden="false" name="ORG_VD_EM" vbProcedure="false">'Общая информация по ВД'!$K$11:$K$13</definedName>
    <definedName function="false" hidden="false" name="ORG_VD_FIRST_ROW" vbProcedure="false">'Общая информация по ВД'!$12:$12</definedName>
    <definedName function="false" hidden="false" name="ORG_VD_FIRST_SYSTEM" vbProcedure="false">'Общая информация по ВД'!$E$12</definedName>
    <definedName function="false" hidden="false" name="ORG_VD_NAME_FORM" vbProcedure="false">DATA_FORMS!$C$31</definedName>
    <definedName function="false" hidden="false" name="ORG_VD_SYSTEM" vbProcedure="false">'Общая информация по ВД'!$E$11:$E$13</definedName>
    <definedName function="false" hidden="false" name="ORG_VD_TKO_ADD_HL_ACTIVITY_COLUMN_MARKER" vbProcedure="false">'Виды объектов'!$E$9</definedName>
    <definedName function="false" hidden="false" name="ORG_VD_TKO_ADD_HL_TYPE_OBJECT_COLUMN_MARKER" vbProcedure="false">'Виды объектов'!$H$9</definedName>
    <definedName function="false" hidden="false" name="ORG_VD_TKO_DEL_HL_ACTIVITY_COLUMN_MARKER" vbProcedure="false">'Виды объектов'!$C$9</definedName>
    <definedName function="false" hidden="false" name="ORG_VD_TKO_DEL_HL_TYPE_OBJECT_COLUMN_MARKER" vbProcedure="false">'Виды объектов'!$F$9</definedName>
    <definedName function="false" hidden="false" name="ORG_VD_TKO_VD" vbProcedure="false">'Виды объектов'!$E$13:$E$16</definedName>
    <definedName function="false" hidden="false" name="ORG_VD_TKO_VD_ID" vbProcedure="false">'Виды объектов'!$O$13:$O$16</definedName>
    <definedName function="false" hidden="false" name="ORG_VD_VD" vbProcedure="false">'Общая информация по ВД'!$F$11:$F$13</definedName>
    <definedName function="false" hidden="false" name="ORG_VD_VD_ID" vbProcedure="false">'Общая информация по ВД'!$AM$11:$AM$13</definedName>
    <definedName function="false" hidden="false" name="OTKO_FIN_SRC_LIST" vbProcedure="false">TEHSHEET!$BN$4:$BN$18</definedName>
    <definedName function="false" hidden="false" name="OTKO_FIN_SRC_VLD_LIST" vbProcedure="false">TEHSHEET!$BN$39:$BN$48</definedName>
    <definedName function="false" hidden="false" name="OTKO_IP_EVENT_CI_STAGE_LIST" vbProcedure="false">TEHSHEET!$BN$97:$BN$104</definedName>
    <definedName function="false" hidden="false" name="OTKO_IP_EVENT_GROUP_LIST" vbProcedure="false">TEHSHEET!$BN$69:$BN$74</definedName>
    <definedName function="false" hidden="false" name="OTKO_IP_EVENT_TYPE_LIST" vbProcedure="false">TEHSHEET!$BN$108</definedName>
    <definedName function="false" hidden="false" name="otv_lico_name" vbProcedure="false">Титульный!$F$67:$F$70</definedName>
    <definedName function="false" hidden="false" name="pCng_P_T_TERMS_1" vbProcedure="false">Договоры!$E$14:$E$15</definedName>
    <definedName function="false" hidden="false" name="pCng_P_T_TERMS_2" vbProcedure="false">Договоры!$E$17:$E$18</definedName>
    <definedName function="false" hidden="false" name="pCng_P_T_TERMS_3" vbProcedure="false">Договоры!$E$21:$E$22</definedName>
    <definedName function="false" hidden="false" name="pCng_P_T_TERMS_4" vbProcedure="false">Договоры!$E$25:$E$26</definedName>
    <definedName function="false" hidden="false" name="pDel_B_STANDARTS" vbProcedure="false">'Стандарты качества'!$H$12:$H$13</definedName>
    <definedName function="false" hidden="false" name="pDel_CHANGE_INFO" vbProcedure="false">'Сведения об изменении'!$C$12:$C$13</definedName>
    <definedName function="false" hidden="false" name="pDel_Comm" vbProcedure="false">Комментарии!$C$11:$C$12</definedName>
    <definedName function="false" hidden="false" name="pDel_DIFFERENTIATION_AREA" vbProcedure="false">Дифференциация!$G$12:$G$23</definedName>
    <definedName function="false" hidden="false" name="pDel_DIFFERENTIATION_SYSTEM" vbProcedure="false">Дифференциация!$K$12:$K$23</definedName>
    <definedName function="false" hidden="false" name="pDel_DIFFERENTIATION_VD" vbProcedure="false">Дифференциация!$C$12:$C$23</definedName>
    <definedName function="false" hidden="false" name="pDel_ED" vbProcedure="false">ЭД!$C$12:$C$13</definedName>
    <definedName function="false" hidden="false" name="pDel_IP_DETAILED_EVENT" vbProcedure="false">'ИП. Детализация'!$G$13</definedName>
    <definedName function="false" hidden="false" name="pDel_IP_DETAILED_IST_FIN" vbProcedure="false">'ИП. Детализация'!$Z$13</definedName>
    <definedName function="false" hidden="false" name="pDel_IP_DETAILED_OBJECT" vbProcedure="false">'ИП. Детализация'!$N$13</definedName>
    <definedName function="false" hidden="false" name="pDel_IP_MAIN" vbProcedure="false">ИП!$E$11:$E$15</definedName>
    <definedName function="false" hidden="false" name="pDel_IP_MAIN_PROPERTY" vbProcedure="false">ИП!$Z$11:$Z$15</definedName>
    <definedName function="false" hidden="false" name="pDel_IP_QRE_CLAIM" vbProcedure="false">'ИП. КНЭ'!$E$18:$E$20</definedName>
    <definedName function="false" hidden="false" name="pDel_List07" vbProcedure="false">'Сведения об изменении'!$C$11:$C$13</definedName>
    <definedName function="false" hidden="false" name="pDel_LT_AREA" vbProcedure="false">'Список территорий'!$C$12:$C$21</definedName>
    <definedName function="false" hidden="false" name="pDel_LT_MO" vbProcedure="false">'Список территорий'!$D$11:$D$21</definedName>
    <definedName function="false" hidden="false" name="pDel_ORG_INFO" vbProcedure="false">'Общая информация об организации'!$C$40:$C$50</definedName>
    <definedName function="false" hidden="false" name="pDel_ORG_TERRITORY" vbProcedure="false">'Сведения по территориям'!$D$11:$D$13</definedName>
    <definedName function="false" hidden="false" name="pDel_ORG_VD" vbProcedure="false">'Общая информация по ВД'!$C$11:$C$13</definedName>
    <definedName function="false" hidden="false" name="pDel_P_PROCEDURE_TC" vbProcedure="false">'Порядок ТП'!$C$26:$C$40</definedName>
    <definedName function="false" hidden="false" name="pDel_P_T_TERMS" vbProcedure="false">Договоры!$C$14:$C$26</definedName>
    <definedName function="false" hidden="false" name="pDel_Q_LIMIT" vbProcedure="false">Ограничения!$C$31</definedName>
    <definedName function="false" hidden="false" name="pDel_Q_TP" vbProcedure="false">ТП!$C$14</definedName>
    <definedName function="false" hidden="false" name="pDel_R_B_Purch" vbProcedure="false">'Сведения о закупках'!$C$13:$C$14</definedName>
    <definedName function="false" hidden="false" name="periodEnd" vbProcedure="false">Титульный!$F$12</definedName>
    <definedName function="false" hidden="false" name="PeriodIsEmpty" vbProcedure="false">TEHSHEET!$I$45</definedName>
    <definedName function="false" hidden="false" name="PeriodIsEmptyList" vbProcedure="false">TEHSHEET!$I$46:$I$53</definedName>
    <definedName function="false" hidden="false" name="periodStart" vbProcedure="false">Титульный!$F$11</definedName>
    <definedName function="false" hidden="false" name="pHeader_B_FHD" vbProcedure="false">'Показатели ФХД'!$29:$29</definedName>
    <definedName function="false" hidden="false" name="pHeader_B_FHD_TKO" vbProcedure="false">'ТКО. Показатели ФХД'!$14:$14</definedName>
    <definedName function="false" hidden="false" name="pHeader_B_FHD_TKO_TRANS" vbProcedure="false">'ТКО. Транс. Показатели ФХД'!$14:$14</definedName>
    <definedName function="false" hidden="false" name="pHeader_B_KNE" vbProcedure="false">'Показатели КНЭ'!$11:$11</definedName>
    <definedName function="false" hidden="false" name="pHeader_B_OTEP" vbProcedure="false">'Показатели ОТЭП'!$14:$14</definedName>
    <definedName function="false" hidden="false" name="pHeader_Q_LIMIT" vbProcedure="false">Ограничения!$30:$30</definedName>
    <definedName function="false" hidden="false" name="pHeader_Q_PH" vbProcedure="false">'Потребительские характеристики'!$13:$13</definedName>
    <definedName function="false" hidden="false" name="pHeader_Q_TP" vbProcedure="false">ТП!$13:$13</definedName>
    <definedName function="false" hidden="false" name="pHeader_ver_B_FHD" vbProcedure="false">'Показатели ФХД'!$C:$C</definedName>
    <definedName function="false" hidden="false" name="pHeader_ver_B_FHD_TKO" vbProcedure="false">'ТКО. Показатели ФХД'!$C:$C</definedName>
    <definedName function="false" hidden="false" name="pHeader_ver_B_FHD_TKO_TRANS" vbProcedure="false">'ТКО. Транс. Показатели ФХД'!$C:$C</definedName>
    <definedName function="false" hidden="false" name="pHeader_ver_B_KNE" vbProcedure="false">'Показатели КНЭ'!$B:$B</definedName>
    <definedName function="false" hidden="false" name="pHeader_ver_B_OTEP" vbProcedure="false">'Показатели ОТЭП'!$G:$G</definedName>
    <definedName function="false" hidden="false" name="pHeader_ver_P_PROCEDURE_TC" vbProcedure="false">'Порядок ТП'!$A$21:$A$40</definedName>
    <definedName function="false" hidden="false" name="pHeader_ver_Q_LIMIT" vbProcedure="false">Ограничения!$E:$E</definedName>
    <definedName function="false" hidden="false" name="pIns_B_FHD20_DIFFERENTIATION" vbProcedure="false">'Показатели ФХД &gt;20%'!$D$50</definedName>
    <definedName function="false" hidden="false" name="pIns_B_FHD_1" vbProcedure="false">'Показатели ФХД'!$F$46</definedName>
    <definedName function="false" hidden="false" name="pIns_B_FHD_2" vbProcedure="false">'Показатели ФХД'!$F$88</definedName>
    <definedName function="false" hidden="false" name="pIns_B_FHD_3" vbProcedure="false">'Показатели ФХД'!$F$118</definedName>
    <definedName function="false" hidden="false" name="pIns_B_FHD_4" vbProcedure="false">'Показатели ФХД'!$F$136</definedName>
    <definedName function="false" hidden="false" name="pIns_B_FHD_5" vbProcedure="false">'Показатели ФХД'!$F$139</definedName>
    <definedName function="false" hidden="false" name="pIns_B_FHD_6" vbProcedure="false">'Показатели ФХД'!$F$142</definedName>
    <definedName function="false" hidden="false" name="pIns_B_FHD_DIFFERENTIATION" vbProcedure="false">'Показатели ФХД'!$M$24</definedName>
    <definedName function="false" hidden="false" name="pIns_B_FHD_TKO_2" vbProcedure="false">'ТКО. Показатели ФХД'!$F$34</definedName>
    <definedName function="false" hidden="false" name="pIns_B_FHD_TKO_DIFFERENTIATION" vbProcedure="false">'ТКО. Показатели ФХД'!$M$9</definedName>
    <definedName function="false" hidden="false" name="pIns_B_FHD_TKO_TRANS_2" vbProcedure="false">'ТКО. Транс. Показатели ФХД'!$F$29</definedName>
    <definedName function="false" hidden="false" name="pIns_B_FHD_TKO_TRANS_DIFFERENTIATION" vbProcedure="false">'ТКО. Транс. Показатели ФХД'!$M$9</definedName>
    <definedName function="false" hidden="false" name="pIns_B_KNE_DIFFERENTIATION" vbProcedure="false">'Показатели КНЭ'!$Q$6</definedName>
    <definedName function="false" hidden="false" name="pIns_B_OTEP_2" vbProcedure="false">'Показатели ОТЭП'!$J$18</definedName>
    <definedName function="false" hidden="false" name="pIns_B_OTEP_DIFFERENTIATION" vbProcedure="false">'Показатели ОТЭП'!$Q$9</definedName>
    <definedName function="false" hidden="false" name="pIns_B_STANDARTS" vbProcedure="false">'Стандарты качества'!$J$13</definedName>
    <definedName function="false" hidden="false" name="pIns_CHANGE_INFO" vbProcedure="false">'Сведения об изменении'!$E$13</definedName>
    <definedName function="false" hidden="false" name="pIns_Comm" vbProcedure="false">Комментарии!$E$12</definedName>
    <definedName function="false" hidden="false" name="pIns_ED" vbProcedure="false">ЭД!$E$13</definedName>
    <definedName function="false" hidden="false" name="pIns_IP_DETAILED" vbProcedure="false">'ИП. Детализация'!$F$670</definedName>
    <definedName function="false" hidden="false" name="pIns_IP_FIN_PLAN" vbProcedure="false">'ИП. Финансовый план'!$R$8</definedName>
    <definedName function="false" hidden="false" name="pIns_IP_MAIN" vbProcedure="false">ИП!$G$15</definedName>
    <definedName function="false" hidden="false" name="pIns_IP_QRE" vbProcedure="false">'ИП. КНЭ'!$F$24</definedName>
    <definedName function="false" hidden="false" name="pIns_List07" vbProcedure="false">'Сведения об изменении'!$E$13</definedName>
    <definedName function="false" hidden="false" name="pIns_LT_AREA" vbProcedure="false">'Список территорий'!$G$21</definedName>
    <definedName function="false" hidden="false" name="pIns_ORG_INFO_1" vbProcedure="false">'Общая информация об организации'!$E$42</definedName>
    <definedName function="false" hidden="false" name="pIns_ORG_INFO_2" vbProcedure="false">'Общая информация об организации'!$E$50</definedName>
    <definedName function="false" hidden="false" name="pIns_ORG_INFO_3" vbProcedure="false">'Общая информация об организации'!$E$24</definedName>
    <definedName function="false" hidden="false" name="pIns_ORG_TERRITORY" vbProcedure="false">'Сведения по территориям'!$G$13</definedName>
    <definedName function="false" hidden="false" name="pIns_ORG_VD_1" vbProcedure="false">'Общая информация по ВД'!$E$13</definedName>
    <definedName function="false" hidden="false" name="pIns_ORG_VD_2" vbProcedure="false">'Общая информация по ВД'!$F$13</definedName>
    <definedName function="false" hidden="false" name="pIns_ORG_VD_TKO_1" vbProcedure="false">'Виды объектов'!$E$16</definedName>
    <definedName function="false" hidden="false" name="pIns_PT_VTAR_A" vbProcedure="false">'ТС. Т-ТЭ | &gt;=25МВт'!$T$57</definedName>
    <definedName function="false" hidden="false" name="pIns_PT_VTAR_A_COLDVSNA" vbProcedure="false">'ХВС. Т-пит'!$T$53</definedName>
    <definedName function="false" hidden="false" name="pIns_PT_VTAR_A_COLDVSNA_OFFER5" vbProcedure="false">Предложение!$G$299</definedName>
    <definedName function="false" hidden="false" name="pIns_PT_VTAR_A_COLDVSNA_OFFER_1" vbProcedure="false">Предложение!$G$53</definedName>
    <definedName function="false" hidden="false" name="pIns_PT_VTAR_A_COLDVSNA_OFFER_2" vbProcedure="false">Предложение!$G$116</definedName>
    <definedName function="false" hidden="false" name="pIns_PT_VTAR_A_COLDVSNA_OFFER_3" vbProcedure="false">Предложение!$G$177</definedName>
    <definedName function="false" hidden="false" name="pIns_PT_VTAR_A_COLDVSNA_OFFER_4" vbProcedure="false">Предложение!$G$238</definedName>
    <definedName function="false" hidden="false" name="pIns_PT_VTAR_A_COLDVSNA_OFFER_5" vbProcedure="false">Предложение!$G$299</definedName>
    <definedName function="false" hidden="false" name="pIns_PT_VTAR_A_HOTVSNA" vbProcedure="false">'ГВС. Т-гор.вода'!$T$54</definedName>
    <definedName function="false" hidden="false" name="pIns_PT_VTAR_A_HOTVSNA_OFFER_1" vbProcedure="false">Предложение!$G$68</definedName>
    <definedName function="false" hidden="false" name="pIns_PT_VTAR_A_HOTVSNA_OFFER_2" vbProcedure="false">Предложение!$G$131</definedName>
    <definedName function="false" hidden="false" name="pIns_PT_VTAR_A_HOTVSNA_OFFER_3" vbProcedure="false">Предложение!$G$192</definedName>
    <definedName function="false" hidden="false" name="pIns_PT_VTAR_A_HOTVSNA_OFFER_4" vbProcedure="false">Предложение!$G$253</definedName>
    <definedName function="false" hidden="false" name="pIns_PT_VTAR_A_HOTVSNA_OFFER_5" vbProcedure="false">Предложение!$G$314</definedName>
    <definedName function="false" hidden="false" name="pIns_PT_VTAR_A_OFFER_1" vbProcedure="false">Предложение!$G$26</definedName>
    <definedName function="false" hidden="false" name="pIns_PT_VTAR_A_OFFER_2" vbProcedure="false">Предложение!$G$89</definedName>
    <definedName function="false" hidden="false" name="pIns_PT_VTAR_A_OFFER_3" vbProcedure="false">Предложение!$G$150</definedName>
    <definedName function="false" hidden="false" name="pIns_PT_VTAR_A_OFFER_4" vbProcedure="false">Предложение!$G$211</definedName>
    <definedName function="false" hidden="false" name="pIns_PT_VTAR_A_OFFER_5" vbProcedure="false">Предложение!$G$272</definedName>
    <definedName function="false" hidden="false" name="pIns_PT_VTAR_A_VOTV" vbProcedure="false">'ВО. Т-во'!$T$53</definedName>
    <definedName function="false" hidden="false" name="pIns_PT_VTAR_A_VOTV_OFFER_1" vbProcedure="false">Предложение!$G$77</definedName>
    <definedName function="false" hidden="false" name="pIns_PT_VTAR_A_VOTV_OFFER_2" vbProcedure="false">Предложение!$G$140</definedName>
    <definedName function="false" hidden="false" name="pIns_PT_VTAR_A_VOTV_OFFER_3" vbProcedure="false">Предложение!$G$201</definedName>
    <definedName function="false" hidden="false" name="pIns_PT_VTAR_A_VOTV_OFFER_4" vbProcedure="false">Предложение!$G$262</definedName>
    <definedName function="false" hidden="false" name="pIns_PT_VTAR_A_VOTV_OFFER_5" vbProcedure="false">Предложение!$G$323</definedName>
    <definedName function="false" hidden="false" name="pIns_PT_VTAR_B" vbProcedure="false">'ТС. Т-ТЭ | ТСО'!$T$57</definedName>
    <definedName function="false" hidden="false" name="pIns_PT_VTAR_B_COLDVSNA" vbProcedure="false">'ХВС. Т-тех'!$T$53</definedName>
    <definedName function="false" hidden="false" name="pIns_PT_VTAR_B_COLDVSNA_OFFER_1" vbProcedure="false">Предложение!$G$56</definedName>
    <definedName function="false" hidden="false" name="pIns_PT_VTAR_B_COLDVSNA_OFFER_2" vbProcedure="false">Предложение!$G$119</definedName>
    <definedName function="false" hidden="false" name="pIns_PT_VTAR_B_COLDVSNA_OFFER_3" vbProcedure="false">Предложение!$G$180</definedName>
    <definedName function="false" hidden="false" name="pIns_PT_VTAR_B_COLDVSNA_OFFER_4" vbProcedure="false">Предложение!$G$241</definedName>
    <definedName function="false" hidden="false" name="pIns_PT_VTAR_B_COLDVSNA_OFFER_5" vbProcedure="false">Предложение!$G$302</definedName>
    <definedName function="false" hidden="false" name="pIns_PT_VTAR_B_HOTVSNA" vbProcedure="false">'ГВС. Т-транс'!$T$54</definedName>
    <definedName function="false" hidden="false" name="pIns_PT_VTAR_B_HOTVSNA_OFFER_1" vbProcedure="false">Предложение!$G$71</definedName>
    <definedName function="false" hidden="false" name="pIns_PT_VTAR_B_HOTVSNA_OFFER_2" vbProcedure="false">Предложение!$G$134</definedName>
    <definedName function="false" hidden="false" name="pIns_PT_VTAR_B_HOTVSNA_OFFER_3" vbProcedure="false">Предложение!$G$195</definedName>
    <definedName function="false" hidden="false" name="pIns_PT_VTAR_B_HOTVSNA_OFFER_4" vbProcedure="false">Предложение!$G$256</definedName>
    <definedName function="false" hidden="false" name="pIns_PT_VTAR_B_HOTVSNA_OFFER_5" vbProcedure="false">Предложение!$G$317</definedName>
    <definedName function="false" hidden="false" name="pIns_PT_VTAR_B_OFFER_1" vbProcedure="false">Предложение!$G$29</definedName>
    <definedName function="false" hidden="false" name="pIns_PT_VTAR_B_OFFER_2" vbProcedure="false">Предложение!$G$92</definedName>
    <definedName function="false" hidden="false" name="pIns_PT_VTAR_B_OFFER_3" vbProcedure="false">Предложение!$G$153</definedName>
    <definedName function="false" hidden="false" name="pIns_PT_VTAR_B_OFFER_4" vbProcedure="false">Предложение!$G$214</definedName>
    <definedName function="false" hidden="false" name="pIns_PT_VTAR_B_OFFER_5" vbProcedure="false">Предложение!$G$275</definedName>
    <definedName function="false" hidden="false" name="pIns_PT_VTAR_B_VOTV" vbProcedure="false">'ВО. Т-транс'!$T$53</definedName>
    <definedName function="false" hidden="false" name="pIns_PT_VTAR_B_VOTV_OFFER_1" vbProcedure="false">Предложение!$G$80</definedName>
    <definedName function="false" hidden="false" name="pIns_PT_VTAR_B_VOTV_OFFER_2" vbProcedure="false">Предложение!$G$143</definedName>
    <definedName function="false" hidden="false" name="pIns_PT_VTAR_B_VOTV_OFFER_3" vbProcedure="false">Предложение!$G$204</definedName>
    <definedName function="false" hidden="false" name="pIns_PT_VTAR_B_VOTV_OFFER_4" vbProcedure="false">Предложение!$G$265</definedName>
    <definedName function="false" hidden="false" name="pIns_PT_VTAR_B_VOTV_OFFER_5" vbProcedure="false">Предложение!$G$326</definedName>
    <definedName function="false" hidden="false" name="pIns_PT_VTAR_C" vbProcedure="false">'ТС. Т-ТН'!$T$57</definedName>
    <definedName function="false" hidden="false" name="pIns_PT_VTAR_C_COLDVSNA" vbProcedure="false">'ХВС. Т-транс'!$T$53</definedName>
    <definedName function="false" hidden="false" name="pIns_PT_VTAR_C_COLDVSNA_OFFER_1" vbProcedure="false">Предложение!$G$59</definedName>
    <definedName function="false" hidden="false" name="pIns_PT_VTAR_C_COLDVSNA_OFFER_2" vbProcedure="false">Предложение!$G$122</definedName>
    <definedName function="false" hidden="false" name="pIns_PT_VTAR_C_COLDVSNA_OFFER_3" vbProcedure="false">Предложение!$G$183</definedName>
    <definedName function="false" hidden="false" name="pIns_PT_VTAR_C_COLDVSNA_OFFER_4" vbProcedure="false">Предложение!$G$244</definedName>
    <definedName function="false" hidden="false" name="pIns_PT_VTAR_C_COLDVSNA_OFFER_5" vbProcedure="false">Предложение!$G$305</definedName>
    <definedName function="false" hidden="false" name="pIns_PT_VTAR_C_HOTVSNA" vbProcedure="false">'ГВС. Т-подкл'!$T$63</definedName>
    <definedName function="false" hidden="false" name="pIns_PT_VTAR_C_HOTVSNA_OFFER_1" vbProcedure="false">Предложение!$G$74</definedName>
    <definedName function="false" hidden="false" name="pIns_PT_VTAR_C_HOTVSNA_OFFER_2" vbProcedure="false">Предложение!$G$137</definedName>
    <definedName function="false" hidden="false" name="pIns_PT_VTAR_C_HOTVSNA_OFFER_3" vbProcedure="false">Предложение!$G$198</definedName>
    <definedName function="false" hidden="false" name="pIns_PT_VTAR_C_HOTVSNA_OFFER_4" vbProcedure="false">Предложение!$G$259</definedName>
    <definedName function="false" hidden="false" name="pIns_PT_VTAR_C_HOTVSNA_OFFER_5" vbProcedure="false">Предложение!$G$320</definedName>
    <definedName function="false" hidden="false" name="pIns_PT_VTAR_C_OFFER_1" vbProcedure="false">Предложение!$G$32</definedName>
    <definedName function="false" hidden="false" name="pIns_PT_VTAR_C_OFFER_2" vbProcedure="false">Предложение!$G$95</definedName>
    <definedName function="false" hidden="false" name="pIns_PT_VTAR_C_OFFER_3" vbProcedure="false">Предложение!$G$156</definedName>
    <definedName function="false" hidden="false" name="pIns_PT_VTAR_C_OFFER_4" vbProcedure="false">Предложение!$G$217</definedName>
    <definedName function="false" hidden="false" name="pIns_PT_VTAR_C_OFFER_5" vbProcedure="false">Предложение!$G$278</definedName>
    <definedName function="false" hidden="false" name="pIns_PT_VTAR_C_VOTV" vbProcedure="false">'ВО. Т-подкл'!$T$63</definedName>
    <definedName function="false" hidden="false" name="pIns_PT_VTAR_C_VOTV_OFFER_1" vbProcedure="false">Предложение!$G$83</definedName>
    <definedName function="false" hidden="false" name="pIns_PT_VTAR_C_VOTV_OFFER_2" vbProcedure="false">Предложение!$G$146</definedName>
    <definedName function="false" hidden="false" name="pIns_PT_VTAR_C_VOTV_OFFER_3" vbProcedure="false">Предложение!$G$207</definedName>
    <definedName function="false" hidden="false" name="pIns_PT_VTAR_C_VOTV_OFFER_4" vbProcedure="false">Предложение!$G$268</definedName>
    <definedName function="false" hidden="false" name="pIns_PT_VTAR_C_VOTV_OFFER_5" vbProcedure="false">Предложение!$G$329</definedName>
    <definedName function="false" hidden="false" name="pIns_PT_VTAR_D" vbProcedure="false">'ТС. Т-гор.вода'!$V$65</definedName>
    <definedName function="false" hidden="false" name="pIns_PT_VTAR_D_COLDVSNA" vbProcedure="false">'ХВС. Т-подвоз'!$T$53</definedName>
    <definedName function="false" hidden="false" name="pIns_PT_VTAR_D_COLDVSNA_OFFER_1" vbProcedure="false">Предложение!$G$62</definedName>
    <definedName function="false" hidden="false" name="pIns_PT_VTAR_D_COLDVSNA_OFFER_2" vbProcedure="false">Предложение!$G$125</definedName>
    <definedName function="false" hidden="false" name="pIns_PT_VTAR_D_COLDVSNA_OFFER_3" vbProcedure="false">Предложение!$G$186</definedName>
    <definedName function="false" hidden="false" name="pIns_PT_VTAR_D_COLDVSNA_OFFER_4" vbProcedure="false">Предложение!$G$247</definedName>
    <definedName function="false" hidden="false" name="pIns_PT_VTAR_D_COLDVSNA_OFFER_5" vbProcedure="false">Предложение!$G$308</definedName>
    <definedName function="false" hidden="false" name="pIns_PT_VTAR_D_OFFER_1" vbProcedure="false">Предложение!$G$35</definedName>
    <definedName function="false" hidden="false" name="pIns_PT_VTAR_D_OFFER_2" vbProcedure="false">Предложение!$G$98</definedName>
    <definedName function="false" hidden="false" name="pIns_PT_VTAR_D_OFFER_3" vbProcedure="false">Предложение!$G$159</definedName>
    <definedName function="false" hidden="false" name="pIns_PT_VTAR_D_OFFER_4" vbProcedure="false">Предложение!$G$220</definedName>
    <definedName function="false" hidden="false" name="pIns_PT_VTAR_D_OFFER_5" vbProcedure="false">Предложение!$G$281</definedName>
    <definedName function="false" hidden="false" name="pIns_PT_VTAR_E1" vbProcedure="false">'ТС. Т-передача ТЭ'!$T$57</definedName>
    <definedName function="false" hidden="false" name="pIns_PT_VTAR_E1_OFFER_1" vbProcedure="false">Предложение!$G$38</definedName>
    <definedName function="false" hidden="false" name="pIns_PT_VTAR_E1_OFFER_2" vbProcedure="false">Предложение!$G$101</definedName>
    <definedName function="false" hidden="false" name="pIns_PT_VTAR_E1_OFFER_3" vbProcedure="false">Предложение!$G$162</definedName>
    <definedName function="false" hidden="false" name="pIns_PT_VTAR_E1_OFFER_4" vbProcedure="false">Предложение!$G$223</definedName>
    <definedName function="false" hidden="false" name="pIns_PT_VTAR_E1_OFFER_5" vbProcedure="false">Предложение!$G$284</definedName>
    <definedName function="false" hidden="false" name="pIns_PT_VTAR_E2" vbProcedure="false">'ТС. Т-передача ТН'!$T$57</definedName>
    <definedName function="false" hidden="false" name="pIns_PT_VTAR_E2_OFFER_1" vbProcedure="false">Предложение!$G$41</definedName>
    <definedName function="false" hidden="false" name="pIns_PT_VTAR_E2_OFFER_2" vbProcedure="false">Предложение!$G$104</definedName>
    <definedName function="false" hidden="false" name="pIns_PT_VTAR_E2_OFFER_3" vbProcedure="false">Предложение!$G$165</definedName>
    <definedName function="false" hidden="false" name="pIns_PT_VTAR_E2_OFFER_4" vbProcedure="false">Предложение!$G$226</definedName>
    <definedName function="false" hidden="false" name="pIns_PT_VTAR_E2_OFFER_5" vbProcedure="false">Предложение!$G$287</definedName>
    <definedName function="false" hidden="false" name="pIns_PT_VTAR_E_COLDVSNA" vbProcedure="false">'ХВС. Т-подкл'!$T$63</definedName>
    <definedName function="false" hidden="false" name="pIns_PT_VTAR_E_COLDVSNA_OFFER_1" vbProcedure="false">Предложение!$G$65</definedName>
    <definedName function="false" hidden="false" name="pIns_PT_VTAR_E_COLDVSNA_OFFER_2" vbProcedure="false">Предложение!$G$128</definedName>
    <definedName function="false" hidden="false" name="pIns_PT_VTAR_E_COLDVSNA_OFFER_3" vbProcedure="false">Предложение!$G$189</definedName>
    <definedName function="false" hidden="false" name="pIns_PT_VTAR_E_COLDVSNA_OFFER_4" vbProcedure="false">Предложение!$G$250</definedName>
    <definedName function="false" hidden="false" name="pIns_PT_VTAR_E_COLDVSNA_OFFER_5" vbProcedure="false">Предложение!$G$311</definedName>
    <definedName function="false" hidden="false" name="pIns_PT_VTAR_F" vbProcedure="false">'ТС. Резерв мощности'!$T$57</definedName>
    <definedName function="false" hidden="false" name="pIns_PT_VTAR_F_OFFER_1" vbProcedure="false">Предложение!$G$44</definedName>
    <definedName function="false" hidden="false" name="pIns_PT_VTAR_F_OFFER_2" vbProcedure="false">Предложение!$G$107</definedName>
    <definedName function="false" hidden="false" name="pIns_PT_VTAR_F_OFFER_3" vbProcedure="false">Предложение!$G$168</definedName>
    <definedName function="false" hidden="false" name="pIns_PT_VTAR_F_OFFER_4" vbProcedure="false">Предложение!$G$229</definedName>
    <definedName function="false" hidden="false" name="pIns_PT_VTAR_F_OFFER_5" vbProcedure="false">Предложение!$G$290</definedName>
    <definedName function="false" hidden="false" name="pIns_PT_VTAR_G" vbProcedure="false">'ТС. Т-подкл'!$T$62</definedName>
    <definedName function="false" hidden="false" name="pIns_PT_VTAR_G_OFFER_1" vbProcedure="false">Предложение!$G$47</definedName>
    <definedName function="false" hidden="false" name="pIns_PT_VTAR_G_OFFER_2" vbProcedure="false">Предложение!$G$110</definedName>
    <definedName function="false" hidden="false" name="pIns_PT_VTAR_G_OFFER_3" vbProcedure="false">Предложение!$G$171</definedName>
    <definedName function="false" hidden="false" name="pIns_PT_VTAR_G_OFFER_4" vbProcedure="false">Предложение!$G$232</definedName>
    <definedName function="false" hidden="false" name="pIns_PT_VTAR_G_OFFER_5" vbProcedure="false">Предложение!$G$293</definedName>
    <definedName function="false" hidden="false" name="pIns_PT_VTAR_H" vbProcedure="false">'ТС. Т-подкл(инд)'!$T$56</definedName>
    <definedName function="false" hidden="false" name="pIns_PT_VTAR_H_OFFER_1" vbProcedure="false">Предложение!$G$50</definedName>
    <definedName function="false" hidden="false" name="pIns_PT_VTAR_H_OFFER_2" vbProcedure="false">Предложение!$G$113</definedName>
    <definedName function="false" hidden="false" name="pIns_PT_VTAR_H_OFFER_3" vbProcedure="false">Предложение!$G$174</definedName>
    <definedName function="false" hidden="false" name="pIns_PT_VTAR_H_OFFER_4" vbProcedure="false">Предложение!$G$235</definedName>
    <definedName function="false" hidden="false" name="pIns_PT_VTAR_H_OFFER_5" vbProcedure="false">Предложение!$G$296</definedName>
    <definedName function="false" hidden="false" name="pIns_PT_VTAR_I" vbProcedure="false">'ТС. Т-ТЭ | предел'!$T$57</definedName>
    <definedName function="false" hidden="false" name="pIns_PT_VTAR_I_1" vbProcedure="false">'ТС. Т-ТЭ | индикат'!$T$57</definedName>
    <definedName function="false" hidden="false" name="pIns_P_PROCEDURE_TC_1" vbProcedure="false">'Порядок ТП'!$E$27</definedName>
    <definedName function="false" hidden="false" name="pIns_P_PROCEDURE_TC_2" vbProcedure="false">'Порядок ТП'!$E$30</definedName>
    <definedName function="false" hidden="false" name="pIns_P_PROCEDURE_TC_3" vbProcedure="false">'Порядок ТП'!$E$34</definedName>
    <definedName function="false" hidden="false" name="pIns_P_PROCEDURE_TC_4" vbProcedure="false">'Порядок ТП'!$E$37</definedName>
    <definedName function="false" hidden="false" name="pIns_P_PROCEDURE_TC_5" vbProcedure="false">'Порядок ТП'!$E$40</definedName>
    <definedName function="false" hidden="false" name="pIns_P_T_TERMS_1" vbProcedure="false">Договоры!$E$15</definedName>
    <definedName function="false" hidden="false" name="pIns_P_T_TERMS_2" vbProcedure="false">Договоры!$E$18</definedName>
    <definedName function="false" hidden="false" name="pIns_P_T_TERMS_3" vbProcedure="false">Договоры!$E$22</definedName>
    <definedName function="false" hidden="false" name="pIns_P_T_TERMS_4" vbProcedure="false">Договоры!$E$26</definedName>
    <definedName function="false" hidden="false" name="pIns_Q_LIMIT_1" vbProcedure="false">Ограничения!$E$33</definedName>
    <definedName function="false" hidden="false" name="pIns_Q_LIMIT_2" vbProcedure="false">Ограничения!$E$35</definedName>
    <definedName function="false" hidden="false" name="pIns_Q_LIMIT_3" vbProcedure="false">Ограничения!$E$37</definedName>
    <definedName function="false" hidden="false" name="pIns_Q_LIMIT_4" vbProcedure="false">Ограничения!$E$39</definedName>
    <definedName function="false" hidden="false" name="pIns_Q_LIMIT_DIFFERENTIATION" vbProcedure="false">Ограничения!$Q$25</definedName>
    <definedName function="false" hidden="false" name="pIns_Q_PH_DIFFERENTIATION" vbProcedure="false">'Потребительские характеристики'!$Q$8</definedName>
    <definedName function="false" hidden="false" name="pIns_Q_TP_1" vbProcedure="false">ТП!$E$22</definedName>
    <definedName function="false" hidden="false" name="pIns_Q_TP_DIFFERENTIATION" vbProcedure="false">ТП!$L$8</definedName>
    <definedName function="false" hidden="false" name="pIns_ROIV_CASE_case" vbProcedure="false">'Дела об установлении тарифов'!$F$11</definedName>
    <definedName function="false" hidden="false" name="pIns_ROIV_CASE_PUC_case" vbProcedure="false">'Дела об утверждении ПУЦ'!$F$11</definedName>
    <definedName function="false" hidden="false" name="pIns_ROIV_INFO_phone" vbProcedure="false">'Орган регулирования'!$E$21</definedName>
    <definedName function="false" hidden="false" name="pIns_ROIV_ORG_org" vbProcedure="false">'Перечень организаций'!$F$10</definedName>
    <definedName function="false" hidden="false" name="pIns_ROIV_OTV_org" vbProcedure="false">'Привлечение к ответственности'!$F$15</definedName>
    <definedName function="false" hidden="false" name="pIns_R_B_Purch_1" vbProcedure="false">'Сведения о закупках'!$E$14</definedName>
    <definedName function="false" hidden="false" name="pIns_ver_COLDVSNA_TARIFF_A_COLDVSNA" vbProcedure="false">'ХВС. Т-пит'!$AJ$37</definedName>
    <definedName function="false" hidden="false" name="pIns_ver_COLDVSNA_TARIFF_B_COLDVSNA" vbProcedure="false">'ХВС. Т-тех'!$AJ$37</definedName>
    <definedName function="false" hidden="false" name="pIns_ver_COLDVSNA_TARIFF_C_COLDVSNA" vbProcedure="false">'ХВС. Т-транс'!$AJ$37</definedName>
    <definedName function="false" hidden="false" name="pIns_ver_COLDVSNA_TARIFF_D_COLDVSNA" vbProcedure="false">'ХВС. Т-подвоз'!$AJ$37</definedName>
    <definedName function="false" hidden="false" name="pIns_ver_COLDVSNA_TARIFF_E_COLDVSNA" vbProcedure="false">'ХВС. Т-подкл'!$BB$41</definedName>
    <definedName function="false" hidden="false" name="pIns_ver_HEAT_TARIFF_A" vbProcedure="false">'ТС. Т-ТЭ | &gt;=25МВт'!$AL$39</definedName>
    <definedName function="false" hidden="false" name="pIns_ver_HEAT_TARIFF_B" vbProcedure="false">'ТС. Т-ТЭ | ТСО'!$AL$39</definedName>
    <definedName function="false" hidden="false" name="pIns_ver_HEAT_TARIFF_C" vbProcedure="false">'ТС. Т-ТН'!$AL$39</definedName>
    <definedName function="false" hidden="false" name="pIns_ver_HEAT_TARIFF_D" vbProcedure="false">'ТС. Т-гор.вода'!$AP$43</definedName>
    <definedName function="false" hidden="false" name="pIns_ver_HEAT_TARIFF_E1" vbProcedure="false">'ТС. Т-передача ТЭ'!$AL$39</definedName>
    <definedName function="false" hidden="false" name="pIns_ver_HEAT_TARIFF_E2" vbProcedure="false">'ТС. Т-передача ТН'!$AL$39</definedName>
    <definedName function="false" hidden="false" name="pIns_ver_HEAT_TARIFF_F" vbProcedure="false">'ТС. Резерв мощности'!$AL$39</definedName>
    <definedName function="false" hidden="false" name="pIns_ver_HEAT_TARIFF_G" vbProcedure="false">'ТС. Т-подкл'!$AT$40</definedName>
    <definedName function="false" hidden="false" name="pIns_ver_HEAT_TARIFF_H" vbProcedure="false">'ТС. Т-подкл(инд)'!$AJ$37</definedName>
    <definedName function="false" hidden="false" name="pIns_ver_HEAT_TARIFF_I" vbProcedure="false">'ТС. Т-ТЭ | предел'!$AL$39</definedName>
    <definedName function="false" hidden="false" name="pIns_ver_HEAT_TARIFF_I_1" vbProcedure="false">'ТС. Т-ТЭ | индикат'!$AL$39</definedName>
    <definedName function="false" hidden="false" name="pIns_ver_HOTVSNA_TARIFF_A_HOTVSNA" vbProcedure="false">'ГВС. Т-гор.вода'!$AR$37</definedName>
    <definedName function="false" hidden="false" name="pIns_ver_HOTVSNA_TARIFF_B_HOTVSNA" vbProcedure="false">'ГВС. Т-транс'!$AR$37</definedName>
    <definedName function="false" hidden="false" name="pIns_ver_HOTVSNA_TARIFF_C_HOTVSNA" vbProcedure="false">'ГВС. Т-подкл'!$BB$41</definedName>
    <definedName function="false" hidden="false" name="pIns_ver_VOTV_TARIFF_A_VOTV" vbProcedure="false">'ВО. Т-во'!$AJ$37</definedName>
    <definedName function="false" hidden="false" name="pIns_ver_VOTV_TARIFF_B_VOTV" vbProcedure="false">'ВО. Т-транс'!$AJ$37</definedName>
    <definedName function="false" hidden="false" name="pIns_ver_VOTV_TARIFF_C_VOTV" vbProcedure="false">'ВО. Т-подкл'!$BB$41</definedName>
    <definedName function="false" hidden="false" name="pNote_LIMIT" vbProcedure="false">Ограничения!$Q$26</definedName>
    <definedName function="false" hidden="false" name="pNote_Q_PH" vbProcedure="false">'Потребительские характеристики'!$Q$9</definedName>
    <definedName function="false" hidden="false" name="pNum_Q_LIMIT" vbProcedure="false">Ограничения!$D$31</definedName>
    <definedName function="false" hidden="false" name="PROCEDURE_TC_NAME_FORM" vbProcedure="false">DATA_FORMS!$C$30</definedName>
    <definedName function="false" hidden="false" name="PT_ADD_HL_CS_COLUMN_MARKER" vbProcedure="false">'Перечень тарифов'!$R$8</definedName>
    <definedName function="false" hidden="false" name="PT_ADD_HL_IST_TE_COLUMN_MARKER" vbProcedure="false">'Перечень тарифов'!$V$8</definedName>
    <definedName function="false" hidden="false" name="PT_ADD_HL_NTAR_COLUMN_MARKER" vbProcedure="false">'Перечень тарифов'!$J$8</definedName>
    <definedName function="false" hidden="false" name="PT_ADD_HL_TER_COLUMN_MARKER" vbProcedure="false">'Перечень тарифов'!$N$8</definedName>
    <definedName function="false" hidden="false" name="PT_ADD_HL_VTAR_COLUMN_MARKER" vbProcedure="false">'Перечень тарифов'!$E$8</definedName>
    <definedName function="false" hidden="false" name="pt_cs_1" vbProcedure="false">'ТС. Т-ТЭ | &gt;=25МВт'!$45:$54</definedName>
    <definedName function="false" hidden="false" name="pt_cs_10" vbProcedure="false">'ХВС. Т-тех'!$43:$50</definedName>
    <definedName function="false" hidden="false" name="pt_cs_11" vbProcedure="false">'ХВС. Т-транс'!$43:$50</definedName>
    <definedName function="false" hidden="false" name="pt_cs_12" vbProcedure="false">'ХВС. Т-подвоз'!$43:$50</definedName>
    <definedName function="false" hidden="false" name="pt_cs_13" vbProcedure="false">'ХВС. Т-подкл'!$48:$60</definedName>
    <definedName function="false" hidden="false" name="pt_cs_14" vbProcedure="false">'ГВС. Т-гор.вода'!$44:$51</definedName>
    <definedName function="false" hidden="false" name="pt_cs_15" vbProcedure="false">'ГВС. Т-транс'!$44:$51</definedName>
    <definedName function="false" hidden="false" name="pt_cs_16" vbProcedure="false">'ГВС. Т-подкл'!$48:$60</definedName>
    <definedName function="false" hidden="false" name="pt_cs_17" vbProcedure="false">'ВО. Т-во'!$43:$50</definedName>
    <definedName function="false" hidden="false" name="pt_cs_18" vbProcedure="false">'ВО. Т-транс'!$43:$50</definedName>
    <definedName function="false" hidden="false" name="pt_cs_19" vbProcedure="false">'ВО. Т-подкл'!$48:$60</definedName>
    <definedName function="false" hidden="false" name="pt_cs_2" vbProcedure="false">'ТС. Т-ТЭ | ТСО'!$45:$54</definedName>
    <definedName function="false" hidden="false" name="pt_cs_20" vbProcedure="false">'ТС. Т-подкл(инд)'!$44:$52</definedName>
    <definedName function="false" hidden="false" name="pt_cs_21" vbProcedure="false">'ТС. Т-ТЭ | предел'!$45:$54</definedName>
    <definedName function="false" hidden="false" name="pt_cs_21_1" vbProcedure="false">'ТС. Т-ТЭ | индикат'!$45:$54</definedName>
    <definedName function="false" hidden="false" name="pt_cs_3" vbProcedure="false">'ТС. Т-ТН'!$45:$54</definedName>
    <definedName function="false" hidden="false" name="pt_cs_4" vbProcedure="false">'ТС. Т-гор.вода'!$51:$62</definedName>
    <definedName function="false" hidden="false" name="pt_cs_5" vbProcedure="false">'ТС. Т-передача ТЭ'!$45:$54</definedName>
    <definedName function="false" hidden="false" name="pt_cs_6" vbProcedure="false">'ТС. Т-передача ТН'!$45:$54</definedName>
    <definedName function="false" hidden="false" name="pt_cs_7" vbProcedure="false">'ТС. Резерв мощности'!$45:$54</definedName>
    <definedName function="false" hidden="false" name="pt_cs_8" vbProcedure="false">'ТС. Т-подкл'!$47:$58</definedName>
    <definedName function="false" hidden="false" name="pt_cs_9" vbProcedure="false">'ХВС. Т-пит'!$43:$50</definedName>
    <definedName function="false" hidden="false" name="PT_DEL_HL_CS_COLUMN_MARKER" vbProcedure="false">'Перечень тарифов'!$P$8</definedName>
    <definedName function="false" hidden="false" name="PT_DEL_HL_IST_TE_COLUMN_MARKER" vbProcedure="false">'Перечень тарифов'!$T$8</definedName>
    <definedName function="false" hidden="false" name="PT_DEL_HL_NTAR_COLUMN_MARKER" vbProcedure="false">'Перечень тарифов'!$H$8</definedName>
    <definedName function="false" hidden="false" name="PT_DEL_HL_TER_COLUMN_MARKER" vbProcedure="false">'Перечень тарифов'!$L$8</definedName>
    <definedName function="false" hidden="false" name="PT_DEL_HL_VTAR_COLUMN_MARKER" vbProcedure="false">'Перечень тарифов'!$C$8</definedName>
    <definedName function="false" hidden="false" name="PT_DIAMETERS_2_LIST" vbProcedure="false">TEHSHEET!$AZ$76:$AZ$82</definedName>
    <definedName function="false" hidden="false" name="PT_DIAMETERS_LIST" vbProcedure="false">TEHSHEET!$AZ$60:$AZ$64</definedName>
    <definedName function="false" hidden="false" name="PT_DIFFERENTIATION_CS" vbProcedure="false">'Перечень тарифов'!$AL$12:$AL$137</definedName>
    <definedName function="false" hidden="false" name="PT_DIFFERENTIATION_CS_ID" vbProcedure="false">'Перечень тарифов'!$AF$12:$AF$137</definedName>
    <definedName function="false" hidden="false" name="PT_DIFFERENTIATION_IST_TE" vbProcedure="false">'Перечень тарифов'!$AM$12:$AM$137</definedName>
    <definedName function="false" hidden="false" name="PT_DIFFERENTIATION_IST_TE_ID" vbProcedure="false">'Перечень тарифов'!$AG$12:$AG$137</definedName>
    <definedName function="false" hidden="false" name="PT_DIFFERENTIATION_NTAR" vbProcedure="false">'Перечень тарифов'!$AJ$12:$AJ$137</definedName>
    <definedName function="false" hidden="false" name="PT_DIFFERENTIATION_NTAR_ID" vbProcedure="false">'Перечень тарифов'!$AD$12:$AD$137</definedName>
    <definedName function="false" hidden="false" name="PT_DIFFERENTIATION_NUM_CS" vbProcedure="false">'Перечень тарифов'!$AP$12:$AP$137</definedName>
    <definedName function="false" hidden="false" name="PT_DIFFERENTIATION_NUM_IST_TE" vbProcedure="false">'Перечень тарифов'!$AQ$12:$AQ$137</definedName>
    <definedName function="false" hidden="false" name="PT_DIFFERENTIATION_NUM_NTAR" vbProcedure="false">'Перечень тарифов'!$AN$12:$AN$137</definedName>
    <definedName function="false" hidden="false" name="PT_DIFFERENTIATION_NUM_TER" vbProcedure="false">'Перечень тарифов'!$AO$12:$AO$137</definedName>
    <definedName function="false" hidden="false" name="PT_DIFFERENTIATION_TER" vbProcedure="false">'Перечень тарифов'!$AK$12:$AK$137</definedName>
    <definedName function="false" hidden="false" name="PT_DIFFERENTIATION_TER_ID" vbProcedure="false">'Перечень тарифов'!$AE$12:$AE$137</definedName>
    <definedName function="false" hidden="false" name="PT_DIFFERENTIATION_VDET" vbProcedure="false">'Перечень тарифов'!$AI$12:$AI$137</definedName>
    <definedName function="false" hidden="false" name="PT_DIFFERENTIATION_VTAR" vbProcedure="false">'Перечень тарифов'!$AH$12:$AH$137</definedName>
    <definedName function="false" hidden="false" name="PT_DIFFERENTIATION_VTAR_ID" vbProcedure="false">'Перечень тарифов'!$AC$12:$AC$137</definedName>
    <definedName function="false" hidden="false" name="PT_FLAG_CS_COLUMN_MARKER" vbProcedure="false">'Перечень тарифов'!$O$8</definedName>
    <definedName function="false" hidden="false" name="PT_FLAG_IST_TE_COLUMN_MARKER" vbProcedure="false">'Перечень тарифов'!$S$8</definedName>
    <definedName function="false" hidden="false" name="PT_FLAG_TER_COLUMN_MARKER" vbProcedure="false">'Перечень тарифов'!$K$8</definedName>
    <definedName function="false" hidden="false" name="PT_FLAG_VTAR_COLUMN_MARKER" vbProcedure="false">'Перечень тарифов'!$F$8</definedName>
    <definedName function="false" hidden="false" name="PT_GROUP_CONSUMER_LIST" vbProcedure="false">TEHSHEET!$AZ$29:$AZ$33</definedName>
    <definedName function="false" hidden="false" name="PT_HEAT_PRICE_INDICATORS_LEVEL" vbProcedure="false">'Перечень тарифов'!$F$63</definedName>
    <definedName function="false" hidden="false" name="pt_ist_te_1" vbProcedure="false">'ТС. Т-ТЭ | &gt;=25МВт'!$46:$53</definedName>
    <definedName function="false" hidden="false" name="pt_ist_te_2" vbProcedure="false">'ТС. Т-ТЭ | ТСО'!$46:$53</definedName>
    <definedName function="false" hidden="false" name="pt_ist_te_20" vbProcedure="false">'ТС. Т-подкл(инд)'!$45:$51</definedName>
    <definedName function="false" hidden="false" name="pt_ist_te_21" vbProcedure="false">'ТС. Т-ТЭ | предел'!$46:$53</definedName>
    <definedName function="false" hidden="false" name="pt_ist_te_21_1" vbProcedure="false">'ТС. Т-ТЭ | индикат'!$46:$53</definedName>
    <definedName function="false" hidden="false" name="pt_ist_te_3" vbProcedure="false">'ТС. Т-ТН'!$46:$53</definedName>
    <definedName function="false" hidden="false" name="pt_ist_te_4" vbProcedure="false">'ТС. Т-гор.вода'!$52:$61</definedName>
    <definedName function="false" hidden="false" name="pt_ist_te_5" vbProcedure="false">'ТС. Т-передача ТЭ'!$46:$53</definedName>
    <definedName function="false" hidden="false" name="pt_ist_te_6" vbProcedure="false">'ТС. Т-передача ТН'!$46:$53</definedName>
    <definedName function="false" hidden="false" name="pt_ist_te_7" vbProcedure="false">'ТС. Резерв мощности'!$46:$53</definedName>
    <definedName function="false" hidden="false" name="pt_ist_te_8" vbProcedure="false">'ТС. Т-подкл'!$48:$57</definedName>
    <definedName function="false" hidden="false" name="PT_LOAD_LIST" vbProcedure="false">TEHSHEET!$AZ$67:$AZ$72</definedName>
    <definedName function="false" hidden="false" name="PT_NETS_LIST" vbProcedure="false">TEHSHEET!$AZ$55:$AZ$57</definedName>
    <definedName function="false" hidden="false" name="pt_ntar_1" vbProcedure="false">'ТС. Т-ТЭ | &gt;=25МВт'!$43:$56</definedName>
    <definedName function="false" hidden="false" name="pt_ntar_10" vbProcedure="false">'ХВС. Т-тех'!$41:$52</definedName>
    <definedName function="false" hidden="false" name="pt_ntar_11" vbProcedure="false">'ХВС. Т-транс'!$41:$52</definedName>
    <definedName function="false" hidden="false" name="pt_ntar_12" vbProcedure="false">'ХВС. Т-подвоз'!$41:$52</definedName>
    <definedName function="false" hidden="false" name="pt_ntar_13" vbProcedure="false">'ХВС. Т-подкл'!$46:$62</definedName>
    <definedName function="false" hidden="false" name="pt_ntar_14" vbProcedure="false">'ГВС. Т-гор.вода'!$42:$53</definedName>
    <definedName function="false" hidden="false" name="pt_ntar_15" vbProcedure="false">'ГВС. Т-транс'!$42:$53</definedName>
    <definedName function="false" hidden="false" name="pt_ntar_16" vbProcedure="false">'ГВС. Т-подкл'!$46:$62</definedName>
    <definedName function="false" hidden="false" name="pt_ntar_17" vbProcedure="false">'ВО. Т-во'!$41:$52</definedName>
    <definedName function="false" hidden="false" name="pt_ntar_18" vbProcedure="false">'ВО. Т-транс'!$41:$52</definedName>
    <definedName function="false" hidden="false" name="pt_ntar_19" vbProcedure="false">'ВО. Т-подкл'!$46:$62</definedName>
    <definedName function="false" hidden="false" name="pt_ntar_2" vbProcedure="false">'ТС. Т-ТЭ | ТСО'!$43:$56</definedName>
    <definedName function="false" hidden="false" name="pt_ntar_20" vbProcedure="false">'ТС. Т-подкл(инд)'!$42:$55</definedName>
    <definedName function="false" hidden="false" name="pt_ntar_21" vbProcedure="false">'ТС. Т-ТЭ | предел'!$43:$56</definedName>
    <definedName function="false" hidden="false" name="pt_ntar_21_1" vbProcedure="false">'ТС. Т-ТЭ | индикат'!$43:$56</definedName>
    <definedName function="false" hidden="false" name="pt_ntar_3" vbProcedure="false">'ТС. Т-ТН'!$43:$56</definedName>
    <definedName function="false" hidden="false" name="pt_ntar_4" vbProcedure="false">'ТС. Т-гор.вода'!$49:$64</definedName>
    <definedName function="false" hidden="false" name="pt_ntar_5" vbProcedure="false">'ТС. Т-передача ТЭ'!$43:$56</definedName>
    <definedName function="false" hidden="false" name="pt_ntar_6" vbProcedure="false">'ТС. Т-передача ТН'!$43:$56</definedName>
    <definedName function="false" hidden="false" name="pt_ntar_7" vbProcedure="false">'ТС. Резерв мощности'!$43:$56</definedName>
    <definedName function="false" hidden="false" name="pt_ntar_8" vbProcedure="false">'ТС. Т-подкл'!$45:$61</definedName>
    <definedName function="false" hidden="false" name="pt_ntar_9" vbProcedure="false">'ХВС. Т-пит'!$41:$52</definedName>
    <definedName function="false" hidden="false" name="PT_P_FORM_COLDVSNA_4_NAME_FORM" vbProcedure="false">DATA_FORMS!$C$17</definedName>
    <definedName function="false" hidden="false" name="PT_P_FORM_COLDVSNA_5_NAME_FORM" vbProcedure="false">DATA_FORMS!$C$18</definedName>
    <definedName function="false" hidden="false" name="PT_P_FORM_HEAT_21_NAME_FORM" vbProcedure="false">DATA_FORMS!$C$13</definedName>
    <definedName function="false" hidden="false" name="PT_P_FORM_HEAT_22_NAME_FORM" vbProcedure="false">DATA_FORMS!$C$14</definedName>
    <definedName function="false" hidden="false" name="PT_P_FORM_HEAT_4_NAME_FORM" vbProcedure="false">DATA_FORMS!$C$9</definedName>
    <definedName function="false" hidden="false" name="PT_P_FORM_HEAT_5_NAME_FORM" vbProcedure="false">DATA_FORMS!$C$10</definedName>
    <definedName function="false" hidden="false" name="PT_P_FORM_HEAT_6_NAME_FORM" vbProcedure="false">DATA_FORMS!$C$11</definedName>
    <definedName function="false" hidden="false" name="PT_P_FORM_HEAT_7_NAME_FORM" vbProcedure="false">DATA_FORMS!$C$12</definedName>
    <definedName function="false" hidden="false" name="PT_P_FORM_HOTVSNA_4_NAME_FORM" vbProcedure="false">DATA_FORMS!$C$21</definedName>
    <definedName function="false" hidden="false" name="PT_P_FORM_HOTVSNA_5_NAME_FORM" vbProcedure="false">DATA_FORMS!$C$22</definedName>
    <definedName function="false" hidden="false" name="PT_P_FORM_VOTV_4_NAME_FORM" vbProcedure="false">DATA_FORMS!$C$25</definedName>
    <definedName function="false" hidden="false" name="PT_P_FORM_VOTV_5_NAME_FORM" vbProcedure="false">DATA_FORMS!$C$26</definedName>
    <definedName function="false" hidden="false" name="PT_R_FORM_COLDVSNA_16_NAME_FORM" vbProcedure="false">DATA_FORMS!$C$19</definedName>
    <definedName function="false" hidden="false" name="PT_R_FORM_COLDVSNA_17_NAME_FORM" vbProcedure="false">DATA_FORMS!$C$20</definedName>
    <definedName function="false" hidden="false" name="PT_R_FORM_HEAT_21_NAME_FORM" vbProcedure="false">DATA_FORMS!$C$13</definedName>
    <definedName function="false" hidden="false" name="PT_R_FORM_HEAT_22_NAME_FORM" vbProcedure="false">DATA_FORMS!$C$14</definedName>
    <definedName function="false" hidden="false" name="PT_R_FORM_HEAT_23_NAME_FORM" vbProcedure="false">DATA_FORMS!$C$15</definedName>
    <definedName function="false" hidden="false" name="PT_R_FORM_HEAT_24_NAME_FORM" vbProcedure="false">DATA_FORMS!$C$16</definedName>
    <definedName function="false" hidden="false" name="PT_R_FORM_HOTVSNA_16_NAME_FORM" vbProcedure="false">DATA_FORMS!$C$23</definedName>
    <definedName function="false" hidden="false" name="PT_R_FORM_HOTVSNA_17_NAME_FORM" vbProcedure="false">DATA_FORMS!$C$24</definedName>
    <definedName function="false" hidden="false" name="PT_R_FORM_VOTV_16_NAME_FORM" vbProcedure="false">DATA_FORMS!$C$27</definedName>
    <definedName function="false" hidden="false" name="PT_R_FORM_VOTV_17_NAME_FORM" vbProcedure="false">DATA_FORMS!$C$28</definedName>
    <definedName function="false" hidden="false" name="PT_SCHEME_LIST" vbProcedure="false">TEHSHEET!$AZ$36:$AZ$39</definedName>
    <definedName function="false" hidden="false" name="pt_ter_1" vbProcedure="false">'ТС. Т-ТЭ | &gt;=25МВт'!$44:$55</definedName>
    <definedName function="false" hidden="false" name="pt_ter_10" vbProcedure="false">'ХВС. Т-тех'!$42:$51</definedName>
    <definedName function="false" hidden="false" name="pt_ter_11" vbProcedure="false">'ХВС. Т-транс'!$42:$51</definedName>
    <definedName function="false" hidden="false" name="pt_ter_12" vbProcedure="false">'ХВС. Т-подвоз'!$42:$51</definedName>
    <definedName function="false" hidden="false" name="pt_ter_13" vbProcedure="false">'ХВС. Т-подкл'!$47:$61</definedName>
    <definedName function="false" hidden="false" name="pt_ter_14" vbProcedure="false">'ГВС. Т-гор.вода'!$43:$52</definedName>
    <definedName function="false" hidden="false" name="pt_ter_15" vbProcedure="false">'ГВС. Т-транс'!$43:$52</definedName>
    <definedName function="false" hidden="false" name="pt_ter_16" vbProcedure="false">'ГВС. Т-подкл'!$47:$61</definedName>
    <definedName function="false" hidden="false" name="pt_ter_17" vbProcedure="false">'ВО. Т-во'!$42:$51</definedName>
    <definedName function="false" hidden="false" name="pt_ter_18" vbProcedure="false">'ВО. Т-транс'!$42:$51</definedName>
    <definedName function="false" hidden="false" name="pt_ter_19" vbProcedure="false">'ВО. Т-подкл'!$47:$61</definedName>
    <definedName function="false" hidden="false" name="pt_ter_2" vbProcedure="false">'ТС. Т-ТЭ | ТСО'!$44:$55</definedName>
    <definedName function="false" hidden="false" name="pt_ter_20" vbProcedure="false">'ТС. Т-подкл(инд)'!$43:$53</definedName>
    <definedName function="false" hidden="false" name="pt_ter_21" vbProcedure="false">'ТС. Т-ТЭ | предел'!$44:$55</definedName>
    <definedName function="false" hidden="false" name="pt_ter_21_1" vbProcedure="false">'ТС. Т-ТЭ | индикат'!$44:$55</definedName>
    <definedName function="false" hidden="false" name="pt_ter_3" vbProcedure="false">'ТС. Т-ТН'!$44:$55</definedName>
    <definedName function="false" hidden="false" name="pt_ter_4" vbProcedure="false">'ТС. Т-гор.вода'!$50:$63</definedName>
    <definedName function="false" hidden="false" name="pt_ter_5" vbProcedure="false">'ТС. Т-передача ТЭ'!$44:$55</definedName>
    <definedName function="false" hidden="false" name="pt_ter_6" vbProcedure="false">'ТС. Т-передача ТН'!$44:$55</definedName>
    <definedName function="false" hidden="false" name="pt_ter_7" vbProcedure="false">'ТС. Резерв мощности'!$44:$55</definedName>
    <definedName function="false" hidden="false" name="pt_ter_8" vbProcedure="false">'ТС. Т-подкл'!$46:$59</definedName>
    <definedName function="false" hidden="false" name="pt_ter_9" vbProcedure="false">'ХВС. Т-пит'!$42:$51</definedName>
    <definedName function="false" hidden="false" name="PT_TN_LIST" vbProcedure="false">TEHSHEET!$AZ$42:$AZ$52</definedName>
    <definedName function="false" hidden="false" name="PT_VDET_COLUMN_MARKER" vbProcedure="false">'Перечень тарифов'!$G$8</definedName>
    <definedName function="false" hidden="false" name="PURCH_NAME_FORM" vbProcedure="false">DATA_FORMS!$C$29</definedName>
    <definedName function="false" hidden="false" name="P_T_TERMS_LINK" vbProcedure="false">Договоры!$F$12:$F$22</definedName>
    <definedName function="false" hidden="false" name="QRE_METHOD_LIST" vbProcedure="false">TEHSHEET!$AZ$8:$AZ$10</definedName>
    <definedName function="false" hidden="false" name="QUARTER" vbProcedure="false">TEHSHEET!$F$2:$F$5</definedName>
    <definedName function="false" hidden="false" name="Q_LIMIT_CheckC" vbProcedure="false">Ограничения!$E$32:$Q$39</definedName>
    <definedName function="false" hidden="false" name="Q_LIMIT_diff_1" vbProcedure="false">Ограничения!$I$26:$J$28</definedName>
    <definedName function="false" hidden="false" name="Q_Limit_diff_5" vbProcedure="false">Ограничения!$K$26:$L$28</definedName>
    <definedName function="false" hidden="false" name="Q_Limit_diff_51" vbProcedure="false">Ограничения!$M$26:$N$28</definedName>
    <definedName function="false" hidden="false" name="Q_Limit_diff_511" vbProcedure="false">Ограничения!$O$26:$P$28</definedName>
    <definedName function="false" hidden="false" name="Q_LIMIT_p3" vbProcedure="false">Ограничения!$F$36:$Q$37</definedName>
    <definedName function="false" hidden="false" name="Q_LIMIT_p4" vbProcedure="false">Ограничения!$F$38:$Q$39</definedName>
    <definedName function="false" hidden="false" name="Q_PH_diff_1" vbProcedure="false">'Потребительские характеристики'!$I$9:$J$11</definedName>
    <definedName function="false" hidden="false" name="Q_PH_diff_5" vbProcedure="false">'Потребительские характеристики'!$K$9:$L$11</definedName>
    <definedName function="false" hidden="false" name="Q_PH_diff_51" vbProcedure="false">'Потребительские характеристики'!$M$9:$N$11</definedName>
    <definedName function="false" hidden="false" name="Q_PH_diff_511" vbProcedure="false">'Потребительские характеристики'!$O$9:$P$11</definedName>
    <definedName function="false" hidden="false" name="Q_TP_COUNT_REFUSAL" vbProcedure="false">ТП!$H$17:$H$17</definedName>
    <definedName function="false" hidden="false" name="Q_TP_diff_1" vbProcedure="false">ТП!$H$9:$H$11</definedName>
    <definedName function="false" hidden="false" name="Q_TP_diff_5" vbProcedure="false">ТП!$I$9:$I$11</definedName>
    <definedName function="false" hidden="false" name="Q_TP_diff_51" vbProcedure="false">ТП!$J$9:$J$11</definedName>
    <definedName function="false" hidden="false" name="Q_TP_diff_511" vbProcedure="false">ТП!$K$9:$K$11</definedName>
    <definedName function="false" hidden="false" name="REESTR_INFR_RANGE" vbProcedure="false">REESTR_OBJ_INFR!$A$2:$AL$7</definedName>
    <definedName function="false" hidden="false" name="REESTR_IP_RANGE" vbProcedure="false">REESTR_IP!$A$2:$I$3</definedName>
    <definedName function="false" hidden="false" name="REESTR_LINK_RANGE" vbProcedure="false">REESTR_LINK!$A$2:$C$3</definedName>
    <definedName function="false" hidden="false" name="REESTR_VT_RANGE" vbProcedure="false">REESTR_VT!$A$2:$B$11</definedName>
    <definedName function="false" hidden="false" name="REGION" vbProcedure="false">TEHSHEET!$A$2:$A$91</definedName>
    <definedName function="false" hidden="false" name="region_name" vbProcedure="false">Титульный!$F$7</definedName>
    <definedName function="false" hidden="false" name="RegulatoryPeriod" vbProcedure="false">Титульный!$F$11:$F$12</definedName>
    <definedName function="false" hidden="false" name="ReportPeriod" vbProcedure="false">Титульный!$F$11:$F$15</definedName>
    <definedName function="false" hidden="false" name="ROIV_CASE_ADD_HL_CASE_COLUMN_MARKER" vbProcedure="false">'Дела об установлении тарифов'!$F$1</definedName>
    <definedName function="false" hidden="false" name="ROIV_CASE_DATE" vbProcedure="false">'Дела об установлении тарифов'!$G$10:$G$11</definedName>
    <definedName function="false" hidden="false" name="ROIV_CASE_DEL_HL_CASE_COLUMN_MARKER" vbProcedure="false">'Дела об установлении тарифов'!$D$1</definedName>
    <definedName function="false" hidden="false" name="ROIV_CASE_NUM_CASE_COLUMN_MARKER" vbProcedure="false">'Дела об установлении тарифов'!$E$1</definedName>
    <definedName function="false" hidden="false" name="ROIV_CASE_PROTOKOL" vbProcedure="false">'Дела об установлении тарифов'!$K$10:$K$11</definedName>
    <definedName function="false" hidden="false" name="ROIV_CASE_PROTOKOL_ET" vbProcedure="false">'Дела об установлении тарифов'!$K$2</definedName>
    <definedName function="false" hidden="false" name="ROIV_CASE_PUC_ADD_HL_CASE_COLUMN_MARKER" vbProcedure="false">'Дела об утверждении ПУЦ'!$F$1</definedName>
    <definedName function="false" hidden="false" name="ROIV_CASE_PUC_DATE" vbProcedure="false">'Дела об утверждении ПУЦ'!$G$10:$G$11</definedName>
    <definedName function="false" hidden="false" name="ROIV_CASE_PUC_DEL_HL_CASE_COLUMN_MARKER" vbProcedure="false">'Дела об утверждении ПУЦ'!$D$1</definedName>
    <definedName function="false" hidden="false" name="ROIV_CASE_PUC_NUM_CASE_COLUMN_MARKER" vbProcedure="false">'Дела об утверждении ПУЦ'!$E$1</definedName>
    <definedName function="false" hidden="false" name="ROIV_CASE_PUC_PROTOKOL" vbProcedure="false">'Дела об утверждении ПУЦ'!$K$10:$K$11</definedName>
    <definedName function="false" hidden="false" name="ROIV_CASE_PUC_PROTOKOL_ET" vbProcedure="false">'Дела об утверждении ПУЦ'!$K$2</definedName>
    <definedName function="false" hidden="false" name="ROIV_CASE_PUC_RESH" vbProcedure="false">'Дела об утверждении ПУЦ'!$J$10:$J$11</definedName>
    <definedName function="false" hidden="false" name="ROIV_CASE_PUC_RESH_ET" vbProcedure="false">'Дела об утверждении ПУЦ'!$J$2</definedName>
    <definedName function="false" hidden="false" name="ROIV_CASE_RESH" vbProcedure="false">'Дела об установлении тарифов'!$J$10:$J$11</definedName>
    <definedName function="false" hidden="false" name="ROIV_CASE_RESH_ET" vbProcedure="false">'Дела об установлении тарифов'!$J$2</definedName>
    <definedName function="false" hidden="false" name="ROIV_INFO_COMMENT" vbProcedure="false">TEHSHEET!$BA$97:$BA$103</definedName>
    <definedName function="false" hidden="false" name="ROIV_INFO_COMMENT_HEAT" vbProcedure="false">TEHSHEET!$BA$97:$BA$103</definedName>
    <definedName function="false" hidden="false" name="ROIV_INFO_COMMENT_NO_HEAT" vbProcedure="false">TEHSHEET!$BA$111:$BA$116</definedName>
    <definedName function="false" hidden="false" name="ROIV_INFO_DEL_HL_PHONE_COLUMN_MARKER" vbProcedure="false">'Орган регулирования'!$C$1</definedName>
    <definedName function="false" hidden="false" name="ROIV_INFO_DOKLAD" vbProcedure="false">'Орган регулирования'!$F$24</definedName>
    <definedName function="false" hidden="false" name="ROIV_INFO_LIST" vbProcedure="false">TEHSHEET!$AZ$97:$AZ$103</definedName>
    <definedName function="false" hidden="false" name="ROIV_INFO_LIST_HEAT" vbProcedure="false">TEHSHEET!$AZ$97:$AZ$103</definedName>
    <definedName function="false" hidden="false" name="ROIV_INFO_LIST_NO_HEAT" vbProcedure="false">TEHSHEET!$AZ$111:$AZ$116</definedName>
    <definedName function="false" hidden="false" name="ROIV_INFO_NAME" vbProcedure="false">'Орган регулирования'!$F$12</definedName>
    <definedName function="false" hidden="false" name="ROIV_INFO_NUM_PHONE_COLUMN_MARKER" vbProcedure="false">'Орган регулирования'!$D$1</definedName>
    <definedName function="false" hidden="false" name="ROIV_ORG_DEL_HL_ORG_COLUMN_MARKER" vbProcedure="false">'Перечень организаций'!$D$1</definedName>
    <definedName function="false" hidden="false" name="ROIV_ORG_INN_COLUMN_MARKER" vbProcedure="false">'Перечень организаций'!$G$1</definedName>
    <definedName function="false" hidden="false" name="ROIV_ORG_KPP_COLUMN_MARKER" vbProcedure="false">'Перечень организаций'!$H$1</definedName>
    <definedName function="false" hidden="false" name="ROIV_ORG_NAME_ORG_COLUMN_MARKER" vbProcedure="false">'Перечень организаций'!$F$1</definedName>
    <definedName function="false" hidden="false" name="ROIV_ORG_NUM_ORG_COLUMN_MARKER" vbProcedure="false">'Перечень организаций'!$E$1</definedName>
    <definedName function="false" hidden="false" name="ROIV_ORG_TECH_ORG_ID" vbProcedure="false">'Перечень организаций'!$A$9:$A$10</definedName>
    <definedName function="false" hidden="false" name="ROIV_ORG_TECH_ORG_ID_COLUMN_MARKER" vbProcedure="false">'Перечень организаций'!$A$1</definedName>
    <definedName function="false" hidden="false" name="ROIV_OTV_ADD_HL_DL_COLUMN_MARKER" vbProcedure="false">'Привлечение к ответственности'!$K$1</definedName>
    <definedName function="false" hidden="false" name="ROIV_OTV_DEL_HL_DL_COLUMN_MARKER" vbProcedure="false">'Привлечение к ответственности'!$I$1</definedName>
    <definedName function="false" hidden="false" name="ROIV_OTV_DEL_HL_ORG_COLUMN_MARKER" vbProcedure="false">'Привлечение к ответственности'!$D$1</definedName>
    <definedName function="false" hidden="false" name="ROIV_OTV_INN_COLUMN_MARKER" vbProcedure="false">'Привлечение к ответственности'!$H$1</definedName>
    <definedName function="false" hidden="false" name="ROIV_OTV_NAME_ORG_COLUMN_MARKER" vbProcedure="false">'Привлечение к ответственности'!$G$1</definedName>
    <definedName function="false" hidden="false" name="ROIV_OTV_NUM_DL_COLUMN_MARKER" vbProcedure="false">'Привлечение к ответственности'!$J$1</definedName>
    <definedName function="false" hidden="false" name="ROIV_OTV_NUM_ORG_COLUMN_MARKER" vbProcedure="false">'Привлечение к ответственности'!$E$1</definedName>
    <definedName function="false" hidden="false" name="ROIV_OTV_TECH_ORG_ID_COLUMN_MARKER" vbProcedure="false">'Привлечение к ответственности'!$A$1</definedName>
    <definedName function="false" hidden="false" name="RST_ORG_ID" vbProcedure="false">Титульный!$F$72</definedName>
    <definedName function="false" hidden="false" name="R_OFFER_ADD_PERIOD_HL_COLUMN_MARKER" vbProcedure="false">Предложение!$I$12</definedName>
    <definedName function="false" hidden="false" name="R_OFFER_CHANGE_HL_COLUMN_MARKER" vbProcedure="false">Предложение!$K$12</definedName>
    <definedName function="false" hidden="false" name="R_OFFER_DEL_HL_COLUMN_MARKER" vbProcedure="false">Предложение!$H$12</definedName>
    <definedName function="false" hidden="false" name="R_OFFER_FLAG_HL_COLUMN_MARKER" vbProcedure="false">Предложение!$C$12</definedName>
    <definedName function="false" hidden="false" name="SKI_number" vbProcedure="false">TEHSHEET!$I$2:$I$21</definedName>
    <definedName function="false" hidden="false" name="StartDateList" vbProcedure="false">TEHSHEET!$G$46:$G$53</definedName>
    <definedName function="false" hidden="false" name="tblEnd_1_B_FHD" vbProcedure="false">'Показатели ФХД'!$M$148</definedName>
    <definedName function="false" hidden="false" name="tblEnd_1_B_FHD_TKO" vbProcedure="false">'ТКО. Показатели ФХД'!$M$47</definedName>
    <definedName function="false" hidden="false" name="tblEnd_1_B_FHD_TKO_TRANS" vbProcedure="false">'ТКО. Транс. Показатели ФХД'!$M$38</definedName>
    <definedName function="false" hidden="false" name="tblEnd_1_B_KNE" vbProcedure="false">'Показатели КНЭ'!$J$101</definedName>
    <definedName function="false" hidden="false" name="tblEnd_1_B_OTEP" vbProcedure="false">'Показатели ОТЭП'!$Q$34</definedName>
    <definedName function="false" hidden="false" name="tblEnd_1_B_STANDARTS" vbProcedure="false">'Стандарты качества'!$L$13</definedName>
    <definedName function="false" hidden="false" name="tblEnd_1_CHANGE_INFO" vbProcedure="false">'Сведения об изменении'!$E$14</definedName>
    <definedName function="false" hidden="false" name="tblEnd_1_DIFFERENTIATION" vbProcedure="false">Дифференциация!$M$24</definedName>
    <definedName function="false" hidden="false" name="tblEnd_1_DIFFERENTIATION_TARIFF" vbProcedure="false">'Перечень тарифов'!$W$136</definedName>
    <definedName function="false" hidden="false" name="tblEnd_1_DIFFERENTIATION_TKO" vbProcedure="false">'Дифференциация тариф показатель'!$AI$41</definedName>
    <definedName function="false" hidden="false" name="tblEnd_1_ED" vbProcedure="false">ЭД!$H$14</definedName>
    <definedName function="false" hidden="false" name="tblEnd_1_IP_DETAILED" vbProcedure="false">'ИП. Детализация'!$AH$670</definedName>
    <definedName function="false" hidden="false" name="tblEnd_1_IP_FIN_PLAN" vbProcedure="false">'ИП. Финансовый план'!$R$58</definedName>
    <definedName function="false" hidden="false" name="tblEnd_1_IP_MAIN" vbProcedure="false">ИП!$AB$16</definedName>
    <definedName function="false" hidden="false" name="tblEnd_1_IP_QRE" vbProcedure="false">'ИП. КНЭ'!$FX$24</definedName>
    <definedName function="false" hidden="false" name="tblEnd_1_OFFER" vbProcedure="false">Предложение!$L$330</definedName>
    <definedName function="false" hidden="false" name="tblEnd_1_ORG_INFO" vbProcedure="false">'Общая информация об организации'!$F$52</definedName>
    <definedName function="false" hidden="false" name="tblEnd_1_ORG_TERRITORY" vbProcedure="false">'Сведения по территориям'!$K$14</definedName>
    <definedName function="false" hidden="false" name="tblEnd_1_ORG_VD" vbProcedure="false">'Общая информация по ВД'!$AI$14</definedName>
    <definedName function="false" hidden="false" name="tblEnd_1_ORG_VD_TKO" vbProcedure="false">'Виды объектов'!$I$17</definedName>
    <definedName function="false" hidden="false" name="tblEnd_1_P_PROCEDURE_TC" vbProcedure="false">'Порядок ТП'!$H$41</definedName>
    <definedName function="false" hidden="false" name="tblEnd_1_P_T_TERMS" vbProcedure="false">Договоры!$F$28</definedName>
    <definedName function="false" hidden="false" name="tblEnd_1_Q_LIMIT" vbProcedure="false">Ограничения!$Q$40</definedName>
    <definedName function="false" hidden="false" name="tblEnd_1_Q_PH" vbProcedure="false">'Потребительские характеристики'!$Q$21</definedName>
    <definedName function="false" hidden="false" name="tblEnd_1_Q_TP" vbProcedure="false">ТП!$L$23</definedName>
    <definedName function="false" hidden="false" name="tblEnd_1_ROIV_CASE" vbProcedure="false">'Дела об установлении тарифов'!$K$12</definedName>
    <definedName function="false" hidden="false" name="tblEnd_1_ROIV_CASE_PUC" vbProcedure="false">'Дела об утверждении ПУЦ'!$K$12</definedName>
    <definedName function="false" hidden="false" name="tblEnd_1_ROIV_INFO" vbProcedure="false">'Орган регулирования'!$F$25</definedName>
    <definedName function="false" hidden="false" name="tblEnd_1_ROIV_ORG" vbProcedure="false">'Перечень организаций'!$I$11</definedName>
    <definedName function="false" hidden="false" name="tblEnd_1_ROIV_OTV" vbProcedure="false">'Привлечение к ответственности'!$M$16</definedName>
    <definedName function="false" hidden="false" name="tblEnd_1_R_B_Purch" vbProcedure="false">'Сведения о закупках'!$G$15</definedName>
    <definedName function="false" hidden="false" name="tblEnd_1_R_Offer" vbProcedure="false">Предложение!$L$330</definedName>
    <definedName function="false" hidden="false" name="tblEnd_1_TARIFF_A" vbProcedure="false">'ТС. Т-ТЭ | &gt;=25МВт'!$AL$58</definedName>
    <definedName function="false" hidden="false" name="tblEnd_1_TARIFF_A_COLDVSNA" vbProcedure="false">'ХВС. Т-пит'!$AJ$54</definedName>
    <definedName function="false" hidden="false" name="tblEnd_1_TARIFF_A_HOTVSNA" vbProcedure="false">'ГВС. Т-гор.вода'!$AR$55</definedName>
    <definedName function="false" hidden="false" name="tblEnd_1_TARIFF_A_VOTV" vbProcedure="false">'ВО. Т-во'!$AJ$54</definedName>
    <definedName function="false" hidden="false" name="tblEnd_1_TARIFF_B" vbProcedure="false">'ТС. Т-ТЭ | ТСО'!$AL$58</definedName>
    <definedName function="false" hidden="false" name="tblEnd_1_TARIFF_B_COLDVSNA" vbProcedure="false">'ХВС. Т-тех'!$AJ$54</definedName>
    <definedName function="false" hidden="false" name="tblEnd_1_TARIFF_B_HOTVSNA" vbProcedure="false">'ГВС. Т-транс'!$AR$55</definedName>
    <definedName function="false" hidden="false" name="tblEnd_1_TARIFF_B_VOTV" vbProcedure="false">'ВО. Т-транс'!$AJ$54</definedName>
    <definedName function="false" hidden="false" name="tblEnd_1_TARIFF_C" vbProcedure="false">'ТС. Т-ТН'!$AL$58</definedName>
    <definedName function="false" hidden="false" name="tblEnd_1_TARIFF_C_COLDVSNA" vbProcedure="false">'ХВС. Т-транс'!$AJ$54</definedName>
    <definedName function="false" hidden="false" name="tblEnd_1_TARIFF_C_HOTVSNA" vbProcedure="false">'ГВС. Т-подкл'!$BB$64</definedName>
    <definedName function="false" hidden="false" name="tblEnd_1_TARIFF_C_VOTV" vbProcedure="false">'ВО. Т-подкл'!$BB$64</definedName>
    <definedName function="false" hidden="false" name="tblEnd_1_TARIFF_D" vbProcedure="false">'ТС. Т-гор.вода'!$AP$66</definedName>
    <definedName function="false" hidden="false" name="tblEnd_1_TARIFF_D_COLDVSNA" vbProcedure="false">'ХВС. Т-подвоз'!$AJ$54</definedName>
    <definedName function="false" hidden="false" name="tblEnd_1_TARIFF_E1" vbProcedure="false">'ТС. Т-передача ТЭ'!$AL$58</definedName>
    <definedName function="false" hidden="false" name="tblEnd_1_TARIFF_E2" vbProcedure="false">'ТС. Т-передача ТН'!$AL$58</definedName>
    <definedName function="false" hidden="false" name="tblEnd_1_TARIFF_E_COLDVSNA" vbProcedure="false">'ХВС. Т-подкл'!$BB$64</definedName>
    <definedName function="false" hidden="false" name="tblEnd_1_TARIFF_F" vbProcedure="false">'ТС. Резерв мощности'!$AL$58</definedName>
    <definedName function="false" hidden="false" name="tblEnd_1_TARIFF_G" vbProcedure="false">'ТС. Т-подкл'!$AT$63</definedName>
    <definedName function="false" hidden="false" name="tblEnd_1_TARIFF_H" vbProcedure="false">'ТС. Т-подкл(инд)'!$AJ$57</definedName>
    <definedName function="false" hidden="false" name="tblEnd_1_TARIFF_I" vbProcedure="false">'ТС. Т-ТЭ | предел'!$AL$54</definedName>
    <definedName function="false" hidden="false" name="tblEnd_1_TARIFF_I_1" vbProcedure="false">'ТС. Т-ТЭ | индикат'!$AL$58</definedName>
    <definedName function="false" hidden="false" name="tblEnd_1_TERRITORY" vbProcedure="false">'Список территорий'!$I$22</definedName>
    <definedName function="false" hidden="false" name="tblStart_1_B_FHD" vbProcedure="false">'Показатели ФХД'!$I$30</definedName>
    <definedName function="false" hidden="false" name="tblStart_1_B_FHD_TKO" vbProcedure="false">'ТКО. Показатели ФХД'!$I$15</definedName>
    <definedName function="false" hidden="false" name="tblStart_1_B_FHD_TKO_TRANS" vbProcedure="false">'ТКО. Транс. Показатели ФХД'!$I$15</definedName>
    <definedName function="false" hidden="false" name="tblStart_1_B_KNE" vbProcedure="false">'Показатели КНЭ'!$I$12</definedName>
    <definedName function="false" hidden="false" name="tblStart_1_B_OTEP" vbProcedure="false">'Показатели ОТЭП'!$M$15</definedName>
    <definedName function="false" hidden="false" name="tblStart_1_B_STANDARTS" vbProcedure="false">'Стандарты качества'!$L$10</definedName>
    <definedName function="false" hidden="false" name="tblStart_1_CHANGE_INFO" vbProcedure="false">'Сведения об изменении'!$E$12</definedName>
    <definedName function="false" hidden="false" name="tblStart_1_DIFFERENTIATION" vbProcedure="false">Дифференциация!$E$13</definedName>
    <definedName function="false" hidden="false" name="tblStart_1_DIFFERENTIATION_TARIFF" vbProcedure="false">'Перечень тарифов'!$G$13</definedName>
    <definedName function="false" hidden="false" name="tblStart_1_DIFFERENTIATION_TKO" vbProcedure="false">'Дифференциация тариф показатель'!$K$11</definedName>
    <definedName function="false" hidden="false" name="tblStart_1_ED" vbProcedure="false">ЭД!$E$12</definedName>
    <definedName function="false" hidden="false" name="tblStart_1_IP_DETAILED" vbProcedure="false">'ИП. Детализация'!$I$13</definedName>
    <definedName function="false" hidden="false" name="tblStart_1_IP_FIN_PLAN" vbProcedure="false">'ИП. Финансовый план'!$J$14</definedName>
    <definedName function="false" hidden="false" name="tblStart_1_IP_MAIN" vbProcedure="false">ИП!$H$11</definedName>
    <definedName function="false" hidden="false" name="tblStart_1_IP_QRE" vbProcedure="false">'ИП. КНЭ'!$O$18</definedName>
    <definedName function="false" hidden="false" name="tblStart_1_OFFER" vbProcedure="false">Предложение!$H$22</definedName>
    <definedName function="false" hidden="false" name="tblStart_1_ORG_INFO" vbProcedure="false">'Общая информация об организации'!$F$13</definedName>
    <definedName function="false" hidden="false" name="tblStart_1_ORG_TERRITORY" vbProcedure="false">'Сведения по территориям'!$G$12</definedName>
    <definedName function="false" hidden="false" name="tblStart_1_ORG_VD" vbProcedure="false">'Общая информация по ВД'!$F$12</definedName>
    <definedName function="false" hidden="false" name="tblStart_1_ORG_VD_TKO" vbProcedure="false">'Виды объектов'!$E$14</definedName>
    <definedName function="false" hidden="false" name="tblStart_1_P_PROCEDURE_TC" vbProcedure="false">'Порядок ТП'!$G$22</definedName>
    <definedName function="false" hidden="false" name="tblStart_1_P_T_TERMS" vbProcedure="false">Договоры!$F$14</definedName>
    <definedName function="false" hidden="false" name="tblStart_1_Q_LIMIT" vbProcedure="false">Ограничения!$I$32</definedName>
    <definedName function="false" hidden="false" name="tblStart_1_Q_PH" vbProcedure="false">'Потребительские характеристики'!$I$19</definedName>
    <definedName function="false" hidden="false" name="tblStart_1_Q_TP" vbProcedure="false">ТП!$H$15</definedName>
    <definedName function="false" hidden="false" name="tblStart_1_ROIV_CASE" vbProcedure="false">'Дела об установлении тарифов'!$G$10</definedName>
    <definedName function="false" hidden="false" name="tblStart_1_ROIV_CASE_PUC" vbProcedure="false">'Дела об утверждении ПУЦ'!$G$10</definedName>
    <definedName function="false" hidden="false" name="tblStart_1_ROIV_INFO" vbProcedure="false">'Орган регулирования'!$F$12</definedName>
    <definedName function="false" hidden="false" name="tblStart_1_ROIV_ORG" vbProcedure="false">'Перечень организаций'!$F$9</definedName>
    <definedName function="false" hidden="false" name="tblStart_1_ROIV_OTV" vbProcedure="false">'Привлечение к ответственности'!$K$13</definedName>
    <definedName function="false" hidden="false" name="tblStart_1_R_B_Purch" vbProcedure="false">'Сведения о закупках'!$F$10</definedName>
    <definedName function="false" hidden="false" name="tblStart_1_R_Offer" vbProcedure="false">Предложение!$H$22</definedName>
    <definedName function="false" hidden="false" name="tblStart_1_TARIFF_A" vbProcedure="false">'ТС. Т-ТЭ | &gt;=25МВт'!$AD$43</definedName>
    <definedName function="false" hidden="false" name="tblStart_1_TARIFF_A_COLDVSNA" vbProcedure="false">'ХВС. Т-пит'!$AC$41</definedName>
    <definedName function="false" hidden="false" name="tblStart_1_TARIFF_A_HOTVSNA" vbProcedure="false">'ГВС. Т-гор.вода'!$AG$42</definedName>
    <definedName function="false" hidden="false" name="tblStart_1_TARIFF_A_VOTV" vbProcedure="false">'ВО. Т-во'!$AC$41</definedName>
    <definedName function="false" hidden="false" name="tblStart_1_TARIFF_B" vbProcedure="false">'ТС. Т-ТЭ | ТСО'!$AD$43</definedName>
    <definedName function="false" hidden="false" name="tblStart_1_TARIFF_B_COLDVSNA" vbProcedure="false">'ХВС. Т-тех'!$AC$41</definedName>
    <definedName function="false" hidden="false" name="tblStart_1_TARIFF_B_HOTVSNA" vbProcedure="false">'ГВС. Т-транс'!$AG$42</definedName>
    <definedName function="false" hidden="false" name="tblStart_1_TARIFF_B_VOTV" vbProcedure="false">'ВО. Т-транс'!$AC$41</definedName>
    <definedName function="false" hidden="false" name="tblStart_1_TARIFF_C" vbProcedure="false">'ТС. Т-ТН'!$AD$43</definedName>
    <definedName function="false" hidden="false" name="tblStart_1_TARIFF_C_COLDVSNA" vbProcedure="false">'ХВС. Т-транс'!$AC$41</definedName>
    <definedName function="false" hidden="false" name="tblStart_1_TARIFF_C_HOTVSNA" vbProcedure="false">'ГВС. Т-подкл'!$AD$46</definedName>
    <definedName function="false" hidden="false" name="tblStart_1_TARIFF_C_VOTV" vbProcedure="false">'ВО. Т-подкл'!$AD$46</definedName>
    <definedName function="false" hidden="false" name="tblStart_1_TARIFF_D" vbProcedure="false">'ТС. Т-гор.вода'!$AG$49</definedName>
    <definedName function="false" hidden="false" name="tblStart_1_TARIFF_D_COLDVSNA" vbProcedure="false">'ХВС. Т-подвоз'!$AC$41</definedName>
    <definedName function="false" hidden="false" name="tblStart_1_TARIFF_E1" vbProcedure="false">'ТС. Т-передача ТЭ'!$AD$43</definedName>
    <definedName function="false" hidden="false" name="tblStart_1_TARIFF_E2" vbProcedure="false">'ТС. Т-передача ТН'!$AD$43</definedName>
    <definedName function="false" hidden="false" name="tblStart_1_TARIFF_E_COLDVSNA" vbProcedure="false">'ХВС. Т-подкл'!$AD$46</definedName>
    <definedName function="false" hidden="false" name="tblStart_1_TARIFF_F" vbProcedure="false">'ТС. Резерв мощности'!$AD$43</definedName>
    <definedName function="false" hidden="false" name="tblStart_1_TARIFF_G" vbProcedure="false">'ТС. Т-подкл'!$AB$45</definedName>
    <definedName function="false" hidden="false" name="tblStart_1_TARIFF_H" vbProcedure="false">'ТС. Т-подкл(инд)'!$AB$42</definedName>
    <definedName function="false" hidden="false" name="tblStart_1_TARIFF_I" vbProcedure="false">'ТС. Т-ТЭ | предел'!$AD$43</definedName>
    <definedName function="false" hidden="false" name="tblStart_1_TARIFF_I_1" vbProcedure="false">'ТС. Т-ТЭ | индикат'!$AD$43</definedName>
    <definedName function="false" hidden="false" name="tblStart_1_TERRITORY" vbProcedure="false">'Список территорий'!$G$12</definedName>
    <definedName function="false" hidden="false" name="TECH_ORG_ID" vbProcedure="false">Титульный!$F$1</definedName>
    <definedName function="false" hidden="false" name="TemplateState" vbProcedure="false">TEHSHEET!$E$16</definedName>
    <definedName function="false" hidden="false" name="TEMPLATE_DATA_POINT" vbProcedure="false">DATA_NPA!$T$11:$X$16</definedName>
    <definedName function="false" hidden="false" name="TEMPLATE_DATA_POINT_FHD" vbProcedure="false">DATA_NPA!$T$18:$W$146</definedName>
    <definedName function="false" hidden="false" name="TEMPLATE_GROUP" vbProcedure="false">TEHSHEET!$E$45</definedName>
    <definedName function="false" hidden="false" name="TEMPLATE_NAME_FORM_LIST" vbProcedure="false">DATA_FORMS!$D$3:$H$35</definedName>
    <definedName function="false" hidden="false" name="TEMPLATE_NOTE_POINT" vbProcedure="false">DATA_NPA!$Z$11:$AD$15</definedName>
    <definedName function="false" hidden="false" name="TEMPLATE_NOTE_POINT_FHD" vbProcedure="false">DATA_NPA!$Z$18:$AD$146</definedName>
    <definedName function="false" hidden="false" name="TEMPLATE_NUMBER_FORM_LIST" vbProcedure="false">DATA_FORMS!$D$2:$H$2</definedName>
    <definedName function="false" hidden="false" name="TEMPLATE_NUMBER_POINT_FHD" vbProcedure="false">DATA_NPA!$O$18:$S$146</definedName>
    <definedName function="false" hidden="false" name="TEMPLATE_ORG_DATA_POINT" vbProcedure="false">DATA_NPA!$Z$3:$AD$9</definedName>
    <definedName function="false" hidden="false" name="TEMPLATE_SPHERE" vbProcedure="false">TEHSHEET!$E$36</definedName>
    <definedName function="false" hidden="false" name="TEMPLATE_SPHERE_LIST" vbProcedure="false">DATA_FORMS!$D$1:$H$1</definedName>
    <definedName function="false" hidden="false" name="TEMPLATE_SPHERE_LIST_FOR_NOTE" vbProcedure="false">DATA_NPA!$Z$2:$AD$2</definedName>
    <definedName function="false" hidden="false" name="TEMPLATE_SPHERE_LIST_FOR_NPA" vbProcedure="false">DATA_NPA!$T$2:$X$2</definedName>
    <definedName function="false" hidden="false" name="TEMPLATE_SPHERE_RUS" vbProcedure="false">TEHSHEET!$F$36</definedName>
    <definedName function="false" hidden="false" name="TEMPLATE_SPHERE_RUS_2" vbProcedure="false">TEHSHEET!$G$36</definedName>
    <definedName function="false" hidden="false" name="TERMS_LINK" vbProcedure="false">Договоры!$F$12:$F$22</definedName>
    <definedName function="false" hidden="false" name="TERMS_NAME_FORM" vbProcedure="false">DATA_FORMS!$C$5</definedName>
    <definedName function="false" hidden="false" name="TERMS_NUM_CONTRACT_COLUMN_MARKER" vbProcedure="false">Договоры!$D$8</definedName>
    <definedName function="false" hidden="false" name="TERMS_P_1" vbProcedure="false">DATA_NPA!$M$148</definedName>
    <definedName function="false" hidden="false" name="TERMS_TKO_TRANS_DATA" vbProcedure="false">Договоры!$E$25:$F$26</definedName>
    <definedName function="false" hidden="false" name="TERRITORY_CheckC" vbProcedure="false">'Список территорий'!$E$11:$I$21</definedName>
    <definedName function="false" hidden="false" name="TERRITORY_ID" vbProcedure="false">TEHSHEET!$E$56</definedName>
    <definedName function="false" hidden="false" name="TERRITORY_LIST_ID" vbProcedure="false">'Список территорий'!$F$11:$F$21</definedName>
    <definedName function="false" hidden="false" name="TERRITORY_MO_LIST" vbProcedure="false">'Список территорий'!$H$11:$H$21</definedName>
    <definedName function="false" hidden="false" name="TERRITORY_MR_LIST" vbProcedure="false">'Список территорий'!$G$11:$G$21</definedName>
    <definedName function="false" hidden="false" name="TERRITORY_NAME_COL" vbProcedure="false">'Список территорий'!$G$1:$I$1</definedName>
    <definedName function="false" hidden="false" name="TERRITORY_POINT_NUMBER_1" vbProcedure="false">'Список территорий'!$A:$A</definedName>
    <definedName function="false" hidden="false" name="ter_1" vbProcedure="false">'Список территорий'!$G$13:$I$13</definedName>
    <definedName function="false" hidden="false" name="ter_5" vbProcedure="false">'Список территорий'!$G$16:$I$16</definedName>
    <definedName function="false" hidden="false" name="ter_51" vbProcedure="false">'Список территорий'!$G$19:$I$19</definedName>
    <definedName function="false" hidden="false" name="TER_ID" vbProcedure="false">TEHSHEET!$E$62</definedName>
    <definedName function="false" hidden="false" name="TITLE_BUHG_FLAG" vbProcedure="false">Титульный!$F$53</definedName>
    <definedName function="false" hidden="false" name="TITLE_CONNECTION_FLAG" vbProcedure="false">Титульный!$F$49</definedName>
    <definedName function="false" hidden="false" name="TITLE_DATA_TYPE" vbProcedure="false">Титульный!$F$17</definedName>
    <definedName function="false" hidden="false" name="TITLE_DATE_BUHG" vbProcedure="false">Титульный!$F$54</definedName>
    <definedName function="false" hidden="false" name="TITLE_DATE_CHANGE" vbProcedure="false">Титульный!$F$18</definedName>
    <definedName function="false" hidden="false" name="TITLE_DATE_CHANGE_PERIOD" vbProcedure="false">Титульный!$F$19</definedName>
    <definedName function="false" hidden="false" name="TITLE_DATE_FIL" vbProcedure="false">Титульный!$F$13</definedName>
    <definedName function="false" hidden="false" name="TITLE_DATE_PARKING" vbProcedure="false">Титульный!$H$5</definedName>
    <definedName function="false" hidden="false" name="TITLE_DATE_PR" vbProcedure="false">Титульный!$F$21</definedName>
    <definedName function="false" hidden="false" name="TITLE_DATE_PR_CHANGE" vbProcedure="false">Титульный!$F$26</definedName>
    <definedName function="false" hidden="false" name="TITLE_DIFFERENTIATION_TYPE" vbProcedure="false">Титульный!$F$41</definedName>
    <definedName function="false" hidden="false" name="TITLE_FIL_YEAR" vbProcedure="false">Титульный!$F$14</definedName>
    <definedName function="false" hidden="false" name="TITLE_FLAG_DIFF_SELLER" vbProcedure="false">Титульный!$F$46</definedName>
    <definedName function="false" hidden="false" name="TITLE_FLAG_INTERNET" vbProcedure="false">Титульный!$F$39</definedName>
    <definedName function="false" hidden="false" name="TITLE_FLAG_IP" vbProcedure="false">Титульный!$F$58</definedName>
    <definedName function="false" hidden="false" name="TITLE_FLAG_IP_DETAILED" vbProcedure="false">Титульный!$F$60</definedName>
    <definedName function="false" hidden="false" name="TITLE_FLAG_NOT_REG_PRICE" vbProcedure="false">Титульный!$F$51</definedName>
    <definedName function="false" hidden="false" name="TITLE_FLAG_NO_DIFF_COMPONENT" vbProcedure="false">Титульный!$F$47</definedName>
    <definedName function="false" hidden="false" name="TITLE_FLAG_OTV_ROIV" vbProcedure="false">Титульный!$F$10</definedName>
    <definedName function="false" hidden="false" name="TITLE_FLAG_REG_PRICE_IP" vbProcedure="false">Титульный!$F$59</definedName>
    <definedName function="false" hidden="false" name="TITLE_FLAG_TKO_TRANS" vbProcedure="false">Титульный!$F$62</definedName>
    <definedName function="false" hidden="false" name="TITLE_FLAG_TOP80_ACTIVITY" vbProcedure="false">Титульный!$F$56</definedName>
    <definedName function="false" hidden="false" name="TITLE_HEADER_PR_CHANGE" vbProcedure="false">Титульный!$F$25</definedName>
    <definedName function="false" hidden="false" name="TITLE_IP_DETAILED_METHOD_LIST" vbProcedure="false">TEHSHEET!$AZ$15:$AZ$17</definedName>
    <definedName function="false" hidden="false" name="TITLE_IST_PUB" vbProcedure="false">Титульный!$F$24</definedName>
    <definedName function="false" hidden="false" name="TITLE_IST_PUB_CHANGE" vbProcedure="false">Титульный!$F$29</definedName>
    <definedName function="false" hidden="false" name="TITLE_NAME_OR_PR" vbProcedure="false">Титульный!$F$23</definedName>
    <definedName function="false" hidden="false" name="TITLE_NAME_OR_PR_CHANGE" vbProcedure="false">Титульный!$F$28</definedName>
    <definedName function="false" hidden="false" name="TITLE_NUMBER_PR" vbProcedure="false">Титульный!$F$22</definedName>
    <definedName function="false" hidden="false" name="TITLE_NUMBER_PR_CHANGE" vbProcedure="false">Титульный!$F$27</definedName>
    <definedName function="false" hidden="false" name="TITLE_PERIOD_END" vbProcedure="false">Титульный!$F$12</definedName>
    <definedName function="false" hidden="false" name="TITLE_PERIOD_START" vbProcedure="false">Титульный!$F$11</definedName>
    <definedName function="false" hidden="false" name="TITLE_PRICE_INDICATORS_GRAPH" vbProcedure="false">Титульный!$F$44</definedName>
    <definedName function="false" hidden="false" name="TITLE_PRICE_INDICATORS_LEVEL" vbProcedure="false">Титульный!$F$43</definedName>
    <definedName function="false" hidden="false" name="TITLE_STRUCTURE_INFO_ROIV" vbProcedure="false">Титульный!$F$9</definedName>
    <definedName function="false" hidden="false" name="TITLE_TYPE_ORG" vbProcedure="false">Титульный!$F$36</definedName>
    <definedName function="false" hidden="false" name="TKO_PT_VED_ID" vbProcedure="false">TEHSHEET!$CC$19:$CC$24</definedName>
    <definedName function="false" hidden="false" name="TKO_PT_VED_NAME" vbProcedure="false">TEHSHEET!$CD$19:$CD$24</definedName>
    <definedName function="false" hidden="false" name="TKO_PT_VED_NAME_LIST" vbProcedure="false">TEHSHEET!$CC$19:$CD$24</definedName>
    <definedName function="false" hidden="false" name="TP_NAME_FORM" vbProcedure="false">DATA_FORMS!$C$3</definedName>
    <definedName function="false" hidden="false" name="TP_NUMBER_FORM" vbProcedure="false">DATA_FORMS!$C$2</definedName>
    <definedName function="false" hidden="false" name="TP_P_A" vbProcedure="false">DATA_NPA!$M$11</definedName>
    <definedName function="false" hidden="false" name="TP_P_B" vbProcedure="false">DATA_NPA!$M$12</definedName>
    <definedName function="false" hidden="false" name="TP_P_G" vbProcedure="false">DATA_NPA!$M$15</definedName>
    <definedName function="false" hidden="false" name="TP_P_NOTE_A" vbProcedure="false">DATA_NPA!$N$11</definedName>
    <definedName function="false" hidden="false" name="TP_P_NOTE_B" vbProcedure="false">DATA_NPA!$N$12</definedName>
    <definedName function="false" hidden="false" name="TP_P_NOTE_G" vbProcedure="false">DATA_NPA!$N$15</definedName>
    <definedName function="false" hidden="false" name="TP_P_NOTE_G_1" vbProcedure="false">DATA_NPA!$N$16</definedName>
    <definedName function="false" hidden="false" name="TP_P_NOTE_V" vbProcedure="false">DATA_NPA!$N$13</definedName>
    <definedName function="false" hidden="false" name="TP_P_NOTE_V_1" vbProcedure="false">DATA_NPA!$N$14</definedName>
    <definedName function="false" hidden="false" name="TP_P_V" vbProcedure="false">DATA_NPA!$M$13</definedName>
    <definedName function="false" hidden="false" name="TP_P_V_1" vbProcedure="false">DATA_NPA!$M$14</definedName>
    <definedName function="false" hidden="false" name="TYPE_TKO_LIST" vbProcedure="false">TEHSHEET!$AZ$85:$AZ$87</definedName>
    <definedName function="false" hidden="false" name="UNIT_CONNECT_LIST" vbProcedure="false">TEHSHEET!$AZ$106:$AZ$108</definedName>
    <definedName function="false" hidden="false" name="VDET_END_DATE" vbProcedure="false">TEHSHEET!$F$32</definedName>
    <definedName function="false" hidden="false" name="VDET_START_DATE" vbProcedure="false">TEHSHEET!$E$32</definedName>
    <definedName function="false" hidden="false" name="VD_ID_LIST" vbProcedure="false">REESTR_VED!$A$2:$A$11</definedName>
    <definedName function="false" hidden="false" name="VD_LIST" vbProcedure="false">REESTR_VED!$A$2:$B$11</definedName>
    <definedName function="false" hidden="false" name="VD_NAME_LIST" vbProcedure="false">REESTR_VED!$B$2:$B$11</definedName>
    <definedName function="false" hidden="false" name="version" vbProcedure="false">Инструкция!$B$3</definedName>
    <definedName function="false" hidden="false" name="VOTV_FIN_SRC_LIST" vbProcedure="false">TEHSHEET!$BL$4:$BL$36</definedName>
    <definedName function="false" hidden="false" name="VOTV_FIN_SRC_VLD_LIST" vbProcedure="false">TEHSHEET!$BL$39:$BL$62</definedName>
    <definedName function="false" hidden="false" name="VOTV_IP_EVENT_CI_STAGE_LIST" vbProcedure="false">TEHSHEET!$BL$97:$BL$100</definedName>
    <definedName function="false" hidden="false" name="VOTV_IP_EVENT_GROUP_LIST" vbProcedure="false">TEHSHEET!$BL$69:$BL$76</definedName>
    <definedName function="false" hidden="false" name="VOTV_IP_EVENT_SUBGROUP_1_LIST" vbProcedure="false">TEHSHEET!$BL$80:$BL$83</definedName>
    <definedName function="false" hidden="false" name="VOTV_IP_EVENT_SUBGROUP_3_LIST" vbProcedure="false">TEHSHEET!$BL$87:$BL$88</definedName>
    <definedName function="false" hidden="false" name="VOTV_IP_EVENT_SUBGROUP_5_LIST" vbProcedure="false">TEHSHEET!$BL$92:$BL$93</definedName>
    <definedName function="false" hidden="false" name="VOTV_IP_EVENT_TYPE_LIST" vbProcedure="false">TEHSHEET!$BL$108</definedName>
    <definedName function="false" hidden="false" name="VOTV_PT_VED_ID" vbProcedure="false">TEHSHEET!$BZ$19:$BZ$21</definedName>
    <definedName function="false" hidden="false" name="VOTV_PT_VED_NAME" vbProcedure="false">TEHSHEET!$CA$19:$CA$21</definedName>
    <definedName function="false" hidden="false" name="VOTV_PT_VED_NAME_LIST" vbProcedure="false">TEHSHEET!$BZ$19:$CA$21</definedName>
    <definedName function="false" hidden="false" name="VOTV_TARIFF_A_VOTV_ADD_HL_COLUMN_MARKER" vbProcedure="false">'ВО. Т-во'!$T$34</definedName>
    <definedName function="false" hidden="false" name="VOTV_TARIFF_A_VOTV_DELETE_PERIOD_ROW_MARKER" vbProcedure="false">'ВО. Т-во'!$O$35</definedName>
    <definedName function="false" hidden="false" name="VOTV_TARIFF_A_VOTV_DEL_HL_DATA_DIFF_COLUMN_MARKER" vbProcedure="false">'ВО. Т-во'!$R$34</definedName>
    <definedName function="false" hidden="false" name="VOTV_TARIFF_A_VOTV_DEL_HL_FLAG_DIFF_COLUMN_MARKER" vbProcedure="false">'ВО. Т-во'!$P$34</definedName>
    <definedName function="false" hidden="false" name="VOTV_TARIFF_A_VOTV_DEL_HL_GC_COLUMN_MARKER" vbProcedure="false">'ВО. Т-во'!$Q$34</definedName>
    <definedName function="false" hidden="false" name="VOTV_TARIFF_A_VOTV_FLAG_BLOCK_COLUMN_MARKER" vbProcedure="false">'ВО. Т-во'!$L$36</definedName>
    <definedName function="false" hidden="false" name="VOTV_TARIFF_A_VOTV_FLAG_BLOCK_ROW_MARKER" vbProcedure="false">'ВО. Т-во'!$O$20</definedName>
    <definedName function="false" hidden="false" name="VOTV_TARIFF_A_VOTV_NUM_CS_COLUMN_MARKER" vbProcedure="false">'ВО. Т-во'!$G$36</definedName>
    <definedName function="false" hidden="false" name="VOTV_TARIFF_A_VOTV_NUM_DATA_DIFF_COLUMN_MARKER" vbProcedure="false">'ВО. Т-во'!$K$36</definedName>
    <definedName function="false" hidden="false" name="VOTV_TARIFF_A_VOTV_NUM_FLAG_DIFF_COLUMN_MARKER" vbProcedure="false">'ВО. Т-во'!$I$36</definedName>
    <definedName function="false" hidden="false" name="VOTV_TARIFF_A_VOTV_NUM_GC_COLUMN_MARKER" vbProcedure="false">'ВО. Т-во'!$J$36</definedName>
    <definedName function="false" hidden="false" name="VOTV_TARIFF_A_VOTV_NUM_NTAR_COLUMN_MARKER" vbProcedure="false">'ВО. Т-во'!$E$36</definedName>
    <definedName function="false" hidden="false" name="VOTV_TARIFF_A_VOTV_NUM_TER_COLUMN_MARKER" vbProcedure="false">'ВО. Т-во'!$F$36</definedName>
    <definedName function="false" hidden="false" name="VOTV_TARIFF_B_VOTV_ADD_HL_COLUMN_MARKER" vbProcedure="false">'ВО. Т-транс'!$T$34</definedName>
    <definedName function="false" hidden="false" name="VOTV_TARIFF_B_VOTV_DELETE_PERIOD_ROW_MARKER" vbProcedure="false">'ВО. Т-транс'!$O$35</definedName>
    <definedName function="false" hidden="false" name="VOTV_TARIFF_B_VOTV_DEL_HL_DATA_DIFF_COLUMN_MARKER" vbProcedure="false">'ВО. Т-транс'!$R$34</definedName>
    <definedName function="false" hidden="false" name="VOTV_TARIFF_B_VOTV_DEL_HL_FLAG_DIFF_COLUMN_MARKER" vbProcedure="false">'ВО. Т-транс'!$P$34</definedName>
    <definedName function="false" hidden="false" name="VOTV_TARIFF_B_VOTV_DEL_HL_GC_COLUMN_MARKER" vbProcedure="false">'ВО. Т-транс'!$Q$34</definedName>
    <definedName function="false" hidden="false" name="VOTV_TARIFF_B_VOTV_FLAG_BLOCK_COLUMN_MARKER" vbProcedure="false">'ВО. Т-транс'!$L$36</definedName>
    <definedName function="false" hidden="false" name="VOTV_TARIFF_B_VOTV_FLAG_BLOCK_ROW_MARKER" vbProcedure="false">'ВО. Т-транс'!$O$20</definedName>
    <definedName function="false" hidden="false" name="VOTV_TARIFF_B_VOTV_NUM_CS_COLUMN_MARKER" vbProcedure="false">'ВО. Т-транс'!$G$36</definedName>
    <definedName function="false" hidden="false" name="VOTV_TARIFF_B_VOTV_NUM_DATA_DIFF_COLUMN_MARKER" vbProcedure="false">'ВО. Т-транс'!$K$36</definedName>
    <definedName function="false" hidden="false" name="VOTV_TARIFF_B_VOTV_NUM_FLAG_DIFF_COLUMN_MARKER" vbProcedure="false">'ВО. Т-транс'!$I$36</definedName>
    <definedName function="false" hidden="false" name="VOTV_TARIFF_B_VOTV_NUM_GC_COLUMN_MARKER" vbProcedure="false">'ВО. Т-транс'!$J$36</definedName>
    <definedName function="false" hidden="false" name="VOTV_TARIFF_B_VOTV_NUM_NTAR_COLUMN_MARKER" vbProcedure="false">'ВО. Т-транс'!$E$36</definedName>
    <definedName function="false" hidden="false" name="VOTV_TARIFF_B_VOTV_NUM_TER_COLUMN_MARKER" vbProcedure="false">'ВО. Т-транс'!$F$36</definedName>
    <definedName function="false" hidden="false" name="VOTV_TARIFF_C_VOTV_ADD_HL_COLUMN_MARKER" vbProcedure="false">'ВО. Т-подкл'!$T$38</definedName>
    <definedName function="false" hidden="false" name="VOTV_TARIFF_C_VOTV_ADD_HL_DIAMETERS_COLUMN_MARKER" vbProcedure="false">'ВО. Т-подкл'!$AK$38</definedName>
    <definedName function="false" hidden="false" name="VOTV_TARIFF_C_VOTV_ADD_HL_LEN_COLUMN_MARKER" vbProcedure="false">'ВО. Т-подкл'!$AO$38</definedName>
    <definedName function="false" hidden="false" name="VOTV_TARIFF_C_VOTV_ADD_HL_LOAD_COLUMN_MARKER" vbProcedure="false">'ВО. Т-подкл'!$AG$38</definedName>
    <definedName function="false" hidden="false" name="VOTV_TARIFF_C_VOTV_ADD_HL_NETS_COLUMN_MARKER" vbProcedure="false">'ВО. Т-подкл'!$AS$38</definedName>
    <definedName function="false" hidden="false" name="VOTV_TARIFF_C_VOTV_DELETE_PERIOD_ROW_MARKER" vbProcedure="false">'ВО. Т-подкл'!$O$39</definedName>
    <definedName function="false" hidden="false" name="VOTV_TARIFF_C_VOTV_DEL_HL_DATA_DIFF_COLUMN_MARKER" vbProcedure="false">'ВО. Т-подкл'!$R$38</definedName>
    <definedName function="false" hidden="false" name="VOTV_TARIFF_C_VOTV_DEL_HL_DIAMETERS_COLUMN_MARKER" vbProcedure="false">'ВО. Т-подкл'!$AI$38</definedName>
    <definedName function="false" hidden="false" name="VOTV_TARIFF_C_VOTV_DEL_HL_FLAG_DIFF_COLUMN_MARKER" vbProcedure="false">'ВО. Т-подкл'!$P$38</definedName>
    <definedName function="false" hidden="false" name="VOTV_TARIFF_C_VOTV_DEL_HL_GC_COLUMN_MARKER" vbProcedure="false">'ВО. Т-подкл'!$Q$38</definedName>
    <definedName function="false" hidden="false" name="VOTV_TARIFF_C_VOTV_DEL_HL_LEN_COLUMN_MARKER" vbProcedure="false">'ВО. Т-подкл'!$AM$38</definedName>
    <definedName function="false" hidden="false" name="VOTV_TARIFF_C_VOTV_DEL_HL_LOAD_COLUMN_MARKER" vbProcedure="false">'ВО. Т-подкл'!$AE$38</definedName>
    <definedName function="false" hidden="false" name="VOTV_TARIFF_C_VOTV_DEL_HL_NETS_COLUMN_MARKER" vbProcedure="false">'ВО. Т-подкл'!$AQ$38</definedName>
    <definedName function="false" hidden="false" name="VOTV_TARIFF_C_VOTV_FLAG_BLOCK_COLUMN_MARKER" vbProcedure="false">'ВО. Т-подкл'!$L$44</definedName>
    <definedName function="false" hidden="false" name="VOTV_TARIFF_C_VOTV_FLAG_BLOCK_ROW_MARKER" vbProcedure="false">'ВО. Т-подкл'!$O$24</definedName>
    <definedName function="false" hidden="false" name="VOTV_TARIFF_C_VOTV_NUM_CS_COLUMN_MARKER" vbProcedure="false">'ВО. Т-подкл'!$G$44</definedName>
    <definedName function="false" hidden="false" name="VOTV_TARIFF_C_VOTV_NUM_DATA_DIFF_COLUMN_MARKER" vbProcedure="false">'ВО. Т-подкл'!$K$44</definedName>
    <definedName function="false" hidden="false" name="VOTV_TARIFF_C_VOTV_NUM_DIAMETERS_COLUMN_MARKER" vbProcedure="false">'ВО. Т-подкл'!$AJ$38</definedName>
    <definedName function="false" hidden="false" name="VOTV_TARIFF_C_VOTV_NUM_FLAG_DIFF_COLUMN_MARKER" vbProcedure="false">'ВО. Т-подкл'!$I$44</definedName>
    <definedName function="false" hidden="false" name="VOTV_TARIFF_C_VOTV_NUM_GC_COLUMN_MARKER" vbProcedure="false">'ВО. Т-подкл'!$J$44</definedName>
    <definedName function="false" hidden="false" name="VOTV_TARIFF_C_VOTV_NUM_LEN_COLUMN_MARKER" vbProcedure="false">'ВО. Т-подкл'!$AN$38</definedName>
    <definedName function="false" hidden="false" name="VOTV_TARIFF_C_VOTV_NUM_LOAD_COLUMN_MARKER" vbProcedure="false">'ВО. Т-подкл'!$AF$38</definedName>
    <definedName function="false" hidden="false" name="VOTV_TARIFF_C_VOTV_NUM_NETS_COLUMN_MARKER" vbProcedure="false">'ВО. Т-подкл'!$AR$38</definedName>
    <definedName function="false" hidden="false" name="VOTV_TARIFF_C_VOTV_NUM_NTAR_COLUMN_MARKER" vbProcedure="false">'ВО. Т-подкл'!$E$44</definedName>
    <definedName function="false" hidden="false" name="VOTV_TARIFF_C_VOTV_NUM_TER_COLUMN_MARKER" vbProcedure="false">'ВО. Т-подкл'!$F$44</definedName>
    <definedName function="false" hidden="false" name="VSNA_FIN_SRC_LIST" vbProcedure="false">TEHSHEET!$BJ$4:$BJ$34</definedName>
    <definedName function="false" hidden="false" name="VSNA_FIN_SRC_VLD_LIST" vbProcedure="false">TEHSHEET!$BJ$39:$BJ$60</definedName>
    <definedName function="false" hidden="false" name="VSNA_IP_EVENT_CI_STAGE_LIST" vbProcedure="false">TEHSHEET!$BJ$97:$BJ$100</definedName>
    <definedName function="false" hidden="false" name="VSNA_IP_EVENT_GROUP_LIST" vbProcedure="false">TEHSHEET!$BJ$69:$BJ$76</definedName>
    <definedName function="false" hidden="false" name="VSNA_IP_EVENT_SUBGROUP_1_LIST" vbProcedure="false">TEHSHEET!$BJ$80:$BJ$83</definedName>
    <definedName function="false" hidden="false" name="VSNA_IP_EVENT_SUBGROUP_3_LIST" vbProcedure="false">TEHSHEET!$BJ$87:$BJ$88</definedName>
    <definedName function="false" hidden="false" name="VSNA_IP_EVENT_SUBGROUP_5_LIST" vbProcedure="false">TEHSHEET!$BJ$92:$BJ$93</definedName>
    <definedName function="false" hidden="false" name="VSNA_IP_EVENT_TYPE_LIST" vbProcedure="false">TEHSHEET!$BJ$108</definedName>
    <definedName function="false" hidden="false" name="VTAR_ID" vbProcedure="false">TEHSHEET!$E$59</definedName>
    <definedName function="false" hidden="false" name="YEAR_IP_LIST" vbProcedure="false">TEHSHEET!$BE$2:$BE$72</definedName>
    <definedName function="false" hidden="false" name="year_list" vbProcedure="false">TEHSHEET!$C$2:$C$6</definedName>
    <definedName function="false" hidden="false" name="year_list1" vbProcedure="false">TEHSHEET!$B$2:$B$27</definedName>
    <definedName function="false" hidden="false" name="Y_N_DIFFERENTIATION_AREA" vbProcedure="false">Дифференциация!$F$12:$F$23</definedName>
    <definedName function="false" hidden="false" name="Y_N_DIFFERENTIATION_SYSTEM" vbProcedure="false">Дифференциация!$J$12:$J$23</definedName>
    <definedName function="false" hidden="false" localSheetId="59" name="_xlnm._FilterDatabase" vbProcedure="false">Проверка!$B$4:$E$5</definedName>
  </definedNames>
  <calcPr iterateCount="100" refMode="A1" iterate="true" iterateDelta="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E37" authorId="0">
      <text>
        <r>
          <rPr>
            <sz val="9"/>
            <color rgb="FF000000"/>
            <rFont val="Tahoma"/>
            <family val="0"/>
            <charset val="1"/>
          </rPr>
          <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51.xml><?xml version="1.0" encoding="utf-8"?>
<comments xmlns="http://schemas.openxmlformats.org/spreadsheetml/2006/main" xmlns:xdr="http://schemas.openxmlformats.org/drawingml/2006/spreadsheetDrawing">
  <authors>
    <author> </author>
  </authors>
  <commentList>
    <comment ref="L6" authorId="0">
      <text>
        <r>
          <rPr>
            <sz val="9"/>
            <color rgb="FF000000"/>
            <rFont val="Tahoma"/>
            <family val="0"/>
            <charset val="1"/>
          </rPr>
          <t xml:space="preserve">тут будет больше 0, если выбран хотя бы один метод, отличный от экономически обоснованных</t>
        </r>
      </text>
    </comment>
    <comment ref="AZ1" authorId="0">
      <text>
        <r>
          <rPr>
            <sz val="9"/>
            <color rgb="FF000000"/>
            <rFont val="Tahoma"/>
            <family val="0"/>
            <charset val="1"/>
          </rPr>
          <t xml:space="preserve">Тип организации</t>
        </r>
      </text>
    </comment>
  </commentList>
</comments>
</file>

<file path=xl/comments63.xml><?xml version="1.0" encoding="utf-8"?>
<comments xmlns="http://schemas.openxmlformats.org/spreadsheetml/2006/main" xmlns:xdr="http://schemas.openxmlformats.org/drawingml/2006/spreadsheetDrawing">
  <authors>
    <author> </author>
  </authors>
  <commentList>
    <comment ref="P2" authorId="0">
      <text>
        <r>
          <rPr>
            <sz val="9"/>
            <color rgb="FF000000"/>
            <rFont val="Tahoma"/>
            <family val="0"/>
            <charset val="1"/>
          </rPr>
          <t xml:space="preserve">сюда же для некоторых формул может входить:
- VOTV
- HOTVSNA</t>
        </r>
      </text>
    </comment>
    <comment ref="U2" authorId="0">
      <text>
        <r>
          <rPr>
            <sz val="9"/>
            <color rgb="FF000000"/>
            <rFont val="Tahoma"/>
            <family val="0"/>
            <charset val="1"/>
          </rPr>
          <t xml:space="preserve">сюда же для некоторых формул может входить:
- VOTV
- HOTVSNA</t>
        </r>
      </text>
    </comment>
  </commentList>
</comments>
</file>

<file path=xl/sharedStrings.xml><?xml version="1.0" encoding="utf-8"?>
<sst xmlns="http://schemas.openxmlformats.org/spreadsheetml/2006/main" count="17320" uniqueCount="3604">
  <si>
    <t xml:space="preserve"> (требуется обновление)</t>
  </si>
  <si>
    <t xml:space="preserve">Код отчёта: PP110.OPEN.INFO.BALANCE.HEAT.EIAS</t>
  </si>
  <si>
    <t xml:space="preserve">Версия отчёта: 1.1.3</t>
  </si>
  <si>
    <t xml:space="preserve">Условные обозначения</t>
  </si>
  <si>
    <t xml:space="preserve">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</si>
  <si>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</si>
  <si>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</si>
  <si>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</si>
  <si>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</si>
  <si>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</si>
  <si>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</si>
  <si>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</si>
  <si>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</si>
  <si>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28932227</t>
  </si>
  <si>
    <t xml:space="preserve">Flag_Row_Size</t>
  </si>
  <si>
    <t xml:space="preserve">Субъект РФ</t>
  </si>
  <si>
    <t xml:space="preserve">Ярославская область</t>
  </si>
  <si>
    <t xml:space="preserve">Состав раскрываемой информации</t>
  </si>
  <si>
    <t xml:space="preserve">Привлечение к ответственности за указанный период отсутствует</t>
  </si>
  <si>
    <t xml:space="preserve">нет</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</si>
  <si>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</si>
  <si>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</si>
  <si>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</si>
  <si>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</si>
  <si>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</si>
  <si>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</si>
  <si>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 xml:space="preserve">ORG</t>
  </si>
  <si>
    <t xml:space="preserve">Дата
предоставления информации</t>
  </si>
  <si>
    <t xml:space="preserve">Дата предоставления информации</t>
  </si>
  <si>
    <t xml:space="preserve">BALANCE, QUARTER, TERMS</t>
  </si>
  <si>
    <t xml:space="preserve">Год</t>
  </si>
  <si>
    <t xml:space="preserve">Отчётный период (год)</t>
  </si>
  <si>
    <t xml:space="preserve">QUARTER</t>
  </si>
  <si>
    <t xml:space="preserve">Квартал</t>
  </si>
  <si>
    <t xml:space="preserve">Отчётный период (квартал)</t>
  </si>
  <si>
    <t xml:space="preserve">Тип отчёта</t>
  </si>
  <si>
    <t xml:space="preserve">первичное раскрытие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</si>
  <si>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</si>
  <si>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</si>
  <si>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</si>
  <si>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Наименование органа регулирования, принявшего решение об утверждении тарифов</t>
  </si>
  <si>
    <t xml:space="preserve">Источник официального опубликования решения</t>
  </si>
  <si>
    <t xml:space="preserve">Открывается, если Тип отчёта "изменения в раскрытой ранее информации"</t>
  </si>
  <si>
    <t xml:space="preserve">Наименование органа регулирования, принявшего решение об изменении тарифов</t>
  </si>
  <si>
    <t xml:space="preserve">ООО "Газпром теплоэнерго Ярославль"</t>
  </si>
  <si>
    <t xml:space="preserve">Наименование (описание) обособленного подразделения</t>
  </si>
  <si>
    <t xml:space="preserve">ИНН</t>
  </si>
  <si>
    <t xml:space="preserve">7603060690</t>
  </si>
  <si>
    <t xml:space="preserve">КПП</t>
  </si>
  <si>
    <t xml:space="preserve">760301001</t>
  </si>
  <si>
    <t xml:space="preserve">Тип теплоснабжающей организации</t>
  </si>
  <si>
    <t xml:space="preserve">Регулируемая организация</t>
  </si>
  <si>
    <t xml:space="preserve">Система налогообложения</t>
  </si>
  <si>
    <t xml:space="preserve">ОСН</t>
  </si>
  <si>
    <t xml:space="preserve">Отсутствует Интернет в границах территории МО, где организация осуществляет регулируемые виды деятельности</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</si>
  <si>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</si>
  <si>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</si>
  <si>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rPr>
        <sz val="9"/>
        <rFont val="Tahoma"/>
        <family val="0"/>
        <charset val="1"/>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</si>
  <si>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0"/>
        <charset val="1"/>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</si>
  <si>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</si>
  <si>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</si>
  <si>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</si>
  <si>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</si>
  <si>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</si>
  <si>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</si>
  <si>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Детализация инвестиционных программ осуществляется</t>
  </si>
  <si>
    <t xml:space="preserve">по мероприятиям</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</si>
  <si>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</si>
  <si>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</si>
  <si>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150067 г. Ярославль , пр-кт Машиностроителей, д. 64</t>
  </si>
  <si>
    <t xml:space="preserve">Фамилия, имя, отчество руководителя</t>
  </si>
  <si>
    <t xml:space="preserve">Малов Сергей Владимирович</t>
  </si>
  <si>
    <t xml:space="preserve">Ответственный за заполнение формы</t>
  </si>
  <si>
    <t xml:space="preserve">Фамилия, имя, отчество</t>
  </si>
  <si>
    <t xml:space="preserve">Жезлова Наталия Валерьевна</t>
  </si>
  <si>
    <t xml:space="preserve">Должность</t>
  </si>
  <si>
    <t xml:space="preserve">Начальник планово-экономической группы</t>
  </si>
  <si>
    <t xml:space="preserve">Контактный телефон</t>
  </si>
  <si>
    <t xml:space="preserve">(4852)670-658</t>
  </si>
  <si>
    <t xml:space="preserve">E-mail</t>
  </si>
  <si>
    <t xml:space="preserve">u1577@gpte76.ru</t>
  </si>
  <si>
    <t xml:space="preserve">Flag_Col_Size</t>
  </si>
  <si>
    <t xml:space="preserve">МР</t>
  </si>
  <si>
    <t xml:space="preserve">МО</t>
  </si>
  <si>
    <t xml:space="preserve">ОКТМО</t>
  </si>
  <si>
    <t xml:space="preserve">Муниципальный район</t>
  </si>
  <si>
    <t xml:space="preserve">Муниципальное образование</t>
  </si>
  <si>
    <t xml:space="preserve">№ п/п</t>
  </si>
  <si>
    <t xml:space="preserve">Наименование</t>
  </si>
  <si>
    <t xml:space="preserve">3</t>
  </si>
  <si>
    <t xml:space="preserve">4</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</si>
  <si>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</si>
  <si>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</si>
  <si>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</si>
  <si>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</si>
  <si>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</si>
  <si>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</si>
  <si>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ter_1</t>
  </si>
  <si>
    <t xml:space="preserve">96</t>
  </si>
  <si>
    <t xml:space="preserve">город Ярославль</t>
  </si>
  <si>
    <t xml:space="preserve">78701000</t>
  </si>
  <si>
    <t xml:space="preserve">Добавить МО</t>
  </si>
  <si>
    <t xml:space="preserve">2</t>
  </si>
  <si>
    <t xml:space="preserve">×</t>
  </si>
  <si>
    <t xml:space="preserve">ter_5</t>
  </si>
  <si>
    <t xml:space="preserve">59</t>
  </si>
  <si>
    <t xml:space="preserve">Ростовский муниципальный район</t>
  </si>
  <si>
    <t xml:space="preserve">Семибратово сельское поселение</t>
  </si>
  <si>
    <t xml:space="preserve">78637447</t>
  </si>
  <si>
    <t xml:space="preserve">ter_51</t>
  </si>
  <si>
    <t xml:space="preserve">79</t>
  </si>
  <si>
    <t xml:space="preserve">Угличский муниципальный район</t>
  </si>
  <si>
    <t xml:space="preserve">Городское поселение г.Углич</t>
  </si>
  <si>
    <t xml:space="preserve">78646101</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</si>
  <si>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</si>
  <si>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</si>
  <si>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</si>
  <si>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</si>
  <si>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</si>
  <si>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 xml:space="preserve">да/нет</t>
  </si>
  <si>
    <t xml:space="preserve">1</t>
  </si>
  <si>
    <t xml:space="preserve">5</t>
  </si>
  <si>
    <t xml:space="preserve">8</t>
  </si>
  <si>
    <t xml:space="preserve">ID_DIFF</t>
  </si>
  <si>
    <t xml:space="preserve">VD</t>
  </si>
  <si>
    <t xml:space="preserve">AREA</t>
  </si>
  <si>
    <t xml:space="preserve">SYSTEM</t>
  </si>
  <si>
    <t xml:space="preserve">diff_1</t>
  </si>
  <si>
    <t xml:space="preserve">4190064</t>
  </si>
  <si>
    <t xml:space="preserve">a</t>
  </si>
  <si>
    <t xml:space="preserve">Добавить централизованную систему</t>
  </si>
  <si>
    <t xml:space="preserve">diff_5</t>
  </si>
  <si>
    <t xml:space="preserve">diff_51</t>
  </si>
  <si>
    <t xml:space="preserve">Добавить описание территории</t>
  </si>
  <si>
    <t xml:space="preserve">diff_511</t>
  </si>
  <si>
    <t xml:space="preserve">4190067</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</si>
  <si>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</si>
  <si>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</si>
  <si>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</si>
  <si>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</si>
  <si>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</si>
  <si>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</si>
  <si>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 xml:space="preserve">Примечание</t>
  </si>
  <si>
    <t xml:space="preserve">Установлен для организации</t>
  </si>
  <si>
    <t xml:space="preserve">Описание</t>
  </si>
  <si>
    <t xml:space="preserve">TER_ID</t>
  </si>
  <si>
    <t xml:space="preserve">VTAR_ID</t>
  </si>
  <si>
    <t xml:space="preserve">VD_ID</t>
  </si>
  <si>
    <t xml:space="preserve">ID_VTAR</t>
  </si>
  <si>
    <t xml:space="preserve">ID_NTAR</t>
  </si>
  <si>
    <t xml:space="preserve">ID_TER</t>
  </si>
  <si>
    <t xml:space="preserve">ID_CS</t>
  </si>
  <si>
    <t xml:space="preserve">ID_IST_TE</t>
  </si>
  <si>
    <t xml:space="preserve">ВидТарифа</t>
  </si>
  <si>
    <t xml:space="preserve">ВидДеятельности</t>
  </si>
  <si>
    <t xml:space="preserve">НаименованиеТарифа</t>
  </si>
  <si>
    <t xml:space="preserve">Территория</t>
  </si>
  <si>
    <t xml:space="preserve">ЦентрализованнаяСистема</t>
  </si>
  <si>
    <t xml:space="preserve">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</si>
  <si>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</si>
  <si>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</si>
  <si>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</si>
  <si>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</si>
  <si>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 xml:space="preserve">9</t>
  </si>
  <si>
    <t xml:space="preserve">10</t>
  </si>
  <si>
    <t xml:space="preserve">11</t>
  </si>
  <si>
    <t xml:space="preserve">12</t>
  </si>
  <si>
    <t xml:space="preserve">13</t>
  </si>
  <si>
    <t xml:space="preserve">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</si>
  <si>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</si>
  <si>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pIns_PT_VTAR_A</t>
  </si>
  <si>
    <t xml:space="preserve">pt_ntar_1</t>
  </si>
  <si>
    <t xml:space="preserve">pt_ter_1</t>
  </si>
  <si>
    <t xml:space="preserve">pt_cs_1</t>
  </si>
  <si>
    <t xml:space="preserve">pt_ist_te_1</t>
  </si>
  <si>
    <t xml:space="preserve">pIns_PT_VTAR_B</t>
  </si>
  <si>
    <t xml:space="preserve">pt_ntar_2</t>
  </si>
  <si>
    <t xml:space="preserve">pt_ter_2</t>
  </si>
  <si>
    <t xml:space="preserve">pt_cs_2</t>
  </si>
  <si>
    <t xml:space="preserve">pt_ist_te_2</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</si>
  <si>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</si>
  <si>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Тарифы на теплоноситель, поставляемый теплоснабжающими организациями потребителям, другим теплоснабжающим организациям</t>
  </si>
  <si>
    <t xml:space="preserve">pIns_PT_VTAR_C</t>
  </si>
  <si>
    <t xml:space="preserve">pt_ntar_3</t>
  </si>
  <si>
    <t xml:space="preserve">pt_ter_3</t>
  </si>
  <si>
    <t xml:space="preserve">pt_cs_3</t>
  </si>
  <si>
    <t xml:space="preserve">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</si>
  <si>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</si>
  <si>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pIns_PT_VTAR_D</t>
  </si>
  <si>
    <t xml:space="preserve">pt_ntar_4</t>
  </si>
  <si>
    <t xml:space="preserve">pt_ter_4</t>
  </si>
  <si>
    <t xml:space="preserve">pt_cs_4</t>
  </si>
  <si>
    <t xml:space="preserve">pt_ist_te_4</t>
  </si>
  <si>
    <t xml:space="preserve">Тарифы на услуги по передаче тепловой энергии</t>
  </si>
  <si>
    <t xml:space="preserve">pIns_PT_VTAR_E1</t>
  </si>
  <si>
    <t xml:space="preserve">pt_ntar_5</t>
  </si>
  <si>
    <t xml:space="preserve">pt_ter_5</t>
  </si>
  <si>
    <t xml:space="preserve">pt_cs_5</t>
  </si>
  <si>
    <t xml:space="preserve">pt_ist_te_5</t>
  </si>
  <si>
    <t xml:space="preserve">Тарифы на услуги по передаче теплоносителя</t>
  </si>
  <si>
    <t xml:space="preserve">pIns_PT_VTAR_E2</t>
  </si>
  <si>
    <t xml:space="preserve">pt_ntar_6</t>
  </si>
  <si>
    <t xml:space="preserve">pt_ter_6</t>
  </si>
  <si>
    <t xml:space="preserve">pt_cs_6</t>
  </si>
  <si>
    <t xml:space="preserve">pt_ist_te_6</t>
  </si>
  <si>
    <t xml:space="preserve">Плата за услуги по поддержанию резервной тепловой мощности при отсутствии потребления тепловой энергии</t>
  </si>
  <si>
    <t xml:space="preserve">pIns_PT_VTAR_F</t>
  </si>
  <si>
    <t xml:space="preserve">pt_ntar_7</t>
  </si>
  <si>
    <t xml:space="preserve">pt_ter_7</t>
  </si>
  <si>
    <t xml:space="preserve">pt_cs_7</t>
  </si>
  <si>
    <t xml:space="preserve">pt_ist_te_7</t>
  </si>
  <si>
    <t xml:space="preserve">Плата за подключение (технологическое присоединение) к системе теплоснабжения</t>
  </si>
  <si>
    <t xml:space="preserve">pIns_PT_VTAR_G</t>
  </si>
  <si>
    <t xml:space="preserve">pt_ntar_8</t>
  </si>
  <si>
    <t xml:space="preserve">pt_ter_8</t>
  </si>
  <si>
    <t xml:space="preserve">pt_cs_8</t>
  </si>
  <si>
    <t xml:space="preserve">pt_ist_te_8</t>
  </si>
  <si>
    <t xml:space="preserve">Плата за подключение (технологическое присоединение) к системе теплоснабжения (индивидуальная)</t>
  </si>
  <si>
    <t xml:space="preserve">pIns_PT_VTAR_H</t>
  </si>
  <si>
    <t xml:space="preserve">pt_ntar_20</t>
  </si>
  <si>
    <t xml:space="preserve">pt_ter_20</t>
  </si>
  <si>
    <t xml:space="preserve">pt_cs_20</t>
  </si>
  <si>
    <t xml:space="preserve">pt_ist_te_20</t>
  </si>
  <si>
    <t xml:space="preserve">Предельный уровень цены на тепловую энергию (мощность), поставляемую теплоснабжающими организациями потребителям</t>
  </si>
  <si>
    <t xml:space="preserve">pIns_PT_VTAR_I</t>
  </si>
  <si>
    <t xml:space="preserve">pt_ntar_21</t>
  </si>
  <si>
    <t xml:space="preserve">pt_ter_21</t>
  </si>
  <si>
    <t xml:space="preserve">pt_cs_21</t>
  </si>
  <si>
    <t xml:space="preserve">pt_ist_te_21</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</si>
  <si>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</si>
  <si>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</si>
  <si>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</si>
  <si>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</si>
  <si>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</si>
  <si>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</si>
  <si>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</si>
  <si>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</si>
  <si>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</si>
  <si>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 xml:space="preserve">pIns_PT_VTAR_A_COLDVSNA</t>
  </si>
  <si>
    <t xml:space="preserve">pt_ntar_9</t>
  </si>
  <si>
    <t xml:space="preserve">pt_ter_9</t>
  </si>
  <si>
    <t xml:space="preserve">pt_cs_9</t>
  </si>
  <si>
    <t xml:space="preserve">Тариф на техническую воду</t>
  </si>
  <si>
    <t xml:space="preserve">pIns_PT_VTAR_B_COLDVSNA</t>
  </si>
  <si>
    <t xml:space="preserve">pt_ntar_10</t>
  </si>
  <si>
    <t xml:space="preserve">pt_ter_10</t>
  </si>
  <si>
    <t xml:space="preserve">pt_cs_10</t>
  </si>
  <si>
    <t xml:space="preserve">Тариф на транспортировку воды</t>
  </si>
  <si>
    <t xml:space="preserve">pIns_PT_VTAR_C_COLDVSNA</t>
  </si>
  <si>
    <t xml:space="preserve">pt_ntar_11</t>
  </si>
  <si>
    <t xml:space="preserve">pt_ter_11</t>
  </si>
  <si>
    <t xml:space="preserve">pt_cs_11</t>
  </si>
  <si>
    <t xml:space="preserve">Тариф на подвоз воды</t>
  </si>
  <si>
    <t xml:space="preserve">pIns_PT_VTAR_D_COLDVSNA</t>
  </si>
  <si>
    <t xml:space="preserve">pt_ntar_12</t>
  </si>
  <si>
    <t xml:space="preserve">pt_ter_12</t>
  </si>
  <si>
    <t xml:space="preserve">pt_cs_12</t>
  </si>
  <si>
    <t xml:space="preserve">Тариф на подключение (технологическое присоединение) к централизованной системе холодного водоснабжения</t>
  </si>
  <si>
    <t xml:space="preserve">pIns_PT_VTAR_E_COLDVSNA</t>
  </si>
  <si>
    <t xml:space="preserve">pt_ntar_13</t>
  </si>
  <si>
    <t xml:space="preserve">pt_ter_13</t>
  </si>
  <si>
    <t xml:space="preserve">pt_cs_13</t>
  </si>
  <si>
    <t xml:space="preserve">Тариф на горячую воду (горячее водоснабжение)</t>
  </si>
  <si>
    <t xml:space="preserve">pIns_PT_VTAR_A_HOTVSNA</t>
  </si>
  <si>
    <t xml:space="preserve">pt_ntar_14</t>
  </si>
  <si>
    <t xml:space="preserve">pt_ter_14</t>
  </si>
  <si>
    <t xml:space="preserve">pt_cs_14</t>
  </si>
  <si>
    <t xml:space="preserve">Тариф на транспортировку горячей воды</t>
  </si>
  <si>
    <t xml:space="preserve">pIns_PT_VTAR_B_HOTVSNA</t>
  </si>
  <si>
    <t xml:space="preserve">pt_ntar_15</t>
  </si>
  <si>
    <t xml:space="preserve">pt_ter_15</t>
  </si>
  <si>
    <t xml:space="preserve">pt_cs_15</t>
  </si>
  <si>
    <t xml:space="preserve">Тариф на подключение (технологическое присоединение) к централизованной системе горячего водоснабжения</t>
  </si>
  <si>
    <t xml:space="preserve">pIns_PT_VTAR_C_HOTVSNA</t>
  </si>
  <si>
    <t xml:space="preserve">pt_ntar_16</t>
  </si>
  <si>
    <t xml:space="preserve">pt_ter_16</t>
  </si>
  <si>
    <t xml:space="preserve">pt_cs_16</t>
  </si>
  <si>
    <t xml:space="preserve">Тариф на водоотведение</t>
  </si>
  <si>
    <t xml:space="preserve">pIns_PT_VTAR_A_VOTV</t>
  </si>
  <si>
    <t xml:space="preserve">pt_ntar_17</t>
  </si>
  <si>
    <t xml:space="preserve">pt_ter_17</t>
  </si>
  <si>
    <t xml:space="preserve">pt_cs_17</t>
  </si>
  <si>
    <t xml:space="preserve">Тариф на транспортировку сточных вод</t>
  </si>
  <si>
    <t xml:space="preserve">pIns_PT_VTAR_B_VOTV</t>
  </si>
  <si>
    <t xml:space="preserve">pt_ntar_18</t>
  </si>
  <si>
    <t xml:space="preserve">pt_ter_18</t>
  </si>
  <si>
    <t xml:space="preserve">pt_cs_18</t>
  </si>
  <si>
    <t xml:space="preserve">Тариф на подключение (технологическое присоединение) к централизованной системе водоотведения</t>
  </si>
  <si>
    <t xml:space="preserve">pIns_PT_VTAR_C_VOTV</t>
  </si>
  <si>
    <t xml:space="preserve">pt_ntar_19</t>
  </si>
  <si>
    <t xml:space="preserve">pt_ter_19</t>
  </si>
  <si>
    <t xml:space="preserve">pt_cs_19</t>
  </si>
  <si>
    <t xml:space="preserve">fdif</t>
  </si>
  <si>
    <t xml:space="preserve">fdif_e</t>
  </si>
  <si>
    <t xml:space="preserve">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</si>
  <si>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</si>
  <si>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</si>
  <si>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</si>
  <si>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</si>
  <si>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</si>
  <si>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 xml:space="preserve">Комментарий</t>
  </si>
  <si>
    <t xml:space="preserve">Дифференциация, да/нет</t>
  </si>
  <si>
    <t xml:space="preserve">Значение</t>
  </si>
  <si>
    <t xml:space="preserve">Тарифы</t>
  </si>
  <si>
    <t xml:space="preserve">Прочие показатели</t>
  </si>
  <si>
    <t xml:space="preserve">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</si>
  <si>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</si>
  <si>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</si>
  <si>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</si>
  <si>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</si>
  <si>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</si>
  <si>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</si>
  <si>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</si>
  <si>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</si>
  <si>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</si>
  <si>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</si>
  <si>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 xml:space="preserve">Информация</t>
  </si>
  <si>
    <t xml:space="preserve">Субъект Российской Федерации</t>
  </si>
  <si>
    <t xml:space="preserve">Указывается наименование субъекта Российской Федерации</t>
  </si>
  <si>
    <t xml:space="preserve">x</t>
  </si>
  <si>
    <t xml:space="preserve">2.2</t>
  </si>
  <si>
    <t xml:space="preserve">идентификационный номер налогоплательщика (ИНН)</t>
  </si>
  <si>
    <t xml:space="preserve">Указывается идентификационный номер налогоплательщика.</t>
  </si>
  <si>
    <t xml:space="preserve">2.3</t>
  </si>
  <si>
    <t xml:space="preserve">код причины постановки на учет (КПП)</t>
  </si>
  <si>
    <t xml:space="preserve">Указывается код причины постановки на учет (при наличии).</t>
  </si>
  <si>
    <t xml:space="preserve">5.1</t>
  </si>
  <si>
    <t xml:space="preserve">Сведения о присвоении статуса единой теплоснабжающей организации:</t>
  </si>
  <si>
    <t xml:space="preserve">Информация в строках 5.x.1 - 5.x.4 указывается только едиными теплоснабжающими организациями.</t>
  </si>
  <si>
    <t xml:space="preserve">наименование органа, принявшего решение о присвоении статуса единой теплоснабжающей организации</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</si>
  <si>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</si>
  <si>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</si>
  <si>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номер решения</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</si>
  <si>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</si>
  <si>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</si>
  <si>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Добавить сведения</t>
  </si>
  <si>
    <t xml:space="preserve">Данные должностного лица, ответственного за размещение данных</t>
  </si>
  <si>
    <t xml:space="preserve">3.1</t>
  </si>
  <si>
    <t xml:space="preserve">фамилия, имя и отчество должностного лица</t>
  </si>
  <si>
    <t xml:space="preserve">3.1.1</t>
  </si>
  <si>
    <t xml:space="preserve">фамилия должностного лица</t>
  </si>
  <si>
    <t xml:space="preserve">3.1.2</t>
  </si>
  <si>
    <t xml:space="preserve">имя должностного лица</t>
  </si>
  <si>
    <t xml:space="preserve">3.1.3</t>
  </si>
  <si>
    <t xml:space="preserve">отчество должностного лица</t>
  </si>
  <si>
    <t xml:space="preserve">3.2</t>
  </si>
  <si>
    <t xml:space="preserve">должность</t>
  </si>
  <si>
    <t xml:space="preserve">3.3</t>
  </si>
  <si>
    <t xml:space="preserve">контактный телефон</t>
  </si>
  <si>
    <t xml:space="preserve">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</si>
  <si>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</si>
  <si>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</si>
  <si>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</si>
  <si>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</si>
  <si>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</si>
  <si>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</si>
  <si>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</si>
  <si>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</si>
  <si>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</si>
  <si>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</si>
  <si>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</si>
  <si>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</si>
  <si>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</si>
  <si>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</si>
  <si>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</si>
  <si>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 xml:space="preserve">BLOCK_MAIN_INFO_OBJECT_HEAT</t>
  </si>
  <si>
    <t xml:space="preserve">BLOCK_MAIN_INFO_OBJECT_VOTV</t>
  </si>
  <si>
    <t xml:space="preserve">BLOCK_MAIN_INFO_OBJECT_COLDVSNA</t>
  </si>
  <si>
    <t xml:space="preserve">BLOCK_MAIN_INFO_OBJECT_HOTVSNA</t>
  </si>
  <si>
    <t xml:space="preserve">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</si>
  <si>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</si>
  <si>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</si>
  <si>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 xml:space="preserve">Теплоэлектростанции</t>
  </si>
  <si>
    <t xml:space="preserve">Тепловые станции</t>
  </si>
  <si>
    <t xml:space="preserve">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</si>
  <si>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</si>
  <si>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</si>
  <si>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</si>
  <si>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</si>
  <si>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</si>
  <si>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</si>
  <si>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</si>
  <si>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</si>
  <si>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</si>
  <si>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</si>
  <si>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</si>
  <si>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</si>
  <si>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</si>
  <si>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</si>
  <si>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 xml:space="preserve">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</si>
  <si>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</si>
  <si>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</si>
  <si>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</si>
  <si>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</si>
  <si>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xml:space="preserve">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</si>
  <si>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</si>
  <si>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</si>
  <si>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</si>
  <si>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</si>
  <si>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</si>
  <si>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</si>
  <si>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</si>
  <si>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</si>
  <si>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</si>
  <si>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</si>
  <si>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</si>
  <si>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</si>
  <si>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 xml:space="preserve">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</si>
  <si>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</si>
  <si>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</si>
  <si>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</si>
  <si>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</si>
  <si>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</si>
  <si>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</si>
  <si>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</si>
  <si>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</si>
  <si>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</si>
  <si>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</si>
  <si>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</si>
  <si>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</si>
  <si>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</si>
  <si>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</si>
  <si>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</si>
  <si>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</si>
  <si>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</si>
  <si>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</si>
  <si>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</si>
  <si>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для дифференциации</t>
  </si>
  <si>
    <t xml:space="preserve">Добавить централизованную систему для дифференциации</t>
  </si>
  <si>
    <t xml:space="preserve">Добавить территорию для дифференциации</t>
  </si>
  <si>
    <t xml:space="preserve">PERIOD_FROM_FIRST_ROW</t>
  </si>
  <si>
    <t xml:space="preserve">FLAG_BLOCK_COLUMN</t>
  </si>
  <si>
    <t xml:space="preserve">SPR</t>
  </si>
  <si>
    <t xml:space="preserve">FLAG_START_DATE</t>
  </si>
  <si>
    <t xml:space="preserve">FLAG_ETC_PERIOD</t>
  </si>
  <si>
    <t xml:space="preserve">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</si>
  <si>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</si>
  <si>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</si>
  <si>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</si>
  <si>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</si>
  <si>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 xml:space="preserve">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</si>
  <si>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</si>
  <si>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</si>
  <si>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</si>
  <si>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</si>
  <si>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</si>
  <si>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</si>
  <si>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</si>
  <si>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</si>
  <si>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</si>
  <si>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 xml:space="preserve">NUM_NTAR</t>
  </si>
  <si>
    <t xml:space="preserve">NUM_TER</t>
  </si>
  <si>
    <t xml:space="preserve">NUM_CS</t>
  </si>
  <si>
    <t xml:space="preserve">NUM_IST_TE</t>
  </si>
  <si>
    <t xml:space="preserve">NUM_SCHEME</t>
  </si>
  <si>
    <t xml:space="preserve">NUM_GC</t>
  </si>
  <si>
    <t xml:space="preserve">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</si>
  <si>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</si>
  <si>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</si>
  <si>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</si>
  <si>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</si>
  <si>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Добавить наименование тарифа</t>
  </si>
  <si>
    <t xml:space="preserve">Период действия</t>
  </si>
  <si>
    <t xml:space="preserve">Одноставочный тариф,
руб./куб.м</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</si>
  <si>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</si>
  <si>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</si>
  <si>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</si>
  <si>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</si>
  <si>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</si>
  <si>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</si>
  <si>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</si>
  <si>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</si>
  <si>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</si>
  <si>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</si>
  <si>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 xml:space="preserve">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</si>
  <si>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</si>
  <si>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</si>
  <si>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</si>
  <si>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</si>
  <si>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</si>
  <si>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</si>
  <si>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</si>
  <si>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 xml:space="preserve">FLAG</t>
  </si>
  <si>
    <t xml:space="preserve">LOAD</t>
  </si>
  <si>
    <t xml:space="preserve">NETS</t>
  </si>
  <si>
    <t xml:space="preserve">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</si>
  <si>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</si>
  <si>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</si>
  <si>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</si>
  <si>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</si>
  <si>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</si>
  <si>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</si>
  <si>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</si>
  <si>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</si>
  <si>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</si>
  <si>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</si>
  <si>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</si>
  <si>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</si>
  <si>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</si>
  <si>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</si>
  <si>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</si>
  <si>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</si>
  <si>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</si>
  <si>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 xml:space="preserve">NUM_FLAG_DIFF</t>
  </si>
  <si>
    <t xml:space="preserve">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</si>
  <si>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</si>
  <si>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</si>
  <si>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</si>
  <si>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 xml:space="preserve">pt_ist_te_9</t>
  </si>
  <si>
    <t xml:space="preserve">pt_ist_te_10</t>
  </si>
  <si>
    <t xml:space="preserve">pt_ist_te_11</t>
  </si>
  <si>
    <t xml:space="preserve">pt_ist_te_12</t>
  </si>
  <si>
    <t xml:space="preserve">Заявитель</t>
  </si>
  <si>
    <t xml:space="preserve">Наименование объекта, адрес</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</si>
  <si>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</si>
  <si>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</si>
  <si>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</si>
  <si>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</si>
  <si>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</si>
  <si>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 xml:space="preserve">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</si>
  <si>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</si>
  <si>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</si>
  <si>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</si>
  <si>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</si>
  <si>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</si>
  <si>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</si>
  <si>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</si>
  <si>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</si>
  <si>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 xml:space="preserve">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</si>
  <si>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</si>
  <si>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</si>
  <si>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</si>
  <si>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</si>
  <si>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 xml:space="preserve">pt_ist_te_17</t>
  </si>
  <si>
    <t xml:space="preserve">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</si>
  <si>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</si>
  <si>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</si>
  <si>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</si>
  <si>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</si>
  <si>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</si>
  <si>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</si>
  <si>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</si>
  <si>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 xml:space="preserve">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</si>
  <si>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</si>
  <si>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</si>
  <si>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Одноставочный тариф, руб./куб. м</t>
  </si>
  <si>
    <t xml:space="preserve">Компонент на холодную воду</t>
  </si>
  <si>
    <t xml:space="preserve">Компонент на тепловую энергию</t>
  </si>
  <si>
    <t xml:space="preserve">Одноставочный, руб./куб.м</t>
  </si>
  <si>
    <t xml:space="preserve">Двухставочный тариф</t>
  </si>
  <si>
    <t xml:space="preserve">Одноставочный, руб./Гкал</t>
  </si>
  <si>
    <t xml:space="preserve">Ставка за содержание системы, руб./куб. м в час</t>
  </si>
  <si>
    <t xml:space="preserve">Ставка за объём поданной воды, руб./куб.м</t>
  </si>
  <si>
    <t xml:space="preserve">Ставка за тепловую энергию, руб./Гкал</t>
  </si>
  <si>
    <t xml:space="preserve">Ставка за содержание тепловой мощности, руб./Гкал в час в месяц</t>
  </si>
  <si>
    <t xml:space="preserve">pt_ist_te_14</t>
  </si>
  <si>
    <t xml:space="preserve">pt_ist_te_15</t>
  </si>
  <si>
    <t xml:space="preserve">pt_ist_te_16</t>
  </si>
  <si>
    <t xml:space="preserve">vt</t>
  </si>
  <si>
    <t xml:space="preserve">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</si>
  <si>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</si>
  <si>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</si>
  <si>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 xml:space="preserve">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</si>
  <si>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</si>
  <si>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</si>
  <si>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</si>
  <si>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</si>
  <si>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</si>
  <si>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</si>
  <si>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 xml:space="preserve">Гкал/ч</t>
  </si>
  <si>
    <t xml:space="preserve">Указывается установленная тепловая мощность для источника тепловой энергии.</t>
  </si>
  <si>
    <t xml:space="preserve">%</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</si>
  <si>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</si>
  <si>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</si>
  <si>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</si>
  <si>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</si>
  <si>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</si>
  <si>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</si>
  <si>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</si>
  <si>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</si>
  <si>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 xml:space="preserve">p</t>
  </si>
  <si>
    <t xml:space="preserve">HEAT_P1</t>
  </si>
  <si>
    <t xml:space="preserve">газ природный по регулируемой цене</t>
  </si>
  <si>
    <t xml:space="preserve">тыс м3</t>
  </si>
  <si>
    <t xml:space="preserve">Прямые договора без торгов</t>
  </si>
  <si>
    <t xml:space="preserve">Добавить вид топлива</t>
  </si>
  <si>
    <t xml:space="preserve">HOTVSNA_P1</t>
  </si>
  <si>
    <t xml:space="preserve">руб.</t>
  </si>
  <si>
    <t xml:space="preserve">тыс. кВт·ч</t>
  </si>
  <si>
    <t xml:space="preserve">HEAT_P6</t>
  </si>
  <si>
    <t xml:space="preserve">NOT_HOTVSNA</t>
  </si>
  <si>
    <t xml:space="preserve">отсутствует</t>
  </si>
  <si>
    <t xml:space="preserve">NOT_HEAT_P1</t>
  </si>
  <si>
    <t xml:space="preserve">услуги вспомогательных производств</t>
  </si>
  <si>
    <t xml:space="preserve">расходы на оплату услуг, оказываемых организациями, осуществляющими регулируемые виды деятельности</t>
  </si>
  <si>
    <t xml:space="preserve">услуги банка</t>
  </si>
  <si>
    <t xml:space="preserve">налог на имущество</t>
  </si>
  <si>
    <t xml:space="preserve">налог на землю</t>
  </si>
  <si>
    <t xml:space="preserve">Резерв по сомнит,долгам</t>
  </si>
  <si>
    <t xml:space="preserve">прочие расходы из прибыли</t>
  </si>
  <si>
    <t xml:space="preserve">налог на прибыль</t>
  </si>
  <si>
    <t xml:space="preserve">РТХ</t>
  </si>
  <si>
    <t xml:space="preserve">плата за выбросы</t>
  </si>
  <si>
    <t xml:space="preserve">Страхование ОПО</t>
  </si>
  <si>
    <t xml:space="preserve">Добавить прочие расходы</t>
  </si>
  <si>
    <t xml:space="preserve">HEAT_P2</t>
  </si>
  <si>
    <t xml:space="preserve">NOT_HEAT_P2</t>
  </si>
  <si>
    <t xml:space="preserve">https://portal.eias.ru/Portal/DownloadPage.aspx?type=12&amp;guid=87bf061f-2a35-4d8d-a47b-ce5ab2a24924</t>
  </si>
  <si>
    <t xml:space="preserve">COLDVSNA_P1</t>
  </si>
  <si>
    <t xml:space="preserve">тыс. куб. м</t>
  </si>
  <si>
    <t xml:space="preserve">HOTVSNA_P2</t>
  </si>
  <si>
    <t xml:space="preserve">тыс. Гкал</t>
  </si>
  <si>
    <t xml:space="preserve">VOTV_P1</t>
  </si>
  <si>
    <t xml:space="preserve">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</si>
  <si>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</si>
  <si>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</si>
  <si>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 xml:space="preserve">hyp</t>
  </si>
  <si>
    <t xml:space="preserve">тыс. Гкал/год</t>
  </si>
  <si>
    <t xml:space="preserve">человек</t>
  </si>
  <si>
    <t xml:space="preserve">HEAT_P4</t>
  </si>
  <si>
    <t xml:space="preserve">VSNA</t>
  </si>
  <si>
    <t xml:space="preserve">тыс. кВт·ч на тыс. куб. м</t>
  </si>
  <si>
    <t xml:space="preserve">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</si>
  <si>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</si>
  <si>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</si>
  <si>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 xml:space="preserve">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</si>
  <si>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</si>
  <si>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</si>
  <si>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</si>
  <si>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 xml:space="preserve">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</si>
  <si>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</si>
  <si>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</si>
  <si>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</si>
  <si>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</si>
  <si>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</si>
  <si>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</si>
  <si>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</si>
  <si>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 xml:space="preserve">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</si>
  <si>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</si>
  <si>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</si>
  <si>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xml:space="preserve">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</si>
  <si>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</si>
  <si>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</si>
  <si>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Добавить поставщика</t>
  </si>
  <si>
    <t xml:space="preserve">111</t>
  </si>
  <si>
    <t xml:space="preserve">1111</t>
  </si>
  <si>
    <t xml:space="preserve">L.HEAT.POWER.DYN</t>
  </si>
  <si>
    <t xml:space="preserve">Установленная тепловая мощность объекта основных фондов</t>
  </si>
  <si>
    <t xml:space="preserve">ЧСЛ</t>
  </si>
  <si>
    <t xml:space="preserve">НОМЕР</t>
  </si>
  <si>
    <t xml:space="preserve">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</si>
  <si>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 xml:space="preserve">ВЭД</t>
  </si>
  <si>
    <t xml:space="preserve">РАЙОН</t>
  </si>
  <si>
    <t xml:space="preserve">НМОБ</t>
  </si>
  <si>
    <t xml:space="preserve">НОМЕР2</t>
  </si>
  <si>
    <t xml:space="preserve">ДЕТ</t>
  </si>
  <si>
    <t xml:space="preserve">L.ACC.STATEMENTS</t>
  </si>
  <si>
    <t xml:space="preserve">Годовая бухгалтерская (финансовая) отчетность</t>
  </si>
  <si>
    <t xml:space="preserve">СТР</t>
  </si>
  <si>
    <t xml:space="preserve">Не определено</t>
  </si>
  <si>
    <t xml:space="preserve">Годовая бухгалтерская (финансовая) отчетность, включая бухгалтерский баланс и приложения к нему</t>
  </si>
  <si>
    <t xml:space="preserve">p3</t>
  </si>
  <si>
    <t xml:space="preserve">Указывается ссылка на документ, предварительно загруженный в хранилище файлов ФГИС ЕИАС.</t>
  </si>
  <si>
    <t xml:space="preserve">L.HEAT.POWER</t>
  </si>
  <si>
    <t xml:space="preserve">Установленная тепловая мощность объектов основных фондов</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</si>
  <si>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</si>
  <si>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t>
  </si>
  <si>
    <t xml:space="preserve">2.0</t>
  </si>
  <si>
    <t xml:space="preserve">L.HEAT.LOAD</t>
  </si>
  <si>
    <t xml:space="preserve">Тепловая нагрузка по договорам теплоснабжения</t>
  </si>
  <si>
    <t xml:space="preserve">Информация раскрывается только единой теплоснабжающей организацией в ценовых зонах теплоснабжения.</t>
  </si>
  <si>
    <t xml:space="preserve">L.VOLUME.ENERGY.PRODUCED</t>
  </si>
  <si>
    <t xml:space="preserve">Объем вырабатываемой тепловой энергии</t>
  </si>
  <si>
    <t xml:space="preserve">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</si>
  <si>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 xml:space="preserve">L.VOLUME.ENERGY.PURCHASED</t>
  </si>
  <si>
    <t xml:space="preserve">Объем приобретаемой тепловой энергии</t>
  </si>
  <si>
    <t xml:space="preserve">Объем приобретаемой единой теплоснабжающей организацией в ценовых зонах теплоснабжения тепловой энергии</t>
  </si>
  <si>
    <t xml:space="preserve">L.VOLUME.ENERGY.RELEASED</t>
  </si>
  <si>
    <t xml:space="preserve">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</si>
  <si>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</si>
  <si>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 xml:space="preserve">Указывается общий объем тепловой энергии, отпускаемой потребителям.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</si>
  <si>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L.RELEASED.BY.PU</t>
  </si>
  <si>
    <t xml:space="preserve">Объем тепловой энергии по приборам учета </t>
  </si>
  <si>
    <t xml:space="preserve">6.1</t>
  </si>
  <si>
    <t xml:space="preserve">по приборам учета </t>
  </si>
  <si>
    <t xml:space="preserve">L.RELEASED.BY.CALC</t>
  </si>
  <si>
    <t xml:space="preserve">Объем тепловой энергии расчетным путем </t>
  </si>
  <si>
    <t xml:space="preserve">6.2</t>
  </si>
  <si>
    <t xml:space="preserve">расчетным путем </t>
  </si>
  <si>
    <t xml:space="preserve">L.RELEASED.BY.NORMATIVE</t>
  </si>
  <si>
    <t xml:space="preserve">Объем тепловой энергии по нормативам потребления</t>
  </si>
  <si>
    <t xml:space="preserve">6.3</t>
  </si>
  <si>
    <t xml:space="preserve">по нормативам потребления коммунальных услуг и нормативам потребления коммунальных ресурсов</t>
  </si>
  <si>
    <t xml:space="preserve">L.VOLUME.LOSSES.PLAN</t>
  </si>
  <si>
    <t xml:space="preserve">Плановый объем потерь при передаче тепловой энергии</t>
  </si>
  <si>
    <t xml:space="preserve">тыс. Гкал/год </t>
  </si>
  <si>
    <t xml:space="preserve">L.VOLUME.LOSSES.FACT</t>
  </si>
  <si>
    <t xml:space="preserve">Фактический объем потерь при передаче тепловой энергии</t>
  </si>
  <si>
    <t xml:space="preserve">L.UNIT.COST.PLAN</t>
  </si>
  <si>
    <t xml:space="preserve">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</si>
  <si>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</si>
  <si>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 xml:space="preserve">L.UNIT.COST.FACT</t>
  </si>
  <si>
    <t xml:space="preserve">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</si>
  <si>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</si>
  <si>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 xml:space="preserve">L.PRODUCTION.STAFF</t>
  </si>
  <si>
    <t xml:space="preserve">Среднесписочная численность основного производственного персонала</t>
  </si>
  <si>
    <t xml:space="preserve">L.ADMINISTRATIVE STAFF</t>
  </si>
  <si>
    <t xml:space="preserve">Среднесписочная численность административно-управленческого персонала</t>
  </si>
  <si>
    <t xml:space="preserve">L.UNIT.COST.EE</t>
  </si>
  <si>
    <t xml:space="preserve">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</si>
  <si>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</si>
  <si>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L.UNIT.COST.COLD.WATER</t>
  </si>
  <si>
    <t xml:space="preserve">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</si>
  <si>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</si>
  <si>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куб. м/Гкал</t>
  </si>
  <si>
    <t xml:space="preserve">L.CONDITION.INFO</t>
  </si>
  <si>
    <t xml:space="preserve">Информация о показателях технико-экономического состояния систем теплоснабжения</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</si>
  <si>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</si>
  <si>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 xml:space="preserve">L.STANDARDS.OTHER</t>
  </si>
  <si>
    <t xml:space="preserve">Прочие стандарты</t>
  </si>
  <si>
    <t xml:space="preserve">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</si>
  <si>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</si>
  <si>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 xml:space="preserve">Стандарты качества обслуживания</t>
  </si>
  <si>
    <t xml:space="preserve">Стандарты качества обслуживания единой теплоснабжающей организацией в ценовых зонах теплоснабжения потребителей тепловой энергии</t>
  </si>
  <si>
    <t xml:space="preserve">Информация включает сведения о месте их опубликования.</t>
  </si>
  <si>
    <t xml:space="preserve">L.STANDARDS.INTERACTION</t>
  </si>
  <si>
    <t xml:space="preserve">Стандарты взаимодействия</t>
  </si>
  <si>
    <t xml:space="preserve">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</si>
  <si>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 xml:space="preserve">L.STANDARDS.AGREEMENT</t>
  </si>
  <si>
    <t xml:space="preserve">Информация о выполнении соглашения</t>
  </si>
  <si>
    <t xml:space="preserve">Информация о выполнении соглашения об исполнении схемы теплоснабжения</t>
  </si>
  <si>
    <t xml:space="preserve">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</si>
  <si>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 xml:space="preserve">Добавить стандарты</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</si>
  <si>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</si>
  <si>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</si>
  <si>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</si>
  <si>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</si>
  <si>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</si>
  <si>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</si>
  <si>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 xml:space="preserve">2.1</t>
  </si>
  <si>
    <t xml:space="preserve">производственные расходы, в том числе:</t>
  </si>
  <si>
    <t xml:space="preserve">Указывается общая сумма производственных расходов.</t>
  </si>
  <si>
    <t xml:space="preserve">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</si>
  <si>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</si>
  <si>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</si>
  <si>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 xml:space="preserve">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</si>
  <si>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</si>
  <si>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</si>
  <si>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</si>
  <si>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 xml:space="preserve">2.2.1</t>
  </si>
  <si>
    <t xml:space="preserve">расходы на текущий ремонт</t>
  </si>
  <si>
    <t xml:space="preserve">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</si>
  <si>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</si>
  <si>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</si>
  <si>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</si>
  <si>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 xml:space="preserve">2.3.1</t>
  </si>
  <si>
    <t xml:space="preserve">расходы на оплату труда</t>
  </si>
  <si>
    <t xml:space="preserve">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</si>
  <si>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</si>
  <si>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 xml:space="preserve">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</si>
  <si>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</si>
  <si>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</si>
  <si>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 xml:space="preserve">2.4.1</t>
  </si>
  <si>
    <t xml:space="preserve">расходы на амортизацию основных средств</t>
  </si>
  <si>
    <t xml:space="preserve">2.4.2</t>
  </si>
  <si>
    <t xml:space="preserve">расходы на амортизацию нематериальных активов</t>
  </si>
  <si>
    <t xml:space="preserve">2.5</t>
  </si>
  <si>
    <t xml:space="preserve">расходы на арендную плату</t>
  </si>
  <si>
    <t xml:space="preserve">2.6</t>
  </si>
  <si>
    <t xml:space="preserve">расходы на лизинговые платежи</t>
  </si>
  <si>
    <t xml:space="preserve">2.7</t>
  </si>
  <si>
    <t xml:space="preserve"> расходы на концессионную плату</t>
  </si>
  <si>
    <t xml:space="preserve">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</si>
  <si>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</si>
  <si>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</si>
  <si>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</si>
  <si>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 xml:space="preserve">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</si>
  <si>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</si>
  <si>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</si>
  <si>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</si>
  <si>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</si>
  <si>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</si>
  <si>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</si>
  <si>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</si>
  <si>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 xml:space="preserve">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</si>
  <si>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</si>
  <si>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</si>
  <si>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 xml:space="preserve">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</si>
  <si>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</si>
  <si>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</si>
  <si>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 xml:space="preserve">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</si>
  <si>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</si>
  <si>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</si>
  <si>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 xml:space="preserve">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</si>
  <si>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</si>
  <si>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</si>
  <si>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</si>
  <si>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</si>
  <si>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</si>
  <si>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</si>
  <si>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</si>
  <si>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</si>
  <si>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</si>
  <si>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</si>
  <si>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</si>
  <si>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</si>
  <si>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</si>
  <si>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</si>
  <si>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</si>
  <si>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</si>
  <si>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</si>
  <si>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</si>
  <si>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</si>
  <si>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</si>
  <si>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</si>
  <si>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</si>
  <si>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</si>
  <si>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</si>
  <si>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</si>
  <si>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</si>
  <si>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</si>
  <si>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</si>
  <si>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</si>
  <si>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</si>
  <si>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</si>
  <si>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</si>
  <si>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 xml:space="preserve">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</si>
  <si>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</si>
  <si>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</si>
  <si>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 xml:space="preserve">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</si>
  <si>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</si>
  <si>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</si>
  <si>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</si>
  <si>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</si>
  <si>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 xml:space="preserve">&lt;1&gt;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</si>
  <si>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</si>
  <si>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</si>
  <si>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</si>
  <si>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 xml:space="preserve">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</si>
  <si>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</si>
  <si>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</si>
  <si>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</si>
  <si>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</si>
  <si>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</si>
  <si>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</si>
  <si>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</si>
  <si>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</si>
  <si>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</si>
  <si>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 xml:space="preserve">шт.</t>
  </si>
  <si>
    <t xml:space="preserve">средняя продолжительность устранения превышения разрешенных отклонений значений параметров</t>
  </si>
  <si>
    <t xml:space="preserve">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</si>
  <si>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</si>
  <si>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</si>
  <si>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Не утверждены</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</si>
  <si>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</si>
  <si>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</si>
  <si>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</si>
  <si>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</si>
  <si>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</si>
  <si>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</si>
  <si>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</si>
  <si>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 xml:space="preserve">4.2.1</t>
  </si>
  <si>
    <t xml:space="preserve">удельный расход топлива на производство единицы тепловой энергии, отпускаемой с коллекторов источников тепловой энергии</t>
  </si>
  <si>
    <t xml:space="preserve">т.у.т./Гкал</t>
  </si>
  <si>
    <t xml:space="preserve">4.2.2</t>
  </si>
  <si>
    <t xml:space="preserve">отношение величины технологических потерь к материальной характеристике тепловой сети</t>
  </si>
  <si>
    <t xml:space="preserve">4.2.1.1</t>
  </si>
  <si>
    <t xml:space="preserve">при передаче тепловой энергии</t>
  </si>
  <si>
    <t xml:space="preserve">Гкал/кв.м</t>
  </si>
  <si>
    <t xml:space="preserve">4.2.1.2</t>
  </si>
  <si>
    <t xml:space="preserve">при передаче теплоносителя</t>
  </si>
  <si>
    <t xml:space="preserve">тонн/кв.м</t>
  </si>
  <si>
    <t xml:space="preserve">4.2.3</t>
  </si>
  <si>
    <t xml:space="preserve">величина технологических потерь</t>
  </si>
  <si>
    <t xml:space="preserve">4.2.3.1</t>
  </si>
  <si>
    <t xml:space="preserve">Гкал/год</t>
  </si>
  <si>
    <t xml:space="preserve">4.2.3.2</t>
  </si>
  <si>
    <t xml:space="preserve">при передаче теплоносителя по тепловым сетям</t>
  </si>
  <si>
    <t xml:space="preserve">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</si>
  <si>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</si>
  <si>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</si>
  <si>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</si>
  <si>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</si>
  <si>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</si>
  <si>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</si>
  <si>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 xml:space="preserve">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</si>
  <si>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</si>
  <si>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</si>
  <si>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</si>
  <si>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</si>
  <si>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 xml:space="preserve">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</si>
  <si>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</si>
  <si>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</si>
  <si>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 xml:space="preserve">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</si>
  <si>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</si>
  <si>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</si>
  <si>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</si>
  <si>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</si>
  <si>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</si>
  <si>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</si>
  <si>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</si>
  <si>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 xml:space="preserve">мутность</t>
  </si>
  <si>
    <t xml:space="preserve">цветность</t>
  </si>
  <si>
    <t xml:space="preserve">хлор остаточный общий, в том числе:</t>
  </si>
  <si>
    <t xml:space="preserve">4.3.1</t>
  </si>
  <si>
    <t xml:space="preserve">хлор остаточный связанный</t>
  </si>
  <si>
    <t xml:space="preserve">4.3.2</t>
  </si>
  <si>
    <t xml:space="preserve">хлор остаточный свободный</t>
  </si>
  <si>
    <t xml:space="preserve">4.4</t>
  </si>
  <si>
    <t xml:space="preserve">общие колиформные бактерии</t>
  </si>
  <si>
    <t xml:space="preserve">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</si>
  <si>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</si>
  <si>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</si>
  <si>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 xml:space="preserve">5.2</t>
  </si>
  <si>
    <t xml:space="preserve">5.3</t>
  </si>
  <si>
    <t xml:space="preserve">5.3.1</t>
  </si>
  <si>
    <t xml:space="preserve">5.3.2</t>
  </si>
  <si>
    <t xml:space="preserve">5.4</t>
  </si>
  <si>
    <t xml:space="preserve">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</si>
  <si>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</si>
  <si>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</si>
  <si>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</si>
  <si>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</si>
  <si>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</si>
  <si>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</si>
  <si>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 xml:space="preserve">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</si>
  <si>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</si>
  <si>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</si>
  <si>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</si>
  <si>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</si>
  <si>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</si>
  <si>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</si>
  <si>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</si>
  <si>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</si>
  <si>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</si>
  <si>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</si>
  <si>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</si>
  <si>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</si>
  <si>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 xml:space="preserve">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</si>
  <si>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</si>
  <si>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</si>
  <si>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</si>
  <si>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</si>
  <si>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</si>
  <si>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</si>
  <si>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</si>
  <si>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 xml:space="preserve">БПК5</t>
  </si>
  <si>
    <t xml:space="preserve">аммоний-ион</t>
  </si>
  <si>
    <t xml:space="preserve">нитрит-анион</t>
  </si>
  <si>
    <t xml:space="preserve">3.5</t>
  </si>
  <si>
    <t xml:space="preserve">фосфаты (по Р)</t>
  </si>
  <si>
    <t xml:space="preserve">3.6</t>
  </si>
  <si>
    <t xml:space="preserve">нефтепродукты</t>
  </si>
  <si>
    <t xml:space="preserve">3.7</t>
  </si>
  <si>
    <t xml:space="preserve">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</si>
  <si>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</si>
  <si>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</si>
  <si>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 xml:space="preserve">4.6</t>
  </si>
  <si>
    <t xml:space="preserve">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</si>
  <si>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</si>
  <si>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</si>
  <si>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</si>
  <si>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</si>
  <si>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 xml:space="preserve">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</si>
  <si>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</si>
  <si>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</si>
  <si>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</si>
  <si>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</si>
  <si>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</si>
  <si>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</si>
  <si>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</si>
  <si>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</si>
  <si>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</si>
  <si>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</si>
  <si>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</si>
  <si>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</si>
  <si>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</si>
  <si>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</si>
  <si>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</si>
  <si>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</si>
  <si>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</si>
  <si>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</si>
  <si>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 xml:space="preserve">1.0</t>
  </si>
  <si>
    <t xml:space="preserve">Сведения о выводе источников тепловой энергии из эксплуатации</t>
  </si>
  <si>
    <t xml:space="preserve">Сведения о выводе тепловых сетей из эксплуатации</t>
  </si>
  <si>
    <t xml:space="preserve">Добавить тепловую сеть</t>
  </si>
  <si>
    <t xml:space="preserve">3.0</t>
  </si>
  <si>
    <t xml:space="preserve">Сведения об основаниях ограничения подачи тепловой энергии</t>
  </si>
  <si>
    <t xml:space="preserve">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</si>
  <si>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</si>
  <si>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</si>
  <si>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 xml:space="preserve">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</si>
  <si>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</si>
  <si>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</si>
  <si>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</si>
  <si>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</si>
  <si>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</si>
  <si>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</si>
  <si>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</si>
  <si>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</si>
  <si>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</si>
  <si>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</si>
  <si>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</si>
  <si>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</si>
  <si>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</si>
  <si>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</si>
  <si>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</si>
  <si>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</si>
  <si>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</si>
  <si>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 xml:space="preserve">Вид</t>
  </si>
  <si>
    <t xml:space="preserve">Номер</t>
  </si>
  <si>
    <t xml:space="preserve">Дата принятия</t>
  </si>
  <si>
    <t xml:space="preserve">Тип</t>
  </si>
  <si>
    <t xml:space="preserve">Наличие</t>
  </si>
  <si>
    <t xml:space="preserve">Реквизиты концессионного(-ых) соглашения(-ий)</t>
  </si>
  <si>
    <t xml:space="preserve">ip_1</t>
  </si>
  <si>
    <t xml:space="preserve">Инвестиционная программа от 30.10.2018 ООО "Газпром теплоэнерго Ярославль" в сфере теплоснабжения по развитию, повышению надежности и энергетической эффективности объектов на 2019-2023 годы</t>
  </si>
  <si>
    <t xml:space="preserve">повышение надёжности и энергетической эффективности</t>
  </si>
  <si>
    <t xml:space="preserve">Департамент регулирования тарифов Ярославской области</t>
  </si>
  <si>
    <t xml:space="preserve">Департамент городского хозяйства мэрии г. Ярославля, Администрация Ростовского МР, Администрация Угличского МР</t>
  </si>
  <si>
    <t xml:space="preserve">01.01.2019</t>
  </si>
  <si>
    <t xml:space="preserve">31.12.2023</t>
  </si>
  <si>
    <t xml:space="preserve">Об утверждении инвестиционных программ</t>
  </si>
  <si>
    <t xml:space="preserve">приказ</t>
  </si>
  <si>
    <t xml:space="preserve">371</t>
  </si>
  <si>
    <t xml:space="preserve">30.10.2018</t>
  </si>
  <si>
    <t xml:space="preserve">ip_5</t>
  </si>
  <si>
    <t xml:space="preserve">Добавить реквизиты</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</si>
  <si>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</si>
  <si>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</si>
  <si>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</si>
  <si>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</si>
  <si>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 xml:space="preserve">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</si>
  <si>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</si>
  <si>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</si>
  <si>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</si>
  <si>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</si>
  <si>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</si>
  <si>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</si>
  <si>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</si>
  <si>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</si>
  <si>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</si>
  <si>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 xml:space="preserve">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</si>
  <si>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</si>
  <si>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</si>
  <si>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</si>
  <si>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</si>
  <si>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</si>
  <si>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 xml:space="preserve">План</t>
  </si>
  <si>
    <t xml:space="preserve">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</si>
  <si>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</si>
  <si>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</si>
  <si>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</si>
  <si>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</si>
  <si>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</si>
  <si>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</si>
  <si>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 xml:space="preserve">месяц</t>
  </si>
  <si>
    <t xml:space="preserve">год</t>
  </si>
  <si>
    <t xml:space="preserve">Замена насоса исходной воды</t>
  </si>
  <si>
    <t xml:space="preserve">Декабрь</t>
  </si>
  <si>
    <t xml:space="preserve">2020</t>
  </si>
  <si>
    <t xml:space="preserve">Август</t>
  </si>
  <si>
    <t xml:space="preserve">2019</t>
  </si>
  <si>
    <t xml:space="preserve">Районная котельная РК-1</t>
  </si>
  <si>
    <t xml:space="preserve">ТИ</t>
  </si>
  <si>
    <t xml:space="preserve">г Ярославль</t>
  </si>
  <si>
    <t xml:space="preserve">78701000001</t>
  </si>
  <si>
    <t xml:space="preserve">ул. Спартаковская</t>
  </si>
  <si>
    <t xml:space="preserve">у №1 Д строение 20</t>
  </si>
  <si>
    <t xml:space="preserve">      Прочие амортизационные отчисления</t>
  </si>
  <si>
    <t xml:space="preserve">  Прибыль направляемая на инвестиции</t>
  </si>
  <si>
    <t xml:space="preserve">Добавить источник финансирования</t>
  </si>
  <si>
    <t xml:space="preserve">Добавить объект инфраструктуры</t>
  </si>
  <si>
    <t xml:space="preserve">Замена насоса раствора соли №1</t>
  </si>
  <si>
    <t xml:space="preserve">Модернизация коммерческого узла учета газа</t>
  </si>
  <si>
    <t xml:space="preserve">2021</t>
  </si>
  <si>
    <t xml:space="preserve">Ноябрь</t>
  </si>
  <si>
    <t xml:space="preserve">Модернизация коммерческого узла учета тепловой энергии </t>
  </si>
  <si>
    <t xml:space="preserve">Замена насоса рециркуляции  №1</t>
  </si>
  <si>
    <t xml:space="preserve">Сентябрь</t>
  </si>
  <si>
    <t xml:space="preserve">Районная котельная РК-2</t>
  </si>
  <si>
    <t xml:space="preserve">ул. Алмазная</t>
  </si>
  <si>
    <t xml:space="preserve">у №1 А</t>
  </si>
  <si>
    <t xml:space="preserve">Замена насоса циркуляции  №1</t>
  </si>
  <si>
    <t xml:space="preserve">Замена циркуляционного насоса №2 </t>
  </si>
  <si>
    <t xml:space="preserve">Замена насоса рециркуляции котлов ЗИОСАБ №1</t>
  </si>
  <si>
    <t xml:space="preserve">Октябрь</t>
  </si>
  <si>
    <t xml:space="preserve">Замена насоса подпитки внутреннего контура котлов ЗИОСАБ </t>
  </si>
  <si>
    <t xml:space="preserve">Замена теплообменника ТП-250 </t>
  </si>
  <si>
    <t xml:space="preserve">Компрессор К-25 в солевую ячейку</t>
  </si>
  <si>
    <t xml:space="preserve">Замена насоса перекачки сточных вод</t>
  </si>
  <si>
    <t xml:space="preserve">Замена насоса ВВН-1-3</t>
  </si>
  <si>
    <t xml:space="preserve">Модернизация  коммерческого узла учета газа </t>
  </si>
  <si>
    <t xml:space="preserve">Июль</t>
  </si>
  <si>
    <t xml:space="preserve">15</t>
  </si>
  <si>
    <t xml:space="preserve">Установка системы дымоудаления от котлов</t>
  </si>
  <si>
    <t xml:space="preserve">2022</t>
  </si>
  <si>
    <t xml:space="preserve">Районная котельная РК-4</t>
  </si>
  <si>
    <t xml:space="preserve">ул. Столярная</t>
  </si>
  <si>
    <t xml:space="preserve">д 14</t>
  </si>
  <si>
    <t xml:space="preserve">16</t>
  </si>
  <si>
    <t xml:space="preserve">Пластины с уплотнительными прокладками</t>
  </si>
  <si>
    <t xml:space="preserve">17</t>
  </si>
  <si>
    <t xml:space="preserve">Замена водогрейного котла КВГ-1,1 №4 </t>
  </si>
  <si>
    <t xml:space="preserve">2023</t>
  </si>
  <si>
    <t xml:space="preserve">Июнь</t>
  </si>
  <si>
    <t xml:space="preserve">Районная котельная РК-7</t>
  </si>
  <si>
    <t xml:space="preserve">рп Семибратово</t>
  </si>
  <si>
    <t xml:space="preserve">78637447051</t>
  </si>
  <si>
    <t xml:space="preserve">ул. Красноборская</t>
  </si>
  <si>
    <t xml:space="preserve">д 9а</t>
  </si>
  <si>
    <t xml:space="preserve">18</t>
  </si>
  <si>
    <t xml:space="preserve">Замена водогрейного котла КВГ-1,1 №5</t>
  </si>
  <si>
    <t xml:space="preserve">Май</t>
  </si>
  <si>
    <t xml:space="preserve">19</t>
  </si>
  <si>
    <t xml:space="preserve">Установка преобразователя частоты на сетевой насос № 3</t>
  </si>
  <si>
    <t xml:space="preserve">20</t>
  </si>
  <si>
    <t xml:space="preserve">Замена парового котла на водогрейный</t>
  </si>
  <si>
    <t xml:space="preserve">Районная котельная РК-8</t>
  </si>
  <si>
    <t xml:space="preserve">ТИ с сетями</t>
  </si>
  <si>
    <t xml:space="preserve">г Углич</t>
  </si>
  <si>
    <t xml:space="preserve">78646101001</t>
  </si>
  <si>
    <t xml:space="preserve">Рыбинское шоссе</t>
  </si>
  <si>
    <t xml:space="preserve">д 20 а</t>
  </si>
  <si>
    <t xml:space="preserve">21</t>
  </si>
  <si>
    <t xml:space="preserve">Замена вакуумного насоса </t>
  </si>
  <si>
    <t xml:space="preserve">22</t>
  </si>
  <si>
    <t xml:space="preserve">Замена насоса рециркуляции №1</t>
  </si>
  <si>
    <t xml:space="preserve">23</t>
  </si>
  <si>
    <t xml:space="preserve">Замена теплообменника исходной воды </t>
  </si>
  <si>
    <t xml:space="preserve">24</t>
  </si>
  <si>
    <t xml:space="preserve">Замена насоса  для перекачки мазута</t>
  </si>
  <si>
    <t xml:space="preserve">25</t>
  </si>
  <si>
    <t xml:space="preserve">Модернизация коммерческого узла учета газа </t>
  </si>
  <si>
    <t xml:space="preserve">26</t>
  </si>
  <si>
    <t xml:space="preserve">Модернизация горелочного устройства водогрейного котла КВГМ-20 №6</t>
  </si>
  <si>
    <t xml:space="preserve">Добавить мероприятие</t>
  </si>
  <si>
    <t xml:space="preserve">Замена насоса рециркуляции </t>
  </si>
  <si>
    <t xml:space="preserve">Замена насоса раствора соли  №2</t>
  </si>
  <si>
    <t xml:space="preserve">Замена вакуумного насоса</t>
  </si>
  <si>
    <t xml:space="preserve">Замена насоса рециркуляции №2</t>
  </si>
  <si>
    <t xml:space="preserve">Замена сетевого насоса </t>
  </si>
  <si>
    <t xml:space="preserve">Замена теплообменника №1 исходная вода</t>
  </si>
  <si>
    <t xml:space="preserve">Замена солевого насоса GRN10-01 №1</t>
  </si>
  <si>
    <t xml:space="preserve">Замена солевого насоса GRN10-01 №2</t>
  </si>
  <si>
    <t xml:space="preserve">Замена сетевого насоса</t>
  </si>
  <si>
    <t xml:space="preserve">Замена насоса циркуляции  №2</t>
  </si>
  <si>
    <t xml:space="preserve">омпрессор К-25 в солевую ячейку</t>
  </si>
  <si>
    <t xml:space="preserve">27</t>
  </si>
  <si>
    <t xml:space="preserve">28</t>
  </si>
  <si>
    <t xml:space="preserve">29</t>
  </si>
  <si>
    <t xml:space="preserve">30</t>
  </si>
  <si>
    <t xml:space="preserve">31</t>
  </si>
  <si>
    <t xml:space="preserve">32</t>
  </si>
  <si>
    <t xml:space="preserve">Замена насоса взрыхления </t>
  </si>
  <si>
    <t xml:space="preserve">Замена насоса подпиточного  .№2</t>
  </si>
  <si>
    <t xml:space="preserve">Замена 4-х расширительных мембранных баков для котла №1</t>
  </si>
  <si>
    <t xml:space="preserve">Замена электродвигателя мощностью 75 кВт на дымососе </t>
  </si>
  <si>
    <t xml:space="preserve">Замена насоса ГВС</t>
  </si>
  <si>
    <t xml:space="preserve">Замена насоса взрыхления</t>
  </si>
  <si>
    <t xml:space="preserve">Бак хранения резервного топлива V100м3</t>
  </si>
  <si>
    <t xml:space="preserve">Установка преобразователя частоты на сетевой насос № 4</t>
  </si>
  <si>
    <t xml:space="preserve">Реконструкция подстанции с заменой трансформаторов</t>
  </si>
  <si>
    <t xml:space="preserve">Замена подпиточного насоса</t>
  </si>
  <si>
    <t xml:space="preserve">Замена горелочного устройства на КВГМ-20 №6</t>
  </si>
  <si>
    <t xml:space="preserve">Замена сетевого насоса  СЭ800-100-11 №2</t>
  </si>
  <si>
    <t xml:space="preserve">Замена теплообменника на исходной воде№2 </t>
  </si>
  <si>
    <t xml:space="preserve">Замена насоса подпиточного .№3</t>
  </si>
  <si>
    <t xml:space="preserve">Замена теплообменника №2 греющая вода на деаэратор</t>
  </si>
  <si>
    <t xml:space="preserve">Замена теплообменника №1 догрев исходной воды</t>
  </si>
  <si>
    <t xml:space="preserve">Замена вентилятора ВДН-18-11 на котле КВГМ-50</t>
  </si>
  <si>
    <t xml:space="preserve">Замена электродвигателя мощностью 30 кВт на вентиляторе </t>
  </si>
  <si>
    <t xml:space="preserve">Замена трех фильтров ФИПа-1-2,0-0,6</t>
  </si>
  <si>
    <t xml:space="preserve">Покупка прибора Виброизмерительный комплекс Brig-02 Рrofessional в РК-1</t>
  </si>
  <si>
    <t xml:space="preserve">Техническое перевооружение котельной РК-7 (с заменой бака-аккумулятора ГВС марки РВС-95 на новый) </t>
  </si>
  <si>
    <t xml:space="preserve">Замена охладителя выпара ПВМР</t>
  </si>
  <si>
    <t xml:space="preserve">Замена сетевого насоса  СЭ800-100-11 №3</t>
  </si>
  <si>
    <t xml:space="preserve"> Техническое перевооружение котельной РК-8 (с заменой насоса ГВС на новый )</t>
  </si>
  <si>
    <t xml:space="preserve">Установка преобразователя частоты на электродвигатель сетевого насоса № 2</t>
  </si>
  <si>
    <t xml:space="preserve">Установка насоса дизельного топлива  </t>
  </si>
  <si>
    <t xml:space="preserve">Февраль</t>
  </si>
  <si>
    <t xml:space="preserve">ехническое перевооружение котельной РК-8 (с заменой насоса ГВС на новый )</t>
  </si>
  <si>
    <t xml:space="preserve">Техническое перевооружение котельной РК-7 (с заменой бака-аккумулятора ГВС марки РВС-95 на новый</t>
  </si>
  <si>
    <t xml:space="preserve">  Прочие собственные средства</t>
  </si>
  <si>
    <r>
      <rPr>
        <vertAlign val="superscript"/>
        <sz val="9"/>
        <rFont val="Tahoma"/>
        <family val="2"/>
        <charset val="204"/>
      </rPr>
      <t xml:space="preserve">1</t>
    </r>
    <r>
      <rPr>
        <sz val="9"/>
        <rFont val="Tahoma"/>
        <family val="2"/>
        <charset val="204"/>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</si>
  <si>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</si>
  <si>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</si>
  <si>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 xml:space="preserve">Всего</t>
  </si>
  <si>
    <t xml:space="preserve">I</t>
  </si>
  <si>
    <t xml:space="preserve">Расходы на мероприятия инвестиционной программы</t>
  </si>
  <si>
    <t xml:space="preserve">Собственные средства</t>
  </si>
  <si>
    <t xml:space="preserve">1.1</t>
  </si>
  <si>
    <t xml:space="preserve">Амортизационные отчисления за исключением переоценки основных средств и нематериальных активов</t>
  </si>
  <si>
    <t xml:space="preserve">1.2</t>
  </si>
  <si>
    <t xml:space="preserve">Амортизационные отчисления в результате переоценки основных средств и нематериальных активов</t>
  </si>
  <si>
    <t xml:space="preserve">1.3</t>
  </si>
  <si>
    <t xml:space="preserve">Капитальные вложения (инвестиции), финансируемые за счет нормативной прибыли, учитываемой в необходимой валовой выручке</t>
  </si>
  <si>
    <t xml:space="preserve">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</si>
  <si>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</si>
  <si>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</si>
  <si>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</si>
  <si>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</si>
  <si>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</si>
  <si>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</si>
  <si>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</si>
  <si>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1.8</t>
  </si>
  <si>
    <t xml:space="preserve">Экономия средств, достигнутая регулируемой организацией в результате снижения расходов</t>
  </si>
  <si>
    <t xml:space="preserve">1.9</t>
  </si>
  <si>
    <t xml:space="preserve">Средства, полученные за счет платы за подключение (технологическое присоединение)</t>
  </si>
  <si>
    <t xml:space="preserve">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</si>
  <si>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</si>
  <si>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 xml:space="preserve">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</si>
  <si>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</si>
  <si>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 xml:space="preserve">1.12</t>
  </si>
  <si>
    <t xml:space="preserve">Прочие собственные средства</t>
  </si>
  <si>
    <t xml:space="preserve">Привлеченные средства</t>
  </si>
  <si>
    <t xml:space="preserve">Займы</t>
  </si>
  <si>
    <t xml:space="preserve">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</si>
  <si>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</si>
  <si>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</si>
  <si>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</si>
  <si>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</si>
  <si>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</si>
  <si>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</si>
  <si>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 xml:space="preserve">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</si>
  <si>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</si>
  <si>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</si>
  <si>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 xml:space="preserve">1.1.1</t>
  </si>
  <si>
    <t xml:space="preserve">Финансируемые за счет нормативной прибыли, учитываемой в необходимой валовой выручке</t>
  </si>
  <si>
    <t xml:space="preserve">1.1.2</t>
  </si>
  <si>
    <t xml:space="preserve">Амортизационные отчисления</t>
  </si>
  <si>
    <t xml:space="preserve">1.1.3</t>
  </si>
  <si>
    <t xml:space="preserve">Иные собственные средства</t>
  </si>
  <si>
    <t xml:space="preserve">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</si>
  <si>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</si>
  <si>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 xml:space="preserve">1.2.1</t>
  </si>
  <si>
    <t xml:space="preserve">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</si>
  <si>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</si>
  <si>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</si>
  <si>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 xml:space="preserve">2.1.3</t>
  </si>
  <si>
    <t xml:space="preserve">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</si>
  <si>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</si>
  <si>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</si>
  <si>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</si>
  <si>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</si>
  <si>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</si>
  <si>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</si>
  <si>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</si>
  <si>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</si>
  <si>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</si>
  <si>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</si>
  <si>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</si>
  <si>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</si>
  <si>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</si>
  <si>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</si>
  <si>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</si>
  <si>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</si>
  <si>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</si>
  <si>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</si>
  <si>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</si>
  <si>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</si>
  <si>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</si>
  <si>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</si>
  <si>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</si>
  <si>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</si>
  <si>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</si>
  <si>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</si>
  <si>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</si>
  <si>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</si>
  <si>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</si>
  <si>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</si>
  <si>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</si>
  <si>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</si>
  <si>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</si>
  <si>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</si>
  <si>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</si>
  <si>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</si>
  <si>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</si>
  <si>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</si>
  <si>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</si>
  <si>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</si>
  <si>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 xml:space="preserve">кВт*ч/куб.м</t>
  </si>
  <si>
    <t xml:space="preserve">план</t>
  </si>
  <si>
    <t xml:space="preserve">факт</t>
  </si>
  <si>
    <t xml:space="preserve">в целом на инвестиционную программу</t>
  </si>
  <si>
    <t xml:space="preserve">Добавить цель</t>
  </si>
  <si>
    <t xml:space="preserve">ед</t>
  </si>
  <si>
    <t xml:space="preserve">5.0</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</si>
  <si>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</si>
  <si>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</si>
  <si>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</si>
  <si>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</si>
  <si>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</si>
  <si>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</si>
  <si>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</si>
  <si>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</si>
  <si>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</si>
  <si>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</si>
  <si>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</si>
  <si>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</si>
  <si>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</si>
  <si>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</si>
  <si>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</si>
  <si>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</si>
  <si>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</si>
  <si>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</si>
  <si>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</si>
  <si>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</si>
  <si>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</si>
  <si>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</si>
  <si>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</si>
  <si>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</si>
  <si>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 xml:space="preserve">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</si>
  <si>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</si>
  <si>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</si>
  <si>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 xml:space="preserve">p1</t>
  </si>
  <si>
    <t xml:space="preserve">Добавить период</t>
  </si>
  <si>
    <t xml:space="preserve">p2</t>
  </si>
  <si>
    <t xml:space="preserve">Период действия тарифов</t>
  </si>
  <si>
    <t xml:space="preserve">с</t>
  </si>
  <si>
    <t xml:space="preserve">по</t>
  </si>
  <si>
    <t xml:space="preserve">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</si>
  <si>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</si>
  <si>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</si>
  <si>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</si>
  <si>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</si>
  <si>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</si>
  <si>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</si>
  <si>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</si>
  <si>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3.1 – 3.3 указывается в случае, если организация имеет статус единой теплоснабжающей организации в ценовых зонах теплоснабжения.</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</si>
  <si>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</si>
  <si>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</si>
  <si>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</si>
  <si>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 xml:space="preserve">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</si>
  <si>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</si>
  <si>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</si>
  <si>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</si>
  <si>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</si>
  <si>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</si>
  <si>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</si>
  <si>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</si>
  <si>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</si>
  <si>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</si>
  <si>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</si>
  <si>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</si>
  <si>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</si>
  <si>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</si>
  <si>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</si>
  <si>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</si>
  <si>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</si>
  <si>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</si>
  <si>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</si>
  <si>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</si>
  <si>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</si>
  <si>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</si>
  <si>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</si>
  <si>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</si>
  <si>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</si>
  <si>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</si>
  <si>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</si>
  <si>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</si>
  <si>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</si>
  <si>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</si>
  <si>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</si>
  <si>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</si>
  <si>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</si>
  <si>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</si>
  <si>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</si>
  <si>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</si>
  <si>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</si>
  <si>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</si>
  <si>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kind_of_org_type</t>
  </si>
  <si>
    <t xml:space="preserve">Виды топлива
/kind_of_fuels/</t>
  </si>
  <si>
    <t xml:space="preserve">YEAR_IP_LIST</t>
  </si>
  <si>
    <t xml:space="preserve">MONTH_IP_LIST</t>
  </si>
  <si>
    <t xml:space="preserve">COLDVSNA/HOTVSNA</t>
  </si>
  <si>
    <t xml:space="preserve">OTKO</t>
  </si>
  <si>
    <t xml:space="preserve">Алтайский край</t>
  </si>
  <si>
    <t xml:space="preserve">январь</t>
  </si>
  <si>
    <t xml:space="preserve">I квартал</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</si>
  <si>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</si>
  <si>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</si>
  <si>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</si>
  <si>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</si>
  <si>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вода</t>
  </si>
  <si>
    <t xml:space="preserve">без дифференциации</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</si>
  <si>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</si>
  <si>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</si>
  <si>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</si>
  <si>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</si>
  <si>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</si>
  <si>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</si>
  <si>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</si>
  <si>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</si>
  <si>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</si>
  <si>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</si>
  <si>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</si>
  <si>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объемы потребления воды абонентами</t>
  </si>
  <si>
    <t xml:space="preserve">40 мм и менее</t>
  </si>
  <si>
    <t xml:space="preserve">00</t>
  </si>
  <si>
    <t xml:space="preserve">Январь</t>
  </si>
  <si>
    <t xml:space="preserve">Амурская область</t>
  </si>
  <si>
    <t xml:space="preserve">февраль</t>
  </si>
  <si>
    <t xml:space="preserve">II квартал</t>
  </si>
  <si>
    <t xml:space="preserve">На сайте регулирующего органа</t>
  </si>
  <si>
    <t xml:space="preserve">УСН</t>
  </si>
  <si>
    <t xml:space="preserve">метод индексации установленных тарифов</t>
  </si>
  <si>
    <t xml:space="preserve">Передача</t>
  </si>
  <si>
    <t xml:space="preserve">пар</t>
  </si>
  <si>
    <t xml:space="preserve">изменения в раскрытой ранее информации</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</si>
  <si>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</si>
  <si>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</si>
  <si>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</si>
  <si>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</si>
  <si>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</si>
  <si>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</si>
  <si>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</si>
  <si>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</si>
  <si>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</si>
  <si>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</si>
  <si>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</si>
  <si>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</si>
  <si>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</si>
  <si>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</si>
  <si>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</si>
  <si>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</si>
  <si>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Единая теплоснабжающая организация в ценовой зоне теплоснабжения</t>
  </si>
  <si>
    <t xml:space="preserve">газ природный по нерегулируемой цене</t>
  </si>
  <si>
    <t xml:space="preserve">HEAT_FIN_SRC_LIST</t>
  </si>
  <si>
    <t xml:space="preserve">VSNA_FIN_SRC_LIST</t>
  </si>
  <si>
    <t xml:space="preserve">VOTV_FIN_SRC_LIST</t>
  </si>
  <si>
    <t xml:space="preserve">OTKO_FIN_SRC_LIST</t>
  </si>
  <si>
    <t xml:space="preserve">HEAT_PT_TARIFF_NAME_LIST</t>
  </si>
  <si>
    <t xml:space="preserve">COLDVSNA_PT_TARIFF_NAME_LIST</t>
  </si>
  <si>
    <t xml:space="preserve">HOTVSNA_PT_TARIFF_NAME_LIST</t>
  </si>
  <si>
    <t xml:space="preserve">VOTV_PT_TARIFF_NAME_LIST</t>
  </si>
  <si>
    <t xml:space="preserve">Архангельская область</t>
  </si>
  <si>
    <t xml:space="preserve">март</t>
  </si>
  <si>
    <t xml:space="preserve">III квартал</t>
  </si>
  <si>
    <t xml:space="preserve">ЕСХН</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</si>
  <si>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</si>
  <si>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</si>
  <si>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</si>
  <si>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</si>
  <si>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</si>
  <si>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</si>
  <si>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</si>
  <si>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</si>
  <si>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</si>
  <si>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</si>
  <si>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</si>
  <si>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</si>
  <si>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</si>
  <si>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</si>
  <si>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иное</t>
  </si>
  <si>
    <t xml:space="preserve">от 71 мм до 100 мм включительно</t>
  </si>
  <si>
    <t xml:space="preserve">02</t>
  </si>
  <si>
    <t xml:space="preserve">Теплоснабжающая организация в ценовой зоне теплоснабжения</t>
  </si>
  <si>
    <t xml:space="preserve">газ сжиженный</t>
  </si>
  <si>
    <t xml:space="preserve">кг</t>
  </si>
  <si>
    <t xml:space="preserve">Март</t>
  </si>
  <si>
    <t xml:space="preserve">[ Собственные средства ]</t>
  </si>
  <si>
    <t xml:space="preserve">HEAT_PT_TARIFF_ID</t>
  </si>
  <si>
    <t xml:space="preserve">HEAT_PT_TARIFF_NAME</t>
  </si>
  <si>
    <t xml:space="preserve">COLDVSNA_PT_TARIFF_ID</t>
  </si>
  <si>
    <t xml:space="preserve">COLDVSNA_PT_TARIFF_NAME</t>
  </si>
  <si>
    <t xml:space="preserve">HOTVSNA_PT_TARIFF_ID</t>
  </si>
  <si>
    <t xml:space="preserve">HOTVSNA_PT_TARIFF_NAME</t>
  </si>
  <si>
    <t xml:space="preserve">VOTV_PT_TARIFF_ID</t>
  </si>
  <si>
    <t xml:space="preserve">VOTV_PT_TARIFF_NAME</t>
  </si>
  <si>
    <t xml:space="preserve">Астраханская область</t>
  </si>
  <si>
    <t xml:space="preserve">апрель</t>
  </si>
  <si>
    <t xml:space="preserve">IV квартал</t>
  </si>
  <si>
    <t xml:space="preserve">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</si>
  <si>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</si>
  <si>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</si>
  <si>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</si>
  <si>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</si>
  <si>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</si>
  <si>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</si>
  <si>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</si>
  <si>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</si>
  <si>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</si>
  <si>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</si>
  <si>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</si>
  <si>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</si>
  <si>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от 101 мм до 150 мм включительно</t>
  </si>
  <si>
    <t xml:space="preserve">03</t>
  </si>
  <si>
    <t xml:space="preserve">Теплосетевая организация в ценовой зоне теплоснабжения</t>
  </si>
  <si>
    <t xml:space="preserve">газовый конденсат</t>
  </si>
  <si>
    <t xml:space="preserve">тонны</t>
  </si>
  <si>
    <t xml:space="preserve">Апрель</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</si>
  <si>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</si>
  <si>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</si>
  <si>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</si>
  <si>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</si>
  <si>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 xml:space="preserve">май</t>
  </si>
  <si>
    <t xml:space="preserve">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</si>
  <si>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</si>
  <si>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</si>
  <si>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</si>
  <si>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</si>
  <si>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</si>
  <si>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</si>
  <si>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</si>
  <si>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</si>
  <si>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</si>
  <si>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</si>
  <si>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гшз</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</si>
  <si>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</si>
  <si>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</si>
  <si>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</si>
  <si>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</si>
  <si>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</si>
  <si>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 xml:space="preserve">июнь</t>
  </si>
  <si>
    <t xml:space="preserve">налогообложение казённых учреждений</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</si>
  <si>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</si>
  <si>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</si>
  <si>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</si>
  <si>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</si>
  <si>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</si>
  <si>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</si>
  <si>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</si>
  <si>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</si>
  <si>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QRE_METHOD_LIST</t>
  </si>
  <si>
    <t xml:space="preserve">мазут</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</si>
  <si>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</si>
  <si>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</si>
  <si>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</si>
  <si>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</si>
  <si>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 xml:space="preserve">июль</t>
  </si>
  <si>
    <t xml:space="preserve">смешанное налогообложение</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</si>
  <si>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</si>
  <si>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</si>
  <si>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</si>
  <si>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</si>
  <si>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</si>
  <si>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</si>
  <si>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нефть</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</si>
  <si>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</si>
  <si>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</si>
  <si>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</si>
  <si>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</si>
  <si>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</si>
  <si>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 xml:space="preserve">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</si>
  <si>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</si>
  <si>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</si>
  <si>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</si>
  <si>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 xml:space="preserve">Прочее</t>
  </si>
  <si>
    <t xml:space="preserve">Плата за подключение к системе теплоснабжения</t>
  </si>
  <si>
    <t xml:space="preserve">07</t>
  </si>
  <si>
    <t xml:space="preserve">по группам мероприятий</t>
  </si>
  <si>
    <t xml:space="preserve">дизельное топливо</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</si>
  <si>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</si>
  <si>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</si>
  <si>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</si>
  <si>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 xml:space="preserve">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</si>
  <si>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</si>
  <si>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</si>
  <si>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</si>
  <si>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</si>
  <si>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</si>
  <si>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</si>
  <si>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</si>
  <si>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 xml:space="preserve">08</t>
  </si>
  <si>
    <t xml:space="preserve">уголь бурый</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</si>
  <si>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</si>
  <si>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</si>
  <si>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</si>
  <si>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</si>
  <si>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 xml:space="preserve">октябрь</t>
  </si>
  <si>
    <t xml:space="preserve">тариф указан без НДС для плательщиков НДС</t>
  </si>
  <si>
    <t xml:space="preserve">тариф не утверждался</t>
  </si>
  <si>
    <t xml:space="preserve">кВт*ч</t>
  </si>
  <si>
    <t xml:space="preserve">Торги/аукционы</t>
  </si>
  <si>
    <t xml:space="preserve">прочее</t>
  </si>
  <si>
    <t xml:space="preserve">Форма 4.2.4 Информация о величинах тарифов на подключение к системе теплоснабжения</t>
  </si>
  <si>
    <t xml:space="preserve">09</t>
  </si>
  <si>
    <t xml:space="preserve">по муниципальным образованиям/территориям</t>
  </si>
  <si>
    <t xml:space="preserve">уголь каменный</t>
  </si>
  <si>
    <t xml:space="preserve">  [ Экономия расходов ]</t>
  </si>
  <si>
    <t xml:space="preserve">      Прочие займы</t>
  </si>
  <si>
    <t xml:space="preserve">г.Байконур</t>
  </si>
  <si>
    <t xml:space="preserve">ноябрь</t>
  </si>
  <si>
    <t xml:space="preserve">МВт</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</si>
  <si>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</si>
  <si>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</si>
  <si>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 xml:space="preserve">торф</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</si>
  <si>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</si>
  <si>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</si>
  <si>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</si>
  <si>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</si>
  <si>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 xml:space="preserve">декабрь</t>
  </si>
  <si>
    <t xml:space="preserve">дрова</t>
  </si>
  <si>
    <t xml:space="preserve">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</si>
  <si>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</si>
  <si>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</si>
  <si>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 xml:space="preserve">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</si>
  <si>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</si>
  <si>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</si>
  <si>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 xml:space="preserve">TITLE_IP_DETAILED_METHOD_LIST</t>
  </si>
  <si>
    <t xml:space="preserve">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</si>
  <si>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</si>
  <si>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</si>
  <si>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 xml:space="preserve">г.Севастополь</t>
  </si>
  <si>
    <t xml:space="preserve">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</si>
  <si>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</si>
  <si>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</si>
  <si>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</si>
  <si>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</si>
  <si>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</si>
  <si>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</si>
  <si>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</si>
  <si>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 xml:space="preserve">START_FILL</t>
  </si>
  <si>
    <t xml:space="preserve">тариф с НДС организаций-плательщиков НДС</t>
  </si>
  <si>
    <t xml:space="preserve">тариф организаций не являющихся плательщиками НДС</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</si>
  <si>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</si>
  <si>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</si>
  <si>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</si>
  <si>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</si>
  <si>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</si>
  <si>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</si>
  <si>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</si>
  <si>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</si>
  <si>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</si>
  <si>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</si>
  <si>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 xml:space="preserve">COLDVSNA_PT_VED_NAME_LIST</t>
  </si>
  <si>
    <t xml:space="preserve">HOTVSNA_PT_VED_NAME_LIST</t>
  </si>
  <si>
    <t xml:space="preserve">VOTV_PT_VED_NAME_LIST</t>
  </si>
  <si>
    <t xml:space="preserve">TKO_PT_VED_NAME_LIST</t>
  </si>
  <si>
    <t xml:space="preserve">Забайкальский край</t>
  </si>
  <si>
    <t xml:space="preserve">Тарифы на тепло для REQUEST.HEAT
/kind_of_tariff_RHEAT/</t>
  </si>
  <si>
    <t xml:space="preserve">производство теплоносителя</t>
  </si>
  <si>
    <t xml:space="preserve">пилеты</t>
  </si>
  <si>
    <t xml:space="preserve">      Экономия средств, достигнутая регулируемой организацией в результате снижения расходов</t>
  </si>
  <si>
    <t xml:space="preserve">  Прочие</t>
  </si>
  <si>
    <t xml:space="preserve">COLDVSNA_PT_VED_ID</t>
  </si>
  <si>
    <t xml:space="preserve">COLDVSNA_PT_VED_NAME</t>
  </si>
  <si>
    <t xml:space="preserve">HOTVSNA_PT_VED_ID</t>
  </si>
  <si>
    <t xml:space="preserve">HOTVSNA_PT_VED_NAME</t>
  </si>
  <si>
    <t xml:space="preserve">VOTV_PT_VED_ID</t>
  </si>
  <si>
    <t xml:space="preserve">VOTV_PT_VED_NAME</t>
  </si>
  <si>
    <t xml:space="preserve">TKO_PT_VED_ID</t>
  </si>
  <si>
    <t xml:space="preserve">TKO_PT_VED_NAME</t>
  </si>
  <si>
    <t xml:space="preserve">Запорожская область</t>
  </si>
  <si>
    <t xml:space="preserve">передача тепловой энергии и теплоносителя</t>
  </si>
  <si>
    <t xml:space="preserve">IP_CLAIM_LIST</t>
  </si>
  <si>
    <t xml:space="preserve">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</si>
  <si>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</si>
  <si>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</si>
  <si>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</si>
  <si>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</si>
  <si>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</si>
  <si>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Водоотведение</t>
  </si>
  <si>
    <t xml:space="preserve">Захоронение твердых коммунальных отходов</t>
  </si>
  <si>
    <t xml:space="preserve">Ивановская область</t>
  </si>
  <si>
    <t xml:space="preserve">сбыт тепловой энергии и теплоносителя</t>
  </si>
  <si>
    <t xml:space="preserve">уменьшение удельных затрат (повышение КПД)</t>
  </si>
  <si>
    <t xml:space="preserve">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</si>
  <si>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</si>
  <si>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</si>
  <si>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 xml:space="preserve">Транспортировка</t>
  </si>
  <si>
    <t xml:space="preserve">Обезвреживание твердых коммунальных отходов</t>
  </si>
  <si>
    <t xml:space="preserve">Иркутская область</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</si>
  <si>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</si>
  <si>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</si>
  <si>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</si>
  <si>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</si>
  <si>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</si>
  <si>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</si>
  <si>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</si>
  <si>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</si>
  <si>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</si>
  <si>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</si>
  <si>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</si>
  <si>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 xml:space="preserve">керосин</t>
  </si>
  <si>
    <t xml:space="preserve">Производство. Теплоноситель</t>
  </si>
  <si>
    <t xml:space="preserve">Транспортировка. Питьевая вода</t>
  </si>
  <si>
    <t xml:space="preserve">Калининградская область</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</si>
  <si>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</si>
  <si>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</si>
  <si>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</si>
  <si>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</si>
  <si>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</si>
  <si>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</si>
  <si>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</si>
  <si>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</si>
  <si>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</si>
  <si>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</si>
  <si>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</si>
  <si>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</si>
  <si>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</si>
  <si>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</si>
  <si>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</si>
  <si>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</si>
  <si>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</si>
  <si>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 xml:space="preserve">CROSSES</t>
  </si>
  <si>
    <t xml:space="preserve">электроэнергия (СН2)</t>
  </si>
  <si>
    <t xml:space="preserve">Сбыт. Теплоноситель</t>
  </si>
  <si>
    <t xml:space="preserve">Кемеровская область</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</si>
  <si>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</si>
  <si>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</si>
  <si>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</si>
  <si>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</si>
  <si>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 xml:space="preserve">PT_GROUP_CONSUMER_LIST</t>
  </si>
  <si>
    <t xml:space="preserve">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</si>
  <si>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</si>
  <si>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</si>
  <si>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</si>
  <si>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 xml:space="preserve">Организация</t>
  </si>
  <si>
    <t xml:space="preserve">25.07.2023 22:51:32</t>
  </si>
  <si>
    <t xml:space="preserve">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</si>
  <si>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</si>
  <si>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</si>
  <si>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 xml:space="preserve">население</t>
  </si>
  <si>
    <t xml:space="preserve">  Иные бюджетные средства</t>
  </si>
  <si>
    <t xml:space="preserve">Курганская область</t>
  </si>
  <si>
    <t xml:space="preserve">Виды деятельности</t>
  </si>
  <si>
    <t xml:space="preserve">https://appsrv.regportal-tariff.ru/procwsxls/</t>
  </si>
  <si>
    <t xml:space="preserve">Курская область</t>
  </si>
  <si>
    <t xml:space="preserve">Ленинградская область</t>
  </si>
  <si>
    <t xml:space="preserve">Липецкая область</t>
  </si>
  <si>
    <t xml:space="preserve">33</t>
  </si>
  <si>
    <t xml:space="preserve">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</si>
  <si>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</si>
  <si>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</si>
  <si>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 xml:space="preserve">TEMPLATE_SPHERE</t>
  </si>
  <si>
    <t xml:space="preserve">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</si>
  <si>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</si>
  <si>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</si>
  <si>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 xml:space="preserve">теплоснабжения</t>
  </si>
  <si>
    <t xml:space="preserve">теплоснабжение</t>
  </si>
  <si>
    <t xml:space="preserve">35</t>
  </si>
  <si>
    <t xml:space="preserve">Московская область</t>
  </si>
  <si>
    <t xml:space="preserve">холодного водоснабжения</t>
  </si>
  <si>
    <t xml:space="preserve">холодное водоснабжение</t>
  </si>
  <si>
    <t xml:space="preserve">36</t>
  </si>
  <si>
    <t xml:space="preserve">HEAT_FIN_SRC_VLD_LIST</t>
  </si>
  <si>
    <t xml:space="preserve">VSNA_FIN_SRC_VLD_LIST</t>
  </si>
  <si>
    <t xml:space="preserve">VOTV_FIN_SRC_VLD_LIST</t>
  </si>
  <si>
    <t xml:space="preserve">OTKO_FIN_SRC_VLD_LIST</t>
  </si>
  <si>
    <t xml:space="preserve">Мурманская область</t>
  </si>
  <si>
    <t xml:space="preserve">водоотведения</t>
  </si>
  <si>
    <t xml:space="preserve">водоотведение</t>
  </si>
  <si>
    <t xml:space="preserve">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</si>
  <si>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</si>
  <si>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</si>
  <si>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</si>
  <si>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</si>
  <si>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</si>
  <si>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 xml:space="preserve">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</si>
  <si>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</si>
  <si>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</si>
  <si>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</si>
  <si>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 xml:space="preserve">TKO</t>
  </si>
  <si>
    <t xml:space="preserve">39</t>
  </si>
  <si>
    <t xml:space="preserve">PT_TN_LIST</t>
  </si>
  <si>
    <t xml:space="preserve">Прочие амортизационные отчисления</t>
  </si>
  <si>
    <t xml:space="preserve">Новгородская область</t>
  </si>
  <si>
    <t xml:space="preserve">40</t>
  </si>
  <si>
    <t xml:space="preserve">Займы, предоставленные Фондом ЖКХ за счет средств ФНБ</t>
  </si>
  <si>
    <t xml:space="preserve">Новосибирская область</t>
  </si>
  <si>
    <t xml:space="preserve">41</t>
  </si>
  <si>
    <t xml:space="preserve">За счет платы за технологическое присоединение</t>
  </si>
  <si>
    <t xml:space="preserve">Прочие займы</t>
  </si>
  <si>
    <t xml:space="preserve">Омская область</t>
  </si>
  <si>
    <t xml:space="preserve">PeriodIsEmpty</t>
  </si>
  <si>
    <t xml:space="preserve">NameTemplatesInTitle</t>
  </si>
  <si>
    <t xml:space="preserve">NameTemplatesInListMO</t>
  </si>
  <si>
    <t xml:space="preserve">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</si>
  <si>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</si>
  <si>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</si>
  <si>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</si>
  <si>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 xml:space="preserve">TEMPLATE_GROUP</t>
  </si>
  <si>
    <t xml:space="preserve">B</t>
  </si>
  <si>
    <t xml:space="preserve">CodeTemplate</t>
  </si>
  <si>
    <t xml:space="preserve">StartDate</t>
  </si>
  <si>
    <t xml:space="preserve">EndDate</t>
  </si>
  <si>
    <t xml:space="preserve">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</si>
  <si>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</si>
  <si>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</si>
  <si>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</si>
  <si>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 xml:space="preserve">O</t>
  </si>
  <si>
    <t xml:space="preserve">44</t>
  </si>
  <si>
    <t xml:space="preserve">Бюджет муниципального образования</t>
  </si>
  <si>
    <t xml:space="preserve">Пензенская область</t>
  </si>
  <si>
    <t xml:space="preserve">Q</t>
  </si>
  <si>
    <t xml:space="preserve">45</t>
  </si>
  <si>
    <t xml:space="preserve">Лизинг</t>
  </si>
  <si>
    <t xml:space="preserve">Пермский край</t>
  </si>
  <si>
    <t xml:space="preserve">BALANCE</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</si>
  <si>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</si>
  <si>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 xml:space="preserve">46</t>
  </si>
  <si>
    <t xml:space="preserve">Прочие</t>
  </si>
  <si>
    <t xml:space="preserve">Приморский край</t>
  </si>
  <si>
    <t xml:space="preserve">TERMS</t>
  </si>
  <si>
    <t xml:space="preserve">T</t>
  </si>
  <si>
    <t xml:space="preserve">47</t>
  </si>
  <si>
    <t xml:space="preserve">Псковская область</t>
  </si>
  <si>
    <t xml:space="preserve">INVEST</t>
  </si>
  <si>
    <t xml:space="preserve">48</t>
  </si>
  <si>
    <t xml:space="preserve">Республика Адыгея</t>
  </si>
  <si>
    <t xml:space="preserve">REQUEST</t>
  </si>
  <si>
    <t xml:space="preserve">R</t>
  </si>
  <si>
    <t xml:space="preserve">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</si>
  <si>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</si>
  <si>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</si>
  <si>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 xml:space="preserve">PRICE</t>
  </si>
  <si>
    <t xml:space="preserve">P</t>
  </si>
  <si>
    <t xml:space="preserve">50</t>
  </si>
  <si>
    <t xml:space="preserve">Республика Башкортостан</t>
  </si>
  <si>
    <t xml:space="preserve">ROIV</t>
  </si>
  <si>
    <t xml:space="preserve">Показатели, подлежащие раскрытию органами регулирования</t>
  </si>
  <si>
    <t xml:space="preserve">51</t>
  </si>
  <si>
    <t xml:space="preserve">Республика Бурятия</t>
  </si>
  <si>
    <t xml:space="preserve">52</t>
  </si>
  <si>
    <t xml:space="preserve">PT_NETS_LIST</t>
  </si>
  <si>
    <t xml:space="preserve">Республика Дагестан</t>
  </si>
  <si>
    <t xml:space="preserve">53</t>
  </si>
  <si>
    <t xml:space="preserve">Республика Ингушетия</t>
  </si>
  <si>
    <t xml:space="preserve">TERRITORY_ID</t>
  </si>
  <si>
    <t xml:space="preserve">511</t>
  </si>
  <si>
    <t xml:space="preserve">начинать только с 2, остальное по умолчанию</t>
  </si>
  <si>
    <t xml:space="preserve">54</t>
  </si>
  <si>
    <t xml:space="preserve">Республика Калмыкия</t>
  </si>
  <si>
    <t xml:space="preserve">DIFFERENTIATION_ID</t>
  </si>
  <si>
    <t xml:space="preserve">5111</t>
  </si>
  <si>
    <t xml:space="preserve">55</t>
  </si>
  <si>
    <t xml:space="preserve">Республика Карелия</t>
  </si>
  <si>
    <t xml:space="preserve">IP_ID</t>
  </si>
  <si>
    <t xml:space="preserve">56</t>
  </si>
  <si>
    <t xml:space="preserve">Республика Коми</t>
  </si>
  <si>
    <t xml:space="preserve">начинать только с 30, остальное по умолчанию</t>
  </si>
  <si>
    <t xml:space="preserve">57</t>
  </si>
  <si>
    <t xml:space="preserve">PT_DIAMETERS_LIST</t>
  </si>
  <si>
    <t xml:space="preserve">Республика Крым</t>
  </si>
  <si>
    <t xml:space="preserve">VDET_ID</t>
  </si>
  <si>
    <t xml:space="preserve">58</t>
  </si>
  <si>
    <t xml:space="preserve">Республика Марий Эл</t>
  </si>
  <si>
    <t xml:space="preserve">NTAR_ID</t>
  </si>
  <si>
    <t xml:space="preserve">Республика Мордовия</t>
  </si>
  <si>
    <t xml:space="preserve">Республика Саха (Якутия)</t>
  </si>
  <si>
    <t xml:space="preserve">CS_ID</t>
  </si>
  <si>
    <t xml:space="preserve">Республика Северная Осетия-Алания</t>
  </si>
  <si>
    <t xml:space="preserve">IST_TE_ID</t>
  </si>
  <si>
    <t xml:space="preserve">Республика Татарстан</t>
  </si>
  <si>
    <t xml:space="preserve">Республика Тыва</t>
  </si>
  <si>
    <t xml:space="preserve">PT_LOAD_LIST</t>
  </si>
  <si>
    <t xml:space="preserve">Республика Хакасия</t>
  </si>
  <si>
    <t xml:space="preserve">Ростовская область</t>
  </si>
  <si>
    <t xml:space="preserve">HEAT_IP_EVENT_GROUP_LIST</t>
  </si>
  <si>
    <t xml:space="preserve">VSNA_IP_EVENT_GROUP_LIST</t>
  </si>
  <si>
    <t xml:space="preserve">VOTV_IP_EVENT_GROUP_LIST</t>
  </si>
  <si>
    <t xml:space="preserve">OTKO_IP_EVENT_GROUP_LIST</t>
  </si>
  <si>
    <t xml:space="preserve">Рязанская область</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</si>
  <si>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</si>
  <si>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</si>
  <si>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</si>
  <si>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</si>
  <si>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</si>
  <si>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</si>
  <si>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</si>
  <si>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</si>
  <si>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</si>
  <si>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</si>
  <si>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</si>
  <si>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</si>
  <si>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</si>
  <si>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</si>
  <si>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</si>
  <si>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</si>
  <si>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</si>
  <si>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</si>
  <si>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</si>
  <si>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</si>
  <si>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</si>
  <si>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</si>
  <si>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</si>
  <si>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</si>
  <si>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</si>
  <si>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</si>
  <si>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</si>
  <si>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</si>
  <si>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 xml:space="preserve">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</si>
  <si>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</si>
  <si>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</si>
  <si>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</si>
  <si>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</si>
  <si>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</si>
  <si>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</si>
  <si>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</si>
  <si>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</si>
  <si>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 xml:space="preserve">HEAT_IP_EVENT_SUBGROUP_1_LIST</t>
  </si>
  <si>
    <t xml:space="preserve">VSNA_IP_EVENT_SUBGROUP_1_LIST</t>
  </si>
  <si>
    <t xml:space="preserve">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</si>
  <si>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</si>
  <si>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</si>
  <si>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</si>
  <si>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</si>
  <si>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</si>
  <si>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</si>
  <si>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</si>
  <si>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</si>
  <si>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</si>
  <si>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</si>
  <si>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</si>
  <si>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</si>
  <si>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</si>
  <si>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</si>
  <si>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</si>
  <si>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</si>
  <si>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</si>
  <si>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 xml:space="preserve">TYPE_TKO_LIST</t>
  </si>
  <si>
    <t xml:space="preserve">Херсонская область</t>
  </si>
  <si>
    <t xml:space="preserve">несортированные</t>
  </si>
  <si>
    <t xml:space="preserve">Челябинская область</t>
  </si>
  <si>
    <t xml:space="preserve">сортированные</t>
  </si>
  <si>
    <t xml:space="preserve">HEAT_IP_EVENT_SUBGROUP_3_LIST</t>
  </si>
  <si>
    <t xml:space="preserve">VSNA_IP_EVENT_SUBGROUP_3_LIST</t>
  </si>
  <si>
    <t xml:space="preserve">VOTV_IP_EVENT_SUBGROUP_3_LIST</t>
  </si>
  <si>
    <t xml:space="preserve">Чеченская республика</t>
  </si>
  <si>
    <t xml:space="preserve">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</si>
  <si>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</si>
  <si>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</si>
  <si>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</si>
  <si>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</si>
  <si>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</si>
  <si>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</si>
  <si>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</si>
  <si>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</si>
  <si>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 xml:space="preserve">CLASS_TKO_LIST</t>
  </si>
  <si>
    <t xml:space="preserve">Ямало-Ненецкий автономный округ</t>
  </si>
  <si>
    <t xml:space="preserve">HEAT_IP_EVENT_SUBGROUP_5_LIST</t>
  </si>
  <si>
    <t xml:space="preserve">VSNA_IP_EVENT_SUBGROUP_5_LIST</t>
  </si>
  <si>
    <t xml:space="preserve">VOTV_IP_EVENT_SUBGROUP_5_LIST</t>
  </si>
  <si>
    <t xml:space="preserve">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</si>
  <si>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</si>
  <si>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</si>
  <si>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</si>
  <si>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 xml:space="preserve">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</si>
  <si>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</si>
  <si>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</si>
  <si>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</si>
  <si>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 xml:space="preserve">V</t>
  </si>
  <si>
    <t xml:space="preserve">ROIV_INFO_LIST_HEAT</t>
  </si>
  <si>
    <t xml:space="preserve">HEAT_IP_EVENT_CI_STAGE_LIST</t>
  </si>
  <si>
    <t xml:space="preserve">VSNA_IP_EVENT_CI_STAGE_LIST</t>
  </si>
  <si>
    <t xml:space="preserve">VOTV_IP_EVENT_CI_STAGE_LIST</t>
  </si>
  <si>
    <t xml:space="preserve">OTKO_IP_EVENT_CI_STAGE_LIST</t>
  </si>
  <si>
    <t xml:space="preserve">информация об органе регулирования и перечень организаций</t>
  </si>
  <si>
    <t xml:space="preserve">в течение 30 дней со дня изменения такой информации</t>
  </si>
  <si>
    <t xml:space="preserve">производство тепловой энергии</t>
  </si>
  <si>
    <t xml:space="preserve">на забор и подъём воды</t>
  </si>
  <si>
    <t xml:space="preserve">на транспортировку сточных вод</t>
  </si>
  <si>
    <t xml:space="preserve">сбор</t>
  </si>
  <si>
    <t xml:space="preserve">доклад о результатах правоприменительной практики</t>
  </si>
  <si>
    <t xml:space="preserve">не позднее 3 дней со дня утверждения доклада</t>
  </si>
  <si>
    <t xml:space="preserve">передача теплоэнергии по региональным тепловым сетям</t>
  </si>
  <si>
    <t xml:space="preserve">на водоподготовку</t>
  </si>
  <si>
    <t xml:space="preserve">очистка сточных вод</t>
  </si>
  <si>
    <t xml:space="preserve">накопление</t>
  </si>
  <si>
    <t xml:space="preserve">дата, время и место проведения заседания об установлении тарифов</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</si>
  <si>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</si>
  <si>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</si>
  <si>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</si>
  <si>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 xml:space="preserve">транспортирование</t>
  </si>
  <si>
    <t xml:space="preserve">информация о принятых решениях об установлении тарифов</t>
  </si>
  <si>
    <t xml:space="preserve">обработка</t>
  </si>
  <si>
    <t xml:space="preserve">информация о принятых решениях об утверждении предельного уровня цены на тепловую энергию (мощность)</t>
  </si>
  <si>
    <t xml:space="preserve">в течение 10 дней со дня принятия соответствующего решения</t>
  </si>
  <si>
    <t xml:space="preserve">утилизация</t>
  </si>
  <si>
    <t xml:space="preserve">протокол заседания правления</t>
  </si>
  <si>
    <t xml:space="preserve">обезвреживание</t>
  </si>
  <si>
    <t xml:space="preserve">информация о привлечении к ответственности</t>
  </si>
  <si>
    <t xml:space="preserve">до 30 апреля года, следующего за отчётным годом</t>
  </si>
  <si>
    <t xml:space="preserve">размещение отходов</t>
  </si>
  <si>
    <t xml:space="preserve">энергетическая утилизация</t>
  </si>
  <si>
    <t xml:space="preserve">UNIT_CONNECT_LIST</t>
  </si>
  <si>
    <t xml:space="preserve">тыс.руб./Гкал/ч</t>
  </si>
  <si>
    <t xml:space="preserve">тыс.руб.</t>
  </si>
  <si>
    <t xml:space="preserve">WARM_IP_EVENT_TYPE_LIST</t>
  </si>
  <si>
    <t xml:space="preserve">VSNA_IP_EVENT_TYPE_LIST</t>
  </si>
  <si>
    <t xml:space="preserve">VOTV_IP_EVENT_TYPE_LIST</t>
  </si>
  <si>
    <t xml:space="preserve">OTKO_IP_EVENT_TYPE_LIST</t>
  </si>
  <si>
    <t xml:space="preserve">Производство тепловой энергии</t>
  </si>
  <si>
    <t xml:space="preserve">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</si>
  <si>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</si>
  <si>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</si>
  <si>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 xml:space="preserve">ROIV_INFO_LIST_NO_HEAT</t>
  </si>
  <si>
    <t xml:space="preserve">HEAT_PT_SCHEME</t>
  </si>
  <si>
    <t xml:space="preserve">Фамилия, имя и отчество (при наличии) руководителя:</t>
  </si>
  <si>
    <t xml:space="preserve">фамилия</t>
  </si>
  <si>
    <t xml:space="preserve">Указывается фамилия руководителя в соответствии с паспортными данными физического лица.</t>
  </si>
  <si>
    <t xml:space="preserve">имя</t>
  </si>
  <si>
    <t xml:space="preserve">Указывается имя руководителя в соответствии с паспортными данными физического лица.</t>
  </si>
  <si>
    <t xml:space="preserve">отчество (при наличии)</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</si>
  <si>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</si>
  <si>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</si>
  <si>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</si>
  <si>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</si>
  <si>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</si>
  <si>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</si>
  <si>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</si>
  <si>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</si>
  <si>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t>
  </si>
  <si>
    <t xml:space="preserve">Указывается при наличии.</t>
  </si>
  <si>
    <t xml:space="preserve">Наименование организации</t>
  </si>
  <si>
    <t xml:space="preserve">ОГРН (ОГРНИП)</t>
  </si>
  <si>
    <t xml:space="preserve">Добавить организацию</t>
  </si>
  <si>
    <t xml:space="preserve">дата</t>
  </si>
  <si>
    <t xml:space="preserve">время</t>
  </si>
  <si>
    <t xml:space="preserve">место</t>
  </si>
  <si>
    <t xml:space="preserve">Добавить заседание</t>
  </si>
  <si>
    <t xml:space="preserve">Наименование органа тарифного регулирования</t>
  </si>
  <si>
    <t xml:space="preserve">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</si>
  <si>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 xml:space="preserve">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</si>
  <si>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 xml:space="preserve">Добавить должностное лицо</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</si>
  <si>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</si>
  <si>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</si>
  <si>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</si>
  <si>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</si>
  <si>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</si>
  <si>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В поле "Субъект Российской Федерации" указывается наименование субъекта Российской Федерации.
В поле "Наименование организации" указывается наименование юридического лица согласно уставу организации
В поле "ИНН" указывается идентификационный номер налогоплательщика.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</si>
  <si>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rPr>
        <sz val="9"/>
        <rFont val="Tahoma"/>
        <family val="0"/>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 xml:space="preserve">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</si>
  <si>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</si>
  <si>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</si>
  <si>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</si>
  <si>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</si>
  <si>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</si>
  <si>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</si>
  <si>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</si>
  <si>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</si>
  <si>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</si>
  <si>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</si>
  <si>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Комментарии</t>
  </si>
  <si>
    <t xml:space="preserve">Результат проверки</t>
  </si>
  <si>
    <t xml:space="preserve">Ссылка</t>
  </si>
  <si>
    <t xml:space="preserve">Причина</t>
  </si>
  <si>
    <t xml:space="preserve">Статус</t>
  </si>
  <si>
    <t xml:space="preserve">et_CHANGE_INFO</t>
  </si>
  <si>
    <t xml:space="preserve">et_Comm</t>
  </si>
  <si>
    <t xml:space="preserve">et_TERRITORY_AREA</t>
  </si>
  <si>
    <t xml:space="preserve">et_TERRITORY_MO</t>
  </si>
  <si>
    <t xml:space="preserve">et_DIFFERENTIATION_VD</t>
  </si>
  <si>
    <t xml:space="preserve">et_DIFFERENTIATION_AREA</t>
  </si>
  <si>
    <t xml:space="preserve">et_DIFFERENTIATION_SYSTEM</t>
  </si>
  <si>
    <t xml:space="preserve">et_ORG_INFO_1</t>
  </si>
  <si>
    <t xml:space="preserve">et_ORG_INFO_2</t>
  </si>
  <si>
    <t xml:space="preserve">et_ORG_INFO_3</t>
  </si>
  <si>
    <t xml:space="preserve">et_ORG_TERRITORY_MO</t>
  </si>
  <si>
    <t xml:space="preserve">et_ORG_VD</t>
  </si>
  <si>
    <t xml:space="preserve">et_ED</t>
  </si>
  <si>
    <t xml:space="preserve">et_TERMS</t>
  </si>
  <si>
    <t xml:space="preserve">et_IP_MAIN</t>
  </si>
  <si>
    <t xml:space="preserve">ip_3</t>
  </si>
  <si>
    <t xml:space="preserve">et_IP_MAIN_PROPERTY</t>
  </si>
  <si>
    <t xml:space="preserve">et_IP_DETAILED</t>
  </si>
  <si>
    <t xml:space="preserve">et_IP_DETAILED_OBJECT</t>
  </si>
  <si>
    <t xml:space="preserve">et_IP_DETAILED_IST_FIN</t>
  </si>
  <si>
    <t xml:space="preserve">et_IP_DETAILED_EVENT</t>
  </si>
  <si>
    <t xml:space="preserve">et_QRE</t>
  </si>
  <si>
    <t xml:space="preserve">et_B_FHD20_1_NOT_HEAT</t>
  </si>
  <si>
    <t xml:space="preserve">et_B_FHD20_1_HEAT</t>
  </si>
  <si>
    <t xml:space="preserve">et_B_FHD20_2, _3, _4</t>
  </si>
  <si>
    <t xml:space="preserve">Итого по поставщику, в том числе</t>
  </si>
  <si>
    <t xml:space="preserve">Добавить товар/услугу</t>
  </si>
  <si>
    <t xml:space="preserve">Добавить способ</t>
  </si>
  <si>
    <t xml:space="preserve">et_DIFFERENTIATION_TARIFF(_etc)</t>
  </si>
  <si>
    <t xml:space="preserve">et_DIFFERENTIATION_TARIFF_NOT_HEAT(_etc)</t>
  </si>
  <si>
    <t xml:space="preserve">et_DIFFERENTIATION_TKO(_etc)</t>
  </si>
  <si>
    <t xml:space="preserve">Добавить класс ТКО</t>
  </si>
  <si>
    <t xml:space="preserve">Добавить вид ТКО</t>
  </si>
  <si>
    <t xml:space="preserve">Добавить технологическую особенность</t>
  </si>
  <si>
    <t xml:space="preserve">Имя листа</t>
  </si>
  <si>
    <t xml:space="preserve">Наименование, номер формы</t>
  </si>
  <si>
    <t xml:space="preserve">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</si>
  <si>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</si>
  <si>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</si>
  <si>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</si>
  <si>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</si>
  <si>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 xml:space="preserve">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</si>
  <si>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</si>
  <si>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</si>
  <si>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</si>
  <si>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</si>
  <si>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</si>
  <si>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</si>
  <si>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</si>
  <si>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</si>
  <si>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</si>
  <si>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</si>
  <si>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</si>
  <si>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</si>
  <si>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</si>
  <si>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</si>
  <si>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</si>
  <si>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</si>
  <si>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</si>
  <si>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</si>
  <si>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</si>
  <si>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</si>
  <si>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</si>
  <si>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</si>
  <si>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</si>
  <si>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</si>
  <si>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</si>
  <si>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</si>
  <si>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</si>
  <si>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</si>
  <si>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</si>
  <si>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</si>
  <si>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</si>
  <si>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</si>
  <si>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</si>
  <si>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</si>
  <si>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</si>
  <si>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</si>
  <si>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</si>
  <si>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</si>
  <si>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</si>
  <si>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</si>
  <si>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</si>
  <si>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</si>
  <si>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</si>
  <si>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</si>
  <si>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</si>
  <si>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</si>
  <si>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</si>
  <si>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</si>
  <si>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</si>
  <si>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</si>
  <si>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</si>
  <si>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</si>
  <si>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</si>
  <si>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</si>
  <si>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</si>
  <si>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</si>
  <si>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</si>
  <si>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</si>
  <si>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</si>
  <si>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</si>
  <si>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</si>
  <si>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</si>
  <si>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</si>
  <si>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</si>
  <si>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</si>
  <si>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</si>
  <si>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</si>
  <si>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</si>
  <si>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</si>
  <si>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 xml:space="preserve">66</t>
  </si>
  <si>
    <t xml:space="preserve">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</si>
  <si>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</si>
  <si>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</si>
  <si>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</si>
  <si>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 xml:space="preserve">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</si>
  <si>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</si>
  <si>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</si>
  <si>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</si>
  <si>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 xml:space="preserve">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</si>
  <si>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</si>
  <si>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</si>
  <si>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</si>
  <si>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</si>
  <si>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</si>
  <si>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 xml:space="preserve">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</si>
  <si>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</si>
  <si>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</si>
  <si>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</si>
  <si>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</si>
  <si>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</si>
  <si>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</si>
  <si>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</si>
  <si>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</si>
  <si>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</si>
  <si>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</si>
  <si>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</si>
  <si>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</si>
  <si>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</si>
  <si>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</si>
  <si>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</si>
  <si>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</si>
  <si>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</si>
  <si>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</si>
  <si>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</si>
  <si>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</si>
  <si>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</si>
  <si>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</si>
  <si>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</si>
  <si>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 xml:space="preserve">2.5.1</t>
  </si>
  <si>
    <t xml:space="preserve">Средневзвешенная стоимость 1 кВт.ч (с учетом мощности)</t>
  </si>
  <si>
    <t xml:space="preserve">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</si>
  <si>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</si>
  <si>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</si>
  <si>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</si>
  <si>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</si>
  <si>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</si>
  <si>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 xml:space="preserve">9.1</t>
  </si>
  <si>
    <t xml:space="preserve">2.6.1</t>
  </si>
  <si>
    <t xml:space="preserve">Расходы на оплату труда основного производственного персонала</t>
  </si>
  <si>
    <t xml:space="preserve">9.2</t>
  </si>
  <si>
    <t xml:space="preserve">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</si>
  <si>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</si>
  <si>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</si>
  <si>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</si>
  <si>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</si>
  <si>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 xml:space="preserve">10.1</t>
  </si>
  <si>
    <t xml:space="preserve">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</si>
  <si>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</si>
  <si>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</si>
  <si>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 xml:space="preserve">10.2</t>
  </si>
  <si>
    <t xml:space="preserve">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</si>
  <si>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</si>
  <si>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</si>
  <si>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 xml:space="preserve">11.1</t>
  </si>
  <si>
    <t xml:space="preserve">2.8.1</t>
  </si>
  <si>
    <t xml:space="preserve">Расходы на амортизацию основных средств</t>
  </si>
  <si>
    <t xml:space="preserve">11.2</t>
  </si>
  <si>
    <t xml:space="preserve">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</si>
  <si>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</si>
  <si>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</si>
  <si>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</si>
  <si>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</si>
  <si>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</si>
  <si>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 xml:space="preserve">2.10</t>
  </si>
  <si>
    <t xml:space="preserve">Общепроизводственные расходы, в том числе:</t>
  </si>
  <si>
    <t xml:space="preserve">Указывается общая сумма общепроизводственных расходов.</t>
  </si>
  <si>
    <t xml:space="preserve">13.1</t>
  </si>
  <si>
    <t xml:space="preserve">2.10.1</t>
  </si>
  <si>
    <t xml:space="preserve">Расходы на текущий ремонт</t>
  </si>
  <si>
    <t xml:space="preserve">Указываются расходы на текущий ремонт, отнесенные к общепроизводственным расходам.</t>
  </si>
  <si>
    <t xml:space="preserve">13.2</t>
  </si>
  <si>
    <t xml:space="preserve">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</si>
  <si>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</si>
  <si>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</si>
  <si>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 xml:space="preserve">2.11</t>
  </si>
  <si>
    <t xml:space="preserve">Общехозяйственные расходы, в том числе:</t>
  </si>
  <si>
    <t xml:space="preserve">Указывается общая сумма общехозяйственных расходов.</t>
  </si>
  <si>
    <t xml:space="preserve">14.1</t>
  </si>
  <si>
    <t xml:space="preserve">2.11.1</t>
  </si>
  <si>
    <t xml:space="preserve">2.9.1</t>
  </si>
  <si>
    <t xml:space="preserve">Указываются расходы на текущий ремонт, отнесенные к общехозяйственным расходам.</t>
  </si>
  <si>
    <t xml:space="preserve">14.2</t>
  </si>
  <si>
    <t xml:space="preserve">2.11.2</t>
  </si>
  <si>
    <t xml:space="preserve">2.9.2</t>
  </si>
  <si>
    <t xml:space="preserve">Указываются расходы на капитальный ремонт, отнесенные к общехозяйственным расходам.</t>
  </si>
  <si>
    <t xml:space="preserve">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</si>
  <si>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</si>
  <si>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</si>
  <si>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</si>
  <si>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15.1</t>
  </si>
  <si>
    <t xml:space="preserve">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</si>
  <si>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</si>
  <si>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</si>
  <si>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</si>
  <si>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</si>
  <si>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xml:space="preserve">16.1</t>
  </si>
  <si>
    <t xml:space="preserve">2.13.1</t>
  </si>
  <si>
    <t xml:space="preserve">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</si>
  <si>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</si>
  <si>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</si>
  <si>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</si>
  <si>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</si>
  <si>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</si>
  <si>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</si>
  <si>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 xml:space="preserve">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</si>
  <si>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</si>
  <si>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</si>
  <si>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</si>
  <si>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</si>
  <si>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</si>
  <si>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</si>
  <si>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</si>
  <si>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</si>
  <si>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Изменение стоимости основных фондов за счет их ввода в эксплуатацию</t>
  </si>
  <si>
    <t xml:space="preserve">5.1.2</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</si>
  <si>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</si>
  <si>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</si>
  <si>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</si>
  <si>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</si>
  <si>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</si>
  <si>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 xml:space="preserve">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</si>
  <si>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</si>
  <si>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</si>
  <si>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</si>
  <si>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 xml:space="preserve">ж</t>
  </si>
  <si>
    <t xml:space="preserve">Объём поднятой воды</t>
  </si>
  <si>
    <t xml:space="preserve">з</t>
  </si>
  <si>
    <t xml:space="preserve">Объём покупной воды</t>
  </si>
  <si>
    <t xml:space="preserve">и</t>
  </si>
  <si>
    <t xml:space="preserve">Объём воды, пропущенной через очистные сооружения</t>
  </si>
  <si>
    <t xml:space="preserve">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</si>
  <si>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</si>
  <si>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</si>
  <si>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</si>
  <si>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</si>
  <si>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 xml:space="preserve">10.2.1</t>
  </si>
  <si>
    <t xml:space="preserve">Объём отпущенной потребителям воды, определенный по нормативам потребления коммунальных услуг</t>
  </si>
  <si>
    <t xml:space="preserve">10.2.2</t>
  </si>
  <si>
    <t xml:space="preserve">Объём отпущенной потребителям воды, определенный по нормативам потребления коммунальных ресурсов </t>
  </si>
  <si>
    <t xml:space="preserve">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</si>
  <si>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</si>
  <si>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</si>
  <si>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</si>
  <si>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</si>
  <si>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</si>
  <si>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</si>
  <si>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</si>
  <si>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</si>
  <si>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</si>
  <si>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</si>
  <si>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</si>
  <si>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</si>
  <si>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</si>
  <si>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</si>
  <si>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</si>
  <si>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</si>
  <si>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</si>
  <si>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</si>
  <si>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</si>
  <si>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 xml:space="preserve">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</si>
  <si>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</si>
  <si>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</si>
  <si>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 xml:space="preserve">10.3</t>
  </si>
  <si>
    <t xml:space="preserve">По нормативам потребления коммунальных услуг и нормативам потребления коммунальных ресурсов</t>
  </si>
  <si>
    <t xml:space="preserve">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</si>
  <si>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</si>
  <si>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 xml:space="preserve">н</t>
  </si>
  <si>
    <t xml:space="preserve">о</t>
  </si>
  <si>
    <t xml:space="preserve">п</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</si>
  <si>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</si>
  <si>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</si>
  <si>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</si>
  <si>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</si>
  <si>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</si>
  <si>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</si>
  <si>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</si>
  <si>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 xml:space="preserve">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</si>
  <si>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</si>
  <si>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</si>
  <si>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</si>
  <si>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 xml:space="preserve">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</si>
  <si>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</si>
  <si>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</si>
  <si>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 xml:space="preserve">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</si>
  <si>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</si>
  <si>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</si>
  <si>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</si>
  <si>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 xml:space="preserve">19.1</t>
  </si>
  <si>
    <t xml:space="preserve">Информация о показателях физического износа объектов теплоснабжения</t>
  </si>
  <si>
    <t xml:space="preserve">19.2</t>
  </si>
  <si>
    <t xml:space="preserve">Информация о показателях энергетической эффективности объектов теплоснабжения</t>
  </si>
  <si>
    <t xml:space="preserve">27/44</t>
  </si>
  <si>
    <t xml:space="preserve">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</si>
  <si>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</si>
  <si>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</si>
  <si>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</si>
  <si>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</si>
  <si>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</si>
  <si>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 xml:space="preserve">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</si>
  <si>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</si>
  <si>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</si>
  <si>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Цвет</t>
  </si>
  <si>
    <t xml:space="preserve">Раздел</t>
  </si>
  <si>
    <t xml:space="preserve">доп.листы</t>
  </si>
  <si>
    <t xml:space="preserve">готовность</t>
  </si>
  <si>
    <t xml:space="preserve">ИП</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</si>
  <si>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</si>
  <si>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</si>
  <si>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</si>
  <si>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</si>
  <si>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</si>
  <si>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</si>
  <si>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</si>
  <si>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</si>
  <si>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SPHERE</t>
  </si>
  <si>
    <t xml:space="preserve">2603</t>
  </si>
  <si>
    <t xml:space="preserve">26483206</t>
  </si>
  <si>
    <t xml:space="preserve">"Ярославский электровозоремонтный завод" им. Б.П. Бещева - филиал ОАО "Желдорреммаш"</t>
  </si>
  <si>
    <t xml:space="preserve">7715729877</t>
  </si>
  <si>
    <t xml:space="preserve">760443001</t>
  </si>
  <si>
    <t xml:space="preserve">26483393</t>
  </si>
  <si>
    <t xml:space="preserve">АО "Воентелеком"</t>
  </si>
  <si>
    <t xml:space="preserve">7718766718</t>
  </si>
  <si>
    <t xml:space="preserve">761043001</t>
  </si>
  <si>
    <t xml:space="preserve">18-06-2012 00:00:00</t>
  </si>
  <si>
    <t xml:space="preserve">26560525</t>
  </si>
  <si>
    <t xml:space="preserve">АО "ГУ ЖКХ"</t>
  </si>
  <si>
    <t xml:space="preserve">5116000922</t>
  </si>
  <si>
    <t xml:space="preserve">511601001</t>
  </si>
  <si>
    <t xml:space="preserve">13-05-2009 00:00:00</t>
  </si>
  <si>
    <t xml:space="preserve">26483350</t>
  </si>
  <si>
    <t xml:space="preserve">АО "Гаврилов-Ямский машиностроительный завод "Агат"</t>
  </si>
  <si>
    <t xml:space="preserve">7616002417</t>
  </si>
  <si>
    <t xml:space="preserve">761601001</t>
  </si>
  <si>
    <t xml:space="preserve">26483474</t>
  </si>
  <si>
    <t xml:space="preserve">АО "Даниловское ЖКХ"</t>
  </si>
  <si>
    <t xml:space="preserve">7617008098</t>
  </si>
  <si>
    <t xml:space="preserve">761701001</t>
  </si>
  <si>
    <t xml:space="preserve">26483427</t>
  </si>
  <si>
    <t xml:space="preserve">АО "Консервный завод "Поречский"</t>
  </si>
  <si>
    <t xml:space="preserve">7609015486</t>
  </si>
  <si>
    <t xml:space="preserve">760901001</t>
  </si>
  <si>
    <t xml:space="preserve">28822308</t>
  </si>
  <si>
    <t xml:space="preserve">АО "Малая комплексная энергетика"</t>
  </si>
  <si>
    <t xml:space="preserve">7612043797</t>
  </si>
  <si>
    <t xml:space="preserve">760601001</t>
  </si>
  <si>
    <t xml:space="preserve">26483153</t>
  </si>
  <si>
    <t xml:space="preserve">АО "Новый мир"</t>
  </si>
  <si>
    <t xml:space="preserve">7608001240</t>
  </si>
  <si>
    <t xml:space="preserve">760801001</t>
  </si>
  <si>
    <t xml:space="preserve">26483200</t>
  </si>
  <si>
    <t xml:space="preserve">АО "Норский керамический завод"</t>
  </si>
  <si>
    <t xml:space="preserve">7602013169</t>
  </si>
  <si>
    <t xml:space="preserve">760201001</t>
  </si>
  <si>
    <t xml:space="preserve">26514573</t>
  </si>
  <si>
    <t xml:space="preserve">АО "Первомайское коммунальное хозяйство"</t>
  </si>
  <si>
    <t xml:space="preserve">7623004895</t>
  </si>
  <si>
    <t xml:space="preserve">762301001</t>
  </si>
  <si>
    <t xml:space="preserve">26901857</t>
  </si>
  <si>
    <t xml:space="preserve">АО "РЭУ"</t>
  </si>
  <si>
    <t xml:space="preserve">7714783092</t>
  </si>
  <si>
    <t xml:space="preserve">332743001</t>
  </si>
  <si>
    <t xml:space="preserve">26483340</t>
  </si>
  <si>
    <t xml:space="preserve">АО "Ресурс"</t>
  </si>
  <si>
    <t xml:space="preserve">7616009483</t>
  </si>
  <si>
    <t xml:space="preserve">26483220</t>
  </si>
  <si>
    <t xml:space="preserve">АО "Русские краски"</t>
  </si>
  <si>
    <t xml:space="preserve">7605015012</t>
  </si>
  <si>
    <t xml:space="preserve">760501001</t>
  </si>
  <si>
    <t xml:space="preserve">05-08-2002 00:00:00</t>
  </si>
  <si>
    <t xml:space="preserve">26483401</t>
  </si>
  <si>
    <t xml:space="preserve">АО "Рыбинский завод приборостроения"</t>
  </si>
  <si>
    <t xml:space="preserve">7610062970</t>
  </si>
  <si>
    <t xml:space="preserve">761001001</t>
  </si>
  <si>
    <t xml:space="preserve">26483176</t>
  </si>
  <si>
    <t xml:space="preserve">АО "Старк-Ресурс"</t>
  </si>
  <si>
    <t xml:space="preserve">7601001072</t>
  </si>
  <si>
    <t xml:space="preserve">760401001</t>
  </si>
  <si>
    <t xml:space="preserve">28134686</t>
  </si>
  <si>
    <t xml:space="preserve">АО "Тутаевская ПГУ"</t>
  </si>
  <si>
    <t xml:space="preserve">7611020204</t>
  </si>
  <si>
    <t xml:space="preserve">761101001</t>
  </si>
  <si>
    <t xml:space="preserve">26483196</t>
  </si>
  <si>
    <t xml:space="preserve">АО "Хром"</t>
  </si>
  <si>
    <t xml:space="preserve">7601001724</t>
  </si>
  <si>
    <t xml:space="preserve">28507030</t>
  </si>
  <si>
    <t xml:space="preserve">АО "Яркоммунсервис"</t>
  </si>
  <si>
    <t xml:space="preserve">7602090950</t>
  </si>
  <si>
    <t xml:space="preserve">06-04-2012 00:00:00</t>
  </si>
  <si>
    <t xml:space="preserve">26483230</t>
  </si>
  <si>
    <t xml:space="preserve">АО "Ярославльводоканал"</t>
  </si>
  <si>
    <t xml:space="preserve">7606069518</t>
  </si>
  <si>
    <t xml:space="preserve">26569087</t>
  </si>
  <si>
    <t xml:space="preserve">АО "Ярославская генерирующая компания"</t>
  </si>
  <si>
    <t xml:space="preserve">7604178769</t>
  </si>
  <si>
    <t xml:space="preserve">30919361</t>
  </si>
  <si>
    <t xml:space="preserve">АО "Ярославские ЭнергоСистемы"</t>
  </si>
  <si>
    <t xml:space="preserve">7603066822</t>
  </si>
  <si>
    <t xml:space="preserve">27-01-2017 00:00:00</t>
  </si>
  <si>
    <t xml:space="preserve">26483194</t>
  </si>
  <si>
    <t xml:space="preserve">АО "Ярославский вагоноремонтный завод "Ремпутьмаш"</t>
  </si>
  <si>
    <t xml:space="preserve">7603030907</t>
  </si>
  <si>
    <t xml:space="preserve">26811543</t>
  </si>
  <si>
    <t xml:space="preserve">АО "Ярославский технический углерод имени В.Ю. Орлова"</t>
  </si>
  <si>
    <t xml:space="preserve">7605000714</t>
  </si>
  <si>
    <t xml:space="preserve">760450001</t>
  </si>
  <si>
    <t xml:space="preserve">26483352</t>
  </si>
  <si>
    <t xml:space="preserve">Великосельское МП ЖКХ</t>
  </si>
  <si>
    <t xml:space="preserve">7616006563</t>
  </si>
  <si>
    <t xml:space="preserve">26483369</t>
  </si>
  <si>
    <t xml:space="preserve">ГП ЯО "Северный водоканал"</t>
  </si>
  <si>
    <t xml:space="preserve">7610012391</t>
  </si>
  <si>
    <t xml:space="preserve">30808282</t>
  </si>
  <si>
    <t xml:space="preserve">ГП ЯО "Южный водоканал"</t>
  </si>
  <si>
    <t xml:space="preserve">7609036849</t>
  </si>
  <si>
    <t xml:space="preserve">26483431</t>
  </si>
  <si>
    <t xml:space="preserve">ЗАО "Атрус"</t>
  </si>
  <si>
    <t xml:space="preserve">7609002208</t>
  </si>
  <si>
    <t xml:space="preserve">16-09-1996 00:00:00</t>
  </si>
  <si>
    <t xml:space="preserve">26483190</t>
  </si>
  <si>
    <t xml:space="preserve">ЗАО "Волгаэнергоресурс"</t>
  </si>
  <si>
    <t xml:space="preserve">7602053796</t>
  </si>
  <si>
    <t xml:space="preserve">760101001</t>
  </si>
  <si>
    <t xml:space="preserve">26525046</t>
  </si>
  <si>
    <t xml:space="preserve">ЗАО "Железобетон"</t>
  </si>
  <si>
    <t xml:space="preserve">7601000262</t>
  </si>
  <si>
    <t xml:space="preserve">26483320</t>
  </si>
  <si>
    <t xml:space="preserve">ЗАО "Левашово"</t>
  </si>
  <si>
    <t xml:space="preserve">7621000461</t>
  </si>
  <si>
    <t xml:space="preserve">762101001</t>
  </si>
  <si>
    <t xml:space="preserve">26514513</t>
  </si>
  <si>
    <t xml:space="preserve">ЗАО "Пансионат отдыха "Ярославль"</t>
  </si>
  <si>
    <t xml:space="preserve">7627015577</t>
  </si>
  <si>
    <t xml:space="preserve">762701001</t>
  </si>
  <si>
    <t xml:space="preserve">26649288</t>
  </si>
  <si>
    <t xml:space="preserve">ЗАО "Санаторий имени Воровского"</t>
  </si>
  <si>
    <t xml:space="preserve">7626001860</t>
  </si>
  <si>
    <t xml:space="preserve">26649314</t>
  </si>
  <si>
    <t xml:space="preserve">ЗАО "Ярославль-Резинотехника"</t>
  </si>
  <si>
    <t xml:space="preserve">7603024491</t>
  </si>
  <si>
    <t xml:space="preserve">26483338</t>
  </si>
  <si>
    <t xml:space="preserve">Любимское МУП ЖКХ</t>
  </si>
  <si>
    <t xml:space="preserve">7618000140</t>
  </si>
  <si>
    <t xml:space="preserve">761801001</t>
  </si>
  <si>
    <t xml:space="preserve">МИНИСТЕРСТВО ТАРИФНОГО РЕГУЛИРОВАНИЯ ЯРОСЛАВСКОЙ ОБЛАСТИ</t>
  </si>
  <si>
    <t xml:space="preserve">7604384296</t>
  </si>
  <si>
    <t xml:space="preserve">30792750</t>
  </si>
  <si>
    <t xml:space="preserve">МКП «Теплосервис»</t>
  </si>
  <si>
    <t xml:space="preserve">7617009623</t>
  </si>
  <si>
    <t xml:space="preserve">31327447</t>
  </si>
  <si>
    <t xml:space="preserve">МП ЯМР "Теплоресурс"</t>
  </si>
  <si>
    <t xml:space="preserve">7627051712</t>
  </si>
  <si>
    <t xml:space="preserve">16-01-2019 00:00:00</t>
  </si>
  <si>
    <t xml:space="preserve">26483463</t>
  </si>
  <si>
    <t xml:space="preserve">МУП "Коммунальник"</t>
  </si>
  <si>
    <t xml:space="preserve">7613004085</t>
  </si>
  <si>
    <t xml:space="preserve">761301001</t>
  </si>
  <si>
    <t xml:space="preserve">30344297</t>
  </si>
  <si>
    <t xml:space="preserve">МУП "Коммунальное хозяйство"</t>
  </si>
  <si>
    <t xml:space="preserve">7615011610</t>
  </si>
  <si>
    <t xml:space="preserve">761501001</t>
  </si>
  <si>
    <t xml:space="preserve">28505444</t>
  </si>
  <si>
    <t xml:space="preserve">МУП "Любимский теплосервис"</t>
  </si>
  <si>
    <t xml:space="preserve">7618004018</t>
  </si>
  <si>
    <t xml:space="preserve">15-10-2013 00:00:00</t>
  </si>
  <si>
    <t xml:space="preserve">26483443</t>
  </si>
  <si>
    <t xml:space="preserve">МУП "Октябрьское жилищно-коммунальное хозяйство"</t>
  </si>
  <si>
    <t xml:space="preserve">7620004833</t>
  </si>
  <si>
    <t xml:space="preserve">762001001</t>
  </si>
  <si>
    <t xml:space="preserve">26483240</t>
  </si>
  <si>
    <t xml:space="preserve">МУП "Предприятие коммунально-бытового обслуживания"</t>
  </si>
  <si>
    <t xml:space="preserve">7612039712</t>
  </si>
  <si>
    <t xml:space="preserve">761201001</t>
  </si>
  <si>
    <t xml:space="preserve">28442711</t>
  </si>
  <si>
    <t xml:space="preserve">МУП "РКЦ ЖКУ"</t>
  </si>
  <si>
    <t xml:space="preserve">7621006030</t>
  </si>
  <si>
    <t xml:space="preserve">31224727</t>
  </si>
  <si>
    <t xml:space="preserve">МУП "Расчетный центр"</t>
  </si>
  <si>
    <t xml:space="preserve">7609018487</t>
  </si>
  <si>
    <t xml:space="preserve">05-12-2016 00:00:00</t>
  </si>
  <si>
    <t xml:space="preserve">26483622</t>
  </si>
  <si>
    <t xml:space="preserve">МУП "Спектр"</t>
  </si>
  <si>
    <t xml:space="preserve">7608011873</t>
  </si>
  <si>
    <t xml:space="preserve">27569386</t>
  </si>
  <si>
    <t xml:space="preserve">МУП "Тепловые сети"</t>
  </si>
  <si>
    <t xml:space="preserve">7612043980</t>
  </si>
  <si>
    <t xml:space="preserve">31221168</t>
  </si>
  <si>
    <t xml:space="preserve">МУП "Теплосервис"</t>
  </si>
  <si>
    <t xml:space="preserve">7608036268</t>
  </si>
  <si>
    <t xml:space="preserve">17-09-2018 00:00:00</t>
  </si>
  <si>
    <t xml:space="preserve">29646676</t>
  </si>
  <si>
    <t xml:space="preserve">МУП "Энергетический ресурс" Некрасовского муниципального района</t>
  </si>
  <si>
    <t xml:space="preserve">7621010075</t>
  </si>
  <si>
    <t xml:space="preserve">30791907</t>
  </si>
  <si>
    <t xml:space="preserve">МУП «Энергоресурс» УМР</t>
  </si>
  <si>
    <t xml:space="preserve">7612046371</t>
  </si>
  <si>
    <t xml:space="preserve">26483373</t>
  </si>
  <si>
    <t xml:space="preserve">МУП ГО г.Рыбинск "Теплоэнерго"</t>
  </si>
  <si>
    <t xml:space="preserve">7610044403</t>
  </si>
  <si>
    <t xml:space="preserve">11-06-1998 00:00:00</t>
  </si>
  <si>
    <t xml:space="preserve">30881192</t>
  </si>
  <si>
    <t xml:space="preserve">МУП ЖКХ "Акватерм-сервис"</t>
  </si>
  <si>
    <t xml:space="preserve">7614004641</t>
  </si>
  <si>
    <t xml:space="preserve">761401001</t>
  </si>
  <si>
    <t xml:space="preserve">28425128</t>
  </si>
  <si>
    <t xml:space="preserve">МУП ЖКХ "Бурмакино"</t>
  </si>
  <si>
    <t xml:space="preserve">7621009707</t>
  </si>
  <si>
    <t xml:space="preserve">28821524</t>
  </si>
  <si>
    <t xml:space="preserve">МУП ЖКХ Первомайского муниципального района Ярославской области "Теплоснаб"</t>
  </si>
  <si>
    <t xml:space="preserve">7623005151</t>
  </si>
  <si>
    <t xml:space="preserve">26483304</t>
  </si>
  <si>
    <t xml:space="preserve">МУП РМР ЯО "Коммунальные системы"</t>
  </si>
  <si>
    <t xml:space="preserve">7610074824</t>
  </si>
  <si>
    <t xml:space="preserve">30345479</t>
  </si>
  <si>
    <t xml:space="preserve">МУП РМР ЯО "Система ЖКХ"</t>
  </si>
  <si>
    <t xml:space="preserve">7610088016</t>
  </si>
  <si>
    <t xml:space="preserve">31355330</t>
  </si>
  <si>
    <t xml:space="preserve">МУП ТМР "ТутаевТеплоЭнерго"</t>
  </si>
  <si>
    <t xml:space="preserve">7611026862</t>
  </si>
  <si>
    <t xml:space="preserve">25-10-2019 00:00:00</t>
  </si>
  <si>
    <t xml:space="preserve">28443212</t>
  </si>
  <si>
    <t xml:space="preserve">МУП ТМР "Тутаевские коммунальные системы"</t>
  </si>
  <si>
    <t xml:space="preserve">7611022836</t>
  </si>
  <si>
    <t xml:space="preserve">26483455</t>
  </si>
  <si>
    <t xml:space="preserve">ОАО "Даниловский маслосырзвод"</t>
  </si>
  <si>
    <t xml:space="preserve">7617000268</t>
  </si>
  <si>
    <t xml:space="preserve">26514525</t>
  </si>
  <si>
    <t xml:space="preserve">ОАО "ЖКХ "Заволжье"</t>
  </si>
  <si>
    <t xml:space="preserve">7627032974</t>
  </si>
  <si>
    <t xml:space="preserve">26524667</t>
  </si>
  <si>
    <t xml:space="preserve">ОАО "Инкомпроект-Инвест"</t>
  </si>
  <si>
    <t xml:space="preserve">7604149662</t>
  </si>
  <si>
    <t xml:space="preserve">26483184</t>
  </si>
  <si>
    <t xml:space="preserve">ОАО "Компания "Спектр"</t>
  </si>
  <si>
    <t xml:space="preserve">7609012894</t>
  </si>
  <si>
    <t xml:space="preserve">26483417</t>
  </si>
  <si>
    <t xml:space="preserve">ОАО "Петровский завод ЖБИ"</t>
  </si>
  <si>
    <t xml:space="preserve">7609012573</t>
  </si>
  <si>
    <t xml:space="preserve">26483375</t>
  </si>
  <si>
    <t xml:space="preserve">ОАО "Рыбинскхлеб"</t>
  </si>
  <si>
    <t xml:space="preserve">7610005796</t>
  </si>
  <si>
    <t xml:space="preserve">27548439</t>
  </si>
  <si>
    <t xml:space="preserve">ОАО "Санаторий "Красный Холм"</t>
  </si>
  <si>
    <t xml:space="preserve">7627015619</t>
  </si>
  <si>
    <t xml:space="preserve">26483162</t>
  </si>
  <si>
    <t xml:space="preserve">ОАО "Яргортеплоэнерго"</t>
  </si>
  <si>
    <t xml:space="preserve">7606047507</t>
  </si>
  <si>
    <t xml:space="preserve">26483174</t>
  </si>
  <si>
    <t xml:space="preserve">ОАО "Ярославский комбинат технических тканей "Красный Перекоп"</t>
  </si>
  <si>
    <t xml:space="preserve">7601001146</t>
  </si>
  <si>
    <t xml:space="preserve">26483198</t>
  </si>
  <si>
    <t xml:space="preserve">ООО "АДС"</t>
  </si>
  <si>
    <t xml:space="preserve">7604008710</t>
  </si>
  <si>
    <t xml:space="preserve">31357107</t>
  </si>
  <si>
    <t xml:space="preserve">ООО "Агентство территориального развития"</t>
  </si>
  <si>
    <t xml:space="preserve">7733553954</t>
  </si>
  <si>
    <t xml:space="preserve">773301001</t>
  </si>
  <si>
    <t xml:space="preserve">17-10-2005 00:00:00</t>
  </si>
  <si>
    <t xml:space="preserve">31094278</t>
  </si>
  <si>
    <t xml:space="preserve">ООО "Атлас-М"</t>
  </si>
  <si>
    <t xml:space="preserve">7731444999</t>
  </si>
  <si>
    <t xml:space="preserve">773101001</t>
  </si>
  <si>
    <t xml:space="preserve">04-04-2013 00:00:00</t>
  </si>
  <si>
    <t xml:space="preserve">31644581</t>
  </si>
  <si>
    <t xml:space="preserve">ООО "Бюро развития территорий"</t>
  </si>
  <si>
    <t xml:space="preserve">7733568245</t>
  </si>
  <si>
    <t xml:space="preserve">11-05-2006 00:00:00</t>
  </si>
  <si>
    <t xml:space="preserve">31224721</t>
  </si>
  <si>
    <t xml:space="preserve">ООО "Велмекс"</t>
  </si>
  <si>
    <t xml:space="preserve">7728231310</t>
  </si>
  <si>
    <t xml:space="preserve">503201001</t>
  </si>
  <si>
    <t xml:space="preserve">31-10-2002 00:00:00</t>
  </si>
  <si>
    <t xml:space="preserve">12-01-2015 00:00:00</t>
  </si>
  <si>
    <t xml:space="preserve">31639442</t>
  </si>
  <si>
    <t xml:space="preserve">ООО "Гефест"</t>
  </si>
  <si>
    <t xml:space="preserve">7604370092</t>
  </si>
  <si>
    <t xml:space="preserve">02-10-2020 00:00:00</t>
  </si>
  <si>
    <t xml:space="preserve">31661170</t>
  </si>
  <si>
    <t xml:space="preserve">ООО "Городские коммунальные сети"</t>
  </si>
  <si>
    <t xml:space="preserve">7627056284</t>
  </si>
  <si>
    <t xml:space="preserve">29-04-2022 00:00:00</t>
  </si>
  <si>
    <t xml:space="preserve">31723124</t>
  </si>
  <si>
    <t xml:space="preserve">ООО "Инвест-Аудит"</t>
  </si>
  <si>
    <t xml:space="preserve">7606073440</t>
  </si>
  <si>
    <t xml:space="preserve">15-12-2023 00:00:00</t>
  </si>
  <si>
    <t xml:space="preserve">31036525</t>
  </si>
  <si>
    <t xml:space="preserve">ООО "Компания "Мастер-Сервис"</t>
  </si>
  <si>
    <t xml:space="preserve">7604137836</t>
  </si>
  <si>
    <t xml:space="preserve">21-07-2008 00:00:00</t>
  </si>
  <si>
    <t xml:space="preserve">31085027</t>
  </si>
  <si>
    <t xml:space="preserve">ООО "Котельная промплощадки"</t>
  </si>
  <si>
    <t xml:space="preserve">7609038275</t>
  </si>
  <si>
    <t xml:space="preserve">23-01-2018 00:00:00</t>
  </si>
  <si>
    <t xml:space="preserve">28981279</t>
  </si>
  <si>
    <t xml:space="preserve">ООО "ЛКМ"</t>
  </si>
  <si>
    <t xml:space="preserve">7610110198</t>
  </si>
  <si>
    <t xml:space="preserve">21-05-2015 00:00:00</t>
  </si>
  <si>
    <t xml:space="preserve">27568785</t>
  </si>
  <si>
    <t xml:space="preserve">ООО "Муниципальные коммунальные системы"</t>
  </si>
  <si>
    <t xml:space="preserve">7627036930</t>
  </si>
  <si>
    <t xml:space="preserve">26649427</t>
  </si>
  <si>
    <t xml:space="preserve">ООО "Муниципальные энергетические системы"</t>
  </si>
  <si>
    <t xml:space="preserve">7727575942</t>
  </si>
  <si>
    <t xml:space="preserve">26525313</t>
  </si>
  <si>
    <t xml:space="preserve">ООО "Мясопродукт"</t>
  </si>
  <si>
    <t xml:space="preserve">7610041709</t>
  </si>
  <si>
    <t xml:space="preserve">31230718</t>
  </si>
  <si>
    <t xml:space="preserve">ООО "ОРЦ Ярославль"</t>
  </si>
  <si>
    <t xml:space="preserve">2311234703</t>
  </si>
  <si>
    <t xml:space="preserve">231101001</t>
  </si>
  <si>
    <t xml:space="preserve">12-04-2017 00:00:00</t>
  </si>
  <si>
    <t xml:space="preserve">31313217</t>
  </si>
  <si>
    <t xml:space="preserve">ООО "Прогресс"</t>
  </si>
  <si>
    <t xml:space="preserve">7627052000</t>
  </si>
  <si>
    <t xml:space="preserve">28-03-2019 00:00:00</t>
  </si>
  <si>
    <t xml:space="preserve">30794646</t>
  </si>
  <si>
    <t xml:space="preserve">ООО "Промцентр"</t>
  </si>
  <si>
    <t xml:space="preserve">7604234854</t>
  </si>
  <si>
    <t xml:space="preserve">31604496</t>
  </si>
  <si>
    <t xml:space="preserve">ООО "РЭНСОМ"</t>
  </si>
  <si>
    <t xml:space="preserve">6450083431</t>
  </si>
  <si>
    <t xml:space="preserve">645001001</t>
  </si>
  <si>
    <t xml:space="preserve">26525309</t>
  </si>
  <si>
    <t xml:space="preserve">ООО "Раскат-РОС"</t>
  </si>
  <si>
    <t xml:space="preserve">7610059375</t>
  </si>
  <si>
    <t xml:space="preserve">761001002</t>
  </si>
  <si>
    <t xml:space="preserve">31543125</t>
  </si>
  <si>
    <t xml:space="preserve">ООО "Росттехсервис"</t>
  </si>
  <si>
    <t xml:space="preserve">7609038170</t>
  </si>
  <si>
    <t xml:space="preserve">04-12-2017 00:00:00</t>
  </si>
  <si>
    <t xml:space="preserve">31352310</t>
  </si>
  <si>
    <t xml:space="preserve">ООО "Рыбинская генерация"</t>
  </si>
  <si>
    <t xml:space="preserve">4401158338</t>
  </si>
  <si>
    <t xml:space="preserve">14-08-2018 00:00:00</t>
  </si>
  <si>
    <t xml:space="preserve">27965323</t>
  </si>
  <si>
    <t xml:space="preserve">ООО "Рыбинсккабель"</t>
  </si>
  <si>
    <t xml:space="preserve">7610093062</t>
  </si>
  <si>
    <t xml:space="preserve">761050001</t>
  </si>
  <si>
    <t xml:space="preserve">31304319</t>
  </si>
  <si>
    <t xml:space="preserve">ООО "СЗЦ "Энергоконсультант"</t>
  </si>
  <si>
    <t xml:space="preserve">7627036016</t>
  </si>
  <si>
    <t xml:space="preserve">24-12-2010 00:00:00</t>
  </si>
  <si>
    <t xml:space="preserve">30925371</t>
  </si>
  <si>
    <t xml:space="preserve">ООО "СК РЕЗЕРВ"</t>
  </si>
  <si>
    <t xml:space="preserve">7604290834</t>
  </si>
  <si>
    <t xml:space="preserve">01-06-2017 00:00:00</t>
  </si>
  <si>
    <t xml:space="preserve">26483296</t>
  </si>
  <si>
    <t xml:space="preserve">ООО "Санаторий "Черная речка"</t>
  </si>
  <si>
    <t xml:space="preserve">7610057882</t>
  </si>
  <si>
    <t xml:space="preserve">26483336</t>
  </si>
  <si>
    <t xml:space="preserve">ООО "Санаторий Золотой колос"</t>
  </si>
  <si>
    <t xml:space="preserve">7621006054</t>
  </si>
  <si>
    <t xml:space="preserve">27555004</t>
  </si>
  <si>
    <t xml:space="preserve">ООО "Спецторг Плюс"</t>
  </si>
  <si>
    <t xml:space="preserve">7604076460</t>
  </si>
  <si>
    <t xml:space="preserve">31-05-2005 00:00:00</t>
  </si>
  <si>
    <t xml:space="preserve">30814222</t>
  </si>
  <si>
    <t xml:space="preserve">ООО "Строительная Компания Сокол"</t>
  </si>
  <si>
    <t xml:space="preserve">7604165544</t>
  </si>
  <si>
    <t xml:space="preserve">31459589</t>
  </si>
  <si>
    <t xml:space="preserve">ООО "ТЭК сервис"</t>
  </si>
  <si>
    <t xml:space="preserve">7627053540</t>
  </si>
  <si>
    <t xml:space="preserve">01-08-2020 00:00:00</t>
  </si>
  <si>
    <t xml:space="preserve">31026191</t>
  </si>
  <si>
    <t xml:space="preserve">ООО "ТеплоСервис"</t>
  </si>
  <si>
    <t xml:space="preserve">7612048474</t>
  </si>
  <si>
    <t xml:space="preserve">13-09-2017 00:00:00</t>
  </si>
  <si>
    <t xml:space="preserve">28982870</t>
  </si>
  <si>
    <t xml:space="preserve">ООО "ТеплоЭнергоСтройМонтаж"</t>
  </si>
  <si>
    <t xml:space="preserve">7606074821</t>
  </si>
  <si>
    <t xml:space="preserve">01-05-2015 00:00:00</t>
  </si>
  <si>
    <t xml:space="preserve">31711855</t>
  </si>
  <si>
    <t xml:space="preserve">ООО "Тепловая компания"</t>
  </si>
  <si>
    <t xml:space="preserve">7627058732</t>
  </si>
  <si>
    <t xml:space="preserve">07-08-2023 00:00:00</t>
  </si>
  <si>
    <t xml:space="preserve">27569416</t>
  </si>
  <si>
    <t xml:space="preserve">ООО "Тепловая энергетическая компания - 1"</t>
  </si>
  <si>
    <t xml:space="preserve">7604188573</t>
  </si>
  <si>
    <t xml:space="preserve">26516086</t>
  </si>
  <si>
    <t xml:space="preserve">ООО "Теплогазсервис"</t>
  </si>
  <si>
    <t xml:space="preserve">4415006543</t>
  </si>
  <si>
    <t xml:space="preserve">441501001</t>
  </si>
  <si>
    <t xml:space="preserve">31542760</t>
  </si>
  <si>
    <t xml:space="preserve">ООО "Теплорезерв"</t>
  </si>
  <si>
    <t xml:space="preserve">7603075760</t>
  </si>
  <si>
    <t xml:space="preserve">21-04-2021 00:00:00</t>
  </si>
  <si>
    <t xml:space="preserve">30796099</t>
  </si>
  <si>
    <t xml:space="preserve">ООО "Теплотехник"</t>
  </si>
  <si>
    <t xml:space="preserve">7604278428</t>
  </si>
  <si>
    <t xml:space="preserve">26483204</t>
  </si>
  <si>
    <t xml:space="preserve">ООО "ТехЭкспо"</t>
  </si>
  <si>
    <t xml:space="preserve">7604122607</t>
  </si>
  <si>
    <t xml:space="preserve">31742623</t>
  </si>
  <si>
    <t xml:space="preserve">ООО "Тутаевская ПГУ"</t>
  </si>
  <si>
    <t xml:space="preserve">1683018700</t>
  </si>
  <si>
    <t xml:space="preserve">168301001</t>
  </si>
  <si>
    <t xml:space="preserve">22-01-2024 00:00:00</t>
  </si>
  <si>
    <t xml:space="preserve">26525371</t>
  </si>
  <si>
    <t xml:space="preserve">ООО "УК Левобережье"</t>
  </si>
  <si>
    <t xml:space="preserve">7611018780</t>
  </si>
  <si>
    <t xml:space="preserve">28459632</t>
  </si>
  <si>
    <t xml:space="preserve">ООО "УМПРЭО"</t>
  </si>
  <si>
    <t xml:space="preserve">7612038469</t>
  </si>
  <si>
    <t xml:space="preserve">26-11-2007 00:00:00</t>
  </si>
  <si>
    <t xml:space="preserve">31094256</t>
  </si>
  <si>
    <t xml:space="preserve">ООО "УСМЗ"</t>
  </si>
  <si>
    <t xml:space="preserve">7612048636</t>
  </si>
  <si>
    <t xml:space="preserve">05-03-2018 00:00:00</t>
  </si>
  <si>
    <t xml:space="preserve">26483244</t>
  </si>
  <si>
    <t xml:space="preserve">ООО "Угличский завод минеральной воды"</t>
  </si>
  <si>
    <t xml:space="preserve">7612003339</t>
  </si>
  <si>
    <t xml:space="preserve">28135241</t>
  </si>
  <si>
    <t xml:space="preserve">ООО "Управляющая производственно-торговая компания "Топливоподающие системы"</t>
  </si>
  <si>
    <t xml:space="preserve">7603013073</t>
  </si>
  <si>
    <t xml:space="preserve">01-01-2013 00:00:00</t>
  </si>
  <si>
    <t xml:space="preserve">30856146</t>
  </si>
  <si>
    <t xml:space="preserve">ООО "Уют Сервис"</t>
  </si>
  <si>
    <t xml:space="preserve">7604234678</t>
  </si>
  <si>
    <t xml:space="preserve">28453584</t>
  </si>
  <si>
    <t xml:space="preserve">ООО "Хуадянь-Тенинская ТЭЦ"</t>
  </si>
  <si>
    <t xml:space="preserve">7604217961</t>
  </si>
  <si>
    <t xml:space="preserve">30-01-2018 00:00:00</t>
  </si>
  <si>
    <t xml:space="preserve">31457276</t>
  </si>
  <si>
    <t xml:space="preserve">ООО "ЭКОПЕТРОВСК"</t>
  </si>
  <si>
    <t xml:space="preserve">6444009736</t>
  </si>
  <si>
    <t xml:space="preserve">644401001</t>
  </si>
  <si>
    <t xml:space="preserve">13-02-2018 00:00:00</t>
  </si>
  <si>
    <t xml:space="preserve">26483210</t>
  </si>
  <si>
    <t xml:space="preserve">ООО "Энергия-1"</t>
  </si>
  <si>
    <t xml:space="preserve">7605005021</t>
  </si>
  <si>
    <t xml:space="preserve">27971145</t>
  </si>
  <si>
    <t xml:space="preserve">ООО "Энергокомпания"</t>
  </si>
  <si>
    <t xml:space="preserve">7612044470</t>
  </si>
  <si>
    <t xml:space="preserve">26483164</t>
  </si>
  <si>
    <t xml:space="preserve">ООО "Ярославская фабрика валяной обуви"</t>
  </si>
  <si>
    <t xml:space="preserve">7603015433</t>
  </si>
  <si>
    <t xml:space="preserve">31096235</t>
  </si>
  <si>
    <t xml:space="preserve">ООО "Ярославские коммунальные сети"</t>
  </si>
  <si>
    <t xml:space="preserve">7602092114</t>
  </si>
  <si>
    <t xml:space="preserve">31314675</t>
  </si>
  <si>
    <t xml:space="preserve">17-05-2019 00:00:00</t>
  </si>
  <si>
    <t xml:space="preserve">31458273</t>
  </si>
  <si>
    <t xml:space="preserve">Общество с ограниченной ответственностью "Комплекс развития территорий"</t>
  </si>
  <si>
    <t xml:space="preserve">7733528958</t>
  </si>
  <si>
    <t xml:space="preserve">16-09-2004 00:00:00</t>
  </si>
  <si>
    <t xml:space="preserve">26483403</t>
  </si>
  <si>
    <t xml:space="preserve">ПАО "Научно-производственное объединение Фильтры индустриальные газоочистные"</t>
  </si>
  <si>
    <t xml:space="preserve">7609001719</t>
  </si>
  <si>
    <t xml:space="preserve">26483377</t>
  </si>
  <si>
    <t xml:space="preserve">ПАО "ОДК-Сатурн"</t>
  </si>
  <si>
    <t xml:space="preserve">7610052644</t>
  </si>
  <si>
    <t xml:space="preserve">26514608</t>
  </si>
  <si>
    <t xml:space="preserve">ПАО "РОМЗ"</t>
  </si>
  <si>
    <t xml:space="preserve">7609000881</t>
  </si>
  <si>
    <t xml:space="preserve">26523308</t>
  </si>
  <si>
    <t xml:space="preserve">ПАО "ТГК-2"</t>
  </si>
  <si>
    <t xml:space="preserve">7606053324</t>
  </si>
  <si>
    <t xml:space="preserve">26483170</t>
  </si>
  <si>
    <t xml:space="preserve">760631001</t>
  </si>
  <si>
    <t xml:space="preserve">31024154</t>
  </si>
  <si>
    <t xml:space="preserve">ПАО "Ярославский завод "Красный Маяк"</t>
  </si>
  <si>
    <t xml:space="preserve">7601000022</t>
  </si>
  <si>
    <t xml:space="preserve">01-11-2017 00:00:00</t>
  </si>
  <si>
    <t xml:space="preserve">26650304</t>
  </si>
  <si>
    <t xml:space="preserve">ПАО "Ярославский ордена Ленина и ордена Октябрьской революции шинный завод"</t>
  </si>
  <si>
    <t xml:space="preserve">7601001509</t>
  </si>
  <si>
    <t xml:space="preserve">760150001</t>
  </si>
  <si>
    <t xml:space="preserve">26483178</t>
  </si>
  <si>
    <t xml:space="preserve">ПАО "Ярославский радиозавод"</t>
  </si>
  <si>
    <t xml:space="preserve">7601000086</t>
  </si>
  <si>
    <t xml:space="preserve">26836275</t>
  </si>
  <si>
    <t xml:space="preserve">Северная Дирекция по тепловодоснабжению структурное подразделение Центральной дирекции по тепловодоснабжению - филиала ОАО "РЖД"</t>
  </si>
  <si>
    <t xml:space="preserve">7708503727</t>
  </si>
  <si>
    <t xml:space="preserve">760445028</t>
  </si>
  <si>
    <t xml:space="preserve">30903763</t>
  </si>
  <si>
    <t xml:space="preserve">ФГБУ "ЦЖКУ" МИНОБОРОНЫ РОССИИ</t>
  </si>
  <si>
    <t xml:space="preserve">7729314745</t>
  </si>
  <si>
    <t xml:space="preserve">770101001</t>
  </si>
  <si>
    <t xml:space="preserve">31499853</t>
  </si>
  <si>
    <t xml:space="preserve">ФГБУ ЦЖКУ МО РФ (филиал по ЗВО) ЖКС № 19</t>
  </si>
  <si>
    <t xml:space="preserve">760445004</t>
  </si>
  <si>
    <t xml:space="preserve">26483391</t>
  </si>
  <si>
    <t xml:space="preserve">ФКУ Следственный изолятор 2 УФСИН по Ярославской области</t>
  </si>
  <si>
    <t xml:space="preserve">7610028000</t>
  </si>
  <si>
    <t xml:space="preserve">28160602</t>
  </si>
  <si>
    <t xml:space="preserve">ФКУ Следственный изолятор № 1 УФСИН России по Ярославской области</t>
  </si>
  <si>
    <t xml:space="preserve">7607008444</t>
  </si>
  <si>
    <t xml:space="preserve">31253180</t>
  </si>
  <si>
    <t xml:space="preserve">Филиал "Крома" ООО "Завод Технофлекс"</t>
  </si>
  <si>
    <t xml:space="preserve">6229024796</t>
  </si>
  <si>
    <t xml:space="preserve">22-06-2018 00:00:00</t>
  </si>
  <si>
    <t xml:space="preserve">30849324</t>
  </si>
  <si>
    <t xml:space="preserve">Филиал АО "Кордиант" в городе Ярославле (ЯШЗ)</t>
  </si>
  <si>
    <t xml:space="preserve">760643002</t>
  </si>
  <si>
    <t xml:space="preserve">07-10-2016 00:00:00</t>
  </si>
  <si>
    <t xml:space="preserve">26483447</t>
  </si>
  <si>
    <t xml:space="preserve">Филиал ООО "Транснефть-Балтика"-Ярославское районное нефтепроводное управление</t>
  </si>
  <si>
    <t xml:space="preserve">4704041900</t>
  </si>
  <si>
    <t xml:space="preserve">762702001</t>
  </si>
  <si>
    <t xml:space="preserve">26649247</t>
  </si>
  <si>
    <t xml:space="preserve">Филиал в Ярославской и Костромской областях ПАО междугородной и международной электрической связи "Ростелеком"</t>
  </si>
  <si>
    <t xml:space="preserve">7707049388</t>
  </si>
  <si>
    <t xml:space="preserve">760443003</t>
  </si>
  <si>
    <t xml:space="preserve">26524662</t>
  </si>
  <si>
    <t xml:space="preserve">ЧУЗ "КБ "РЖД-Медицина" г. Ярославль</t>
  </si>
  <si>
    <t xml:space="preserve">7604068188</t>
  </si>
  <si>
    <t xml:space="preserve">28798643</t>
  </si>
  <si>
    <t xml:space="preserve">Ярославская дистанция гражданских сооружений СП Северной дирекции по эксплуатации зданий и сооружений СП СЖД филиала ОАО "РЖД"</t>
  </si>
  <si>
    <t xml:space="preserve">760445099</t>
  </si>
  <si>
    <t xml:space="preserve">26526614</t>
  </si>
  <si>
    <t xml:space="preserve">Ярославская дистанция гражданских сооружений, водоснабжения и водоотведения ЯО СЖД-филиала ОАО "РЖД"</t>
  </si>
  <si>
    <t xml:space="preserve">997650007</t>
  </si>
  <si>
    <t xml:space="preserve">28142682</t>
  </si>
  <si>
    <t xml:space="preserve">АО "Корпорация развития Ярослаской области"</t>
  </si>
  <si>
    <t xml:space="preserve">7604155916</t>
  </si>
  <si>
    <t xml:space="preserve">26514537</t>
  </si>
  <si>
    <t xml:space="preserve">АО "Санаторий "Малые соли"</t>
  </si>
  <si>
    <t xml:space="preserve">7621007192</t>
  </si>
  <si>
    <t xml:space="preserve">26483302</t>
  </si>
  <si>
    <t xml:space="preserve">АО "Ярославский бройлер"</t>
  </si>
  <si>
    <t xml:space="preserve">7610049497</t>
  </si>
  <si>
    <t xml:space="preserve">26514575</t>
  </si>
  <si>
    <t xml:space="preserve">АО "Ярославский завод дизельной аппаратуры"</t>
  </si>
  <si>
    <t xml:space="preserve">7601000833</t>
  </si>
  <si>
    <t xml:space="preserve">26555031</t>
  </si>
  <si>
    <t xml:space="preserve">ЗАО "Новый путь"</t>
  </si>
  <si>
    <t xml:space="preserve">7609012767</t>
  </si>
  <si>
    <t xml:space="preserve">31499219</t>
  </si>
  <si>
    <t xml:space="preserve">МП ЯМР "ВКХ"</t>
  </si>
  <si>
    <t xml:space="preserve">7627054456</t>
  </si>
  <si>
    <t xml:space="preserve">28-04-2021 00:00:00</t>
  </si>
  <si>
    <t xml:space="preserve">26483500</t>
  </si>
  <si>
    <t xml:space="preserve">МУП "Водопроводно-канализационное хозяйство"</t>
  </si>
  <si>
    <t xml:space="preserve">7621005491</t>
  </si>
  <si>
    <t xml:space="preserve">26483143</t>
  </si>
  <si>
    <t xml:space="preserve">МУП "Жилищно-коммунальное хозяйство" ГО г. Переславля-Залесскиого</t>
  </si>
  <si>
    <t xml:space="preserve">7608011538</t>
  </si>
  <si>
    <t xml:space="preserve">31223264</t>
  </si>
  <si>
    <t xml:space="preserve">МУП "Комплекс"</t>
  </si>
  <si>
    <t xml:space="preserve">7608030080</t>
  </si>
  <si>
    <t xml:space="preserve">26-07-2017 00:00:00</t>
  </si>
  <si>
    <t xml:space="preserve">31534231</t>
  </si>
  <si>
    <t xml:space="preserve">МУП "Некрасовский водохозяйственный комплекс" Некрасовского МР</t>
  </si>
  <si>
    <t xml:space="preserve">7627054390</t>
  </si>
  <si>
    <t xml:space="preserve">15-04-2021 00:00:00</t>
  </si>
  <si>
    <t xml:space="preserve">31457382</t>
  </si>
  <si>
    <t xml:space="preserve">МУП "Сервис"</t>
  </si>
  <si>
    <t xml:space="preserve">7608000543</t>
  </si>
  <si>
    <t xml:space="preserve">28955317</t>
  </si>
  <si>
    <t xml:space="preserve">ОАО "Некрасовский машиностроительный завод"</t>
  </si>
  <si>
    <t xml:space="preserve">7621000052</t>
  </si>
  <si>
    <t xml:space="preserve">31342831</t>
  </si>
  <si>
    <t xml:space="preserve">ОАО "Рыбинский хладокомбинат "Мясомолторг"</t>
  </si>
  <si>
    <t xml:space="preserve">7610004400</t>
  </si>
  <si>
    <t xml:space="preserve">27-12-2002 00:00:00</t>
  </si>
  <si>
    <t xml:space="preserve">26524898</t>
  </si>
  <si>
    <t xml:space="preserve">ОАО "Ярославский судостроительный завод"</t>
  </si>
  <si>
    <t xml:space="preserve">7601001080</t>
  </si>
  <si>
    <t xml:space="preserve">26514579</t>
  </si>
  <si>
    <t xml:space="preserve">ООО "Агрофирма Авангард"</t>
  </si>
  <si>
    <t xml:space="preserve">7612039039</t>
  </si>
  <si>
    <t xml:space="preserve">31701334</t>
  </si>
  <si>
    <t xml:space="preserve">ООО "Водоснабжение"</t>
  </si>
  <si>
    <t xml:space="preserve">7610137707</t>
  </si>
  <si>
    <t xml:space="preserve">16-09-2022 00:00:00</t>
  </si>
  <si>
    <t xml:space="preserve">28982113</t>
  </si>
  <si>
    <t xml:space="preserve">ООО "ГАЗДизель"</t>
  </si>
  <si>
    <t xml:space="preserve">7602061074</t>
  </si>
  <si>
    <t xml:space="preserve">25-06-2015 00:00:00</t>
  </si>
  <si>
    <t xml:space="preserve">31542871</t>
  </si>
  <si>
    <t xml:space="preserve">ООО "Интерстрой"</t>
  </si>
  <si>
    <t xml:space="preserve">7603072826</t>
  </si>
  <si>
    <t xml:space="preserve">26424139</t>
  </si>
  <si>
    <t xml:space="preserve">ООО "Пивоваренная компания "Балтика"</t>
  </si>
  <si>
    <t xml:space="preserve">7802849641</t>
  </si>
  <si>
    <t xml:space="preserve">780201001</t>
  </si>
  <si>
    <t xml:space="preserve">31678435</t>
  </si>
  <si>
    <t xml:space="preserve">ООО "Ресурс ВКХ"</t>
  </si>
  <si>
    <t xml:space="preserve">7616011355</t>
  </si>
  <si>
    <t xml:space="preserve">28869361</t>
  </si>
  <si>
    <t xml:space="preserve">ООО "Русь"</t>
  </si>
  <si>
    <t xml:space="preserve">7617009430</t>
  </si>
  <si>
    <t xml:space="preserve">26483250</t>
  </si>
  <si>
    <t xml:space="preserve">ООО "Сельхозтехника"</t>
  </si>
  <si>
    <t xml:space="preserve">7612047061</t>
  </si>
  <si>
    <t xml:space="preserve">28792268</t>
  </si>
  <si>
    <t xml:space="preserve">ООО "ТУТАЕВСКИЙ ВОДОКАНАЛ"</t>
  </si>
  <si>
    <t xml:space="preserve">7611023188</t>
  </si>
  <si>
    <t xml:space="preserve">04-02-2014 00:00:00</t>
  </si>
  <si>
    <t xml:space="preserve">30832043</t>
  </si>
  <si>
    <t xml:space="preserve">ООО "Тимекс"</t>
  </si>
  <si>
    <t xml:space="preserve">7720587226</t>
  </si>
  <si>
    <t xml:space="preserve">772901001</t>
  </si>
  <si>
    <t xml:space="preserve">31433015</t>
  </si>
  <si>
    <t xml:space="preserve">ООО "УК "Жилсервис"</t>
  </si>
  <si>
    <t xml:space="preserve">7612038388</t>
  </si>
  <si>
    <t xml:space="preserve">23-10-2007 00:00:00</t>
  </si>
  <si>
    <t xml:space="preserve">31391625</t>
  </si>
  <si>
    <t xml:space="preserve">ООО "ФОРТ"</t>
  </si>
  <si>
    <t xml:space="preserve">7604213491</t>
  </si>
  <si>
    <t xml:space="preserve">31232019</t>
  </si>
  <si>
    <t xml:space="preserve">ООО "Чистая вода"</t>
  </si>
  <si>
    <t xml:space="preserve">7611999090</t>
  </si>
  <si>
    <t xml:space="preserve">19-04-2018 00:00:00</t>
  </si>
  <si>
    <t xml:space="preserve">31457359</t>
  </si>
  <si>
    <t xml:space="preserve">ООО "ЭкоСтрой"</t>
  </si>
  <si>
    <t xml:space="preserve">7611019801</t>
  </si>
  <si>
    <t xml:space="preserve">12-11-2015 00:00:00</t>
  </si>
  <si>
    <t xml:space="preserve">31701596</t>
  </si>
  <si>
    <t xml:space="preserve">ООО СЗ "СТРОЙ ПРОФИТ"</t>
  </si>
  <si>
    <t xml:space="preserve">7725338047</t>
  </si>
  <si>
    <t xml:space="preserve">774301001</t>
  </si>
  <si>
    <t xml:space="preserve">30-10-2016 00:00:00</t>
  </si>
  <si>
    <t xml:space="preserve">30476462</t>
  </si>
  <si>
    <t xml:space="preserve">Обособленное подразделение АО "ГУ ЖКХ"</t>
  </si>
  <si>
    <t xml:space="preserve">370245001</t>
  </si>
  <si>
    <t xml:space="preserve">26834932</t>
  </si>
  <si>
    <t xml:space="preserve">ПАО "Автодизель" (ЯМЗ)</t>
  </si>
  <si>
    <t xml:space="preserve">7601000640</t>
  </si>
  <si>
    <t xml:space="preserve">760250001</t>
  </si>
  <si>
    <t xml:space="preserve">26483546</t>
  </si>
  <si>
    <t xml:space="preserve">ПАО "Славнефть-Ярославнефтеоргсинтез"</t>
  </si>
  <si>
    <t xml:space="preserve">7601001107</t>
  </si>
  <si>
    <t xml:space="preserve">10-10-2002 00:00:00</t>
  </si>
  <si>
    <t xml:space="preserve">26833575</t>
  </si>
  <si>
    <t xml:space="preserve">ПСФ "Автодизель-Сервис" АО</t>
  </si>
  <si>
    <t xml:space="preserve">7602000794</t>
  </si>
  <si>
    <t xml:space="preserve">26768364</t>
  </si>
  <si>
    <t xml:space="preserve">СПК "Коммунар"</t>
  </si>
  <si>
    <t xml:space="preserve">7621004963</t>
  </si>
  <si>
    <t xml:space="preserve">26514612</t>
  </si>
  <si>
    <t xml:space="preserve">СПК "Нива"</t>
  </si>
  <si>
    <t xml:space="preserve">7616005954</t>
  </si>
  <si>
    <t xml:space="preserve">26514557</t>
  </si>
  <si>
    <t xml:space="preserve">ФГБУЗ "Санаторий Углич"</t>
  </si>
  <si>
    <t xml:space="preserve">7612005375</t>
  </si>
  <si>
    <t xml:space="preserve">26483300</t>
  </si>
  <si>
    <t xml:space="preserve">АО "Техническая бумага"</t>
  </si>
  <si>
    <t xml:space="preserve">7626001028</t>
  </si>
  <si>
    <t xml:space="preserve">26514837</t>
  </si>
  <si>
    <t xml:space="preserve">ГАУЗ ЯО "Детский санаторий "Искра"</t>
  </si>
  <si>
    <t xml:space="preserve">7616009645</t>
  </si>
  <si>
    <t xml:space="preserve">31373384</t>
  </si>
  <si>
    <t xml:space="preserve">ГБУЗ ЯО "Ярославская областная клиническая туберкулезная больница"</t>
  </si>
  <si>
    <t xml:space="preserve">7604355190</t>
  </si>
  <si>
    <t xml:space="preserve">26514831</t>
  </si>
  <si>
    <t xml:space="preserve">МУЗ "Санаторий "Ясные зори"</t>
  </si>
  <si>
    <t xml:space="preserve">7604042581</t>
  </si>
  <si>
    <t xml:space="preserve">29645989</t>
  </si>
  <si>
    <t xml:space="preserve">ОАО "Тутаевский моторный завод"</t>
  </si>
  <si>
    <t xml:space="preserve">7611000399</t>
  </si>
  <si>
    <t xml:space="preserve">01-11-2002 00:00:00</t>
  </si>
  <si>
    <t xml:space="preserve">31665154</t>
  </si>
  <si>
    <t xml:space="preserve">ООО "Водоотведение"</t>
  </si>
  <si>
    <t xml:space="preserve">7610137697</t>
  </si>
  <si>
    <t xml:space="preserve">31232028</t>
  </si>
  <si>
    <t xml:space="preserve">ООО "Водосток"</t>
  </si>
  <si>
    <t xml:space="preserve">7611999082</t>
  </si>
  <si>
    <t xml:space="preserve">26483439</t>
  </si>
  <si>
    <t xml:space="preserve">ООО "Завод молекулярных сит "Реал Сорб"</t>
  </si>
  <si>
    <t xml:space="preserve">7620002642</t>
  </si>
  <si>
    <t xml:space="preserve">28424593</t>
  </si>
  <si>
    <t xml:space="preserve">ООО "Новоком плюс"</t>
  </si>
  <si>
    <t xml:space="preserve">7604242654</t>
  </si>
  <si>
    <t xml:space="preserve">29-07-2013 00:00:00</t>
  </si>
  <si>
    <t xml:space="preserve">31029634</t>
  </si>
  <si>
    <t xml:space="preserve">7627047508</t>
  </si>
  <si>
    <t xml:space="preserve">17-05-2016 00:00:00</t>
  </si>
  <si>
    <t xml:space="preserve">26483548</t>
  </si>
  <si>
    <t xml:space="preserve">ООО "Стоки"</t>
  </si>
  <si>
    <t xml:space="preserve">7621006174</t>
  </si>
  <si>
    <t xml:space="preserve">26-01-2024 00:00:00</t>
  </si>
  <si>
    <t xml:space="preserve">26483544</t>
  </si>
  <si>
    <t xml:space="preserve">ООО "Ярославская экологическая компания"</t>
  </si>
  <si>
    <t xml:space="preserve">7604060608</t>
  </si>
  <si>
    <t xml:space="preserve">26483624</t>
  </si>
  <si>
    <t xml:space="preserve">АО "Скоково"</t>
  </si>
  <si>
    <t xml:space="preserve">7627031071</t>
  </si>
  <si>
    <t xml:space="preserve">26483616</t>
  </si>
  <si>
    <t xml:space="preserve">АО "Чистый город"</t>
  </si>
  <si>
    <t xml:space="preserve">7604059176</t>
  </si>
  <si>
    <t xml:space="preserve">31064356</t>
  </si>
  <si>
    <t xml:space="preserve">ИП Посконнов И.В.</t>
  </si>
  <si>
    <t xml:space="preserve">760600384204</t>
  </si>
  <si>
    <t xml:space="preserve">26483445</t>
  </si>
  <si>
    <t xml:space="preserve">МУП "Энергосервис"</t>
  </si>
  <si>
    <t xml:space="preserve">7620004657</t>
  </si>
  <si>
    <t xml:space="preserve">26768340</t>
  </si>
  <si>
    <t xml:space="preserve">МУП ГО г. Рыбинск "Автопредприятие по уборке города"</t>
  </si>
  <si>
    <t xml:space="preserve">7610001463</t>
  </si>
  <si>
    <t xml:space="preserve">27548432</t>
  </si>
  <si>
    <t xml:space="preserve">ОАО "Чистый город плюс"</t>
  </si>
  <si>
    <t xml:space="preserve">7609023737</t>
  </si>
  <si>
    <t xml:space="preserve">28875824</t>
  </si>
  <si>
    <t xml:space="preserve">ООО "Рубин"</t>
  </si>
  <si>
    <t xml:space="preserve">7610084212</t>
  </si>
  <si>
    <t xml:space="preserve">31197339</t>
  </si>
  <si>
    <t xml:space="preserve">ООО "Сить"</t>
  </si>
  <si>
    <t xml:space="preserve">7620006774</t>
  </si>
  <si>
    <t xml:space="preserve">21-09-2018 00:00:00</t>
  </si>
  <si>
    <t xml:space="preserve">31683001</t>
  </si>
  <si>
    <t xml:space="preserve">ООО "Скоково"</t>
  </si>
  <si>
    <t xml:space="preserve">7602111536</t>
  </si>
  <si>
    <t xml:space="preserve">27130299</t>
  </si>
  <si>
    <t xml:space="preserve">ООО "Спецавтохозяйство"</t>
  </si>
  <si>
    <t xml:space="preserve">7616007278</t>
  </si>
  <si>
    <t xml:space="preserve">31152291</t>
  </si>
  <si>
    <t xml:space="preserve">ООО "Хартия"</t>
  </si>
  <si>
    <t xml:space="preserve">7703770101</t>
  </si>
  <si>
    <t xml:space="preserve">771501001</t>
  </si>
  <si>
    <t xml:space="preserve">13-06-2012 00:00:00</t>
  </si>
  <si>
    <t xml:space="preserve">30854523</t>
  </si>
  <si>
    <t xml:space="preserve">ООО "Экологический оператор "МАКРАБ"</t>
  </si>
  <si>
    <t xml:space="preserve">7602129068</t>
  </si>
  <si>
    <t xml:space="preserve">28145827</t>
  </si>
  <si>
    <t xml:space="preserve">ООО "Экология-Сервис"</t>
  </si>
  <si>
    <t xml:space="preserve">7615011289</t>
  </si>
  <si>
    <t xml:space="preserve">05-03-2011 00:00:00</t>
  </si>
  <si>
    <t xml:space="preserve">28445156</t>
  </si>
  <si>
    <t xml:space="preserve">ООО "Экорегион"</t>
  </si>
  <si>
    <t xml:space="preserve">7611022096</t>
  </si>
  <si>
    <t xml:space="preserve">31041671</t>
  </si>
  <si>
    <t xml:space="preserve">ООО ПКФ "Торгвторма"</t>
  </si>
  <si>
    <t xml:space="preserve">7605006385</t>
  </si>
  <si>
    <t xml:space="preserve">01-01-2018 00:00:00</t>
  </si>
  <si>
    <t xml:space="preserve">NSRF</t>
  </si>
  <si>
    <t xml:space="preserve">MR_NAME</t>
  </si>
  <si>
    <t xml:space="preserve">OKTMO_MR_NAME</t>
  </si>
  <si>
    <t xml:space="preserve">MO_NAME</t>
  </si>
  <si>
    <t xml:space="preserve">OKTMO_NAME</t>
  </si>
  <si>
    <t xml:space="preserve">TYPE</t>
  </si>
  <si>
    <t xml:space="preserve">MR_ID</t>
  </si>
  <si>
    <t xml:space="preserve">Большесельский муниципальный район</t>
  </si>
  <si>
    <t xml:space="preserve">78603000</t>
  </si>
  <si>
    <t xml:space="preserve">Благовещенское сельское поселение</t>
  </si>
  <si>
    <t xml:space="preserve">78603411</t>
  </si>
  <si>
    <t xml:space="preserve">сельское поселение</t>
  </si>
  <si>
    <t xml:space="preserve">муниципальный район</t>
  </si>
  <si>
    <t xml:space="preserve">Большесельское сельское поселение</t>
  </si>
  <si>
    <t xml:space="preserve">78603422</t>
  </si>
  <si>
    <t xml:space="preserve">Вареговское сельское поселение</t>
  </si>
  <si>
    <t xml:space="preserve">78603427</t>
  </si>
  <si>
    <t xml:space="preserve">Борисоглебский муниципальный район</t>
  </si>
  <si>
    <t xml:space="preserve">78606000</t>
  </si>
  <si>
    <t xml:space="preserve">Андреевское сельское поселение</t>
  </si>
  <si>
    <t xml:space="preserve">78606422</t>
  </si>
  <si>
    <t xml:space="preserve">Борисоглебское сельское поселение</t>
  </si>
  <si>
    <t xml:space="preserve">78606407</t>
  </si>
  <si>
    <t xml:space="preserve">Вощажниковское сельское поселение</t>
  </si>
  <si>
    <t xml:space="preserve">78606410</t>
  </si>
  <si>
    <t xml:space="preserve">Высоковское сельское поселение</t>
  </si>
  <si>
    <t xml:space="preserve">78606415</t>
  </si>
  <si>
    <t xml:space="preserve">Инальцинское сельское поселение</t>
  </si>
  <si>
    <t xml:space="preserve">78606405</t>
  </si>
  <si>
    <t xml:space="preserve">Брейтовский муниципальный район</t>
  </si>
  <si>
    <t xml:space="preserve">78609000</t>
  </si>
  <si>
    <t xml:space="preserve">Брейтовское сельское поселение</t>
  </si>
  <si>
    <t xml:space="preserve">78609411</t>
  </si>
  <si>
    <t xml:space="preserve">Гореловское сельское поселение</t>
  </si>
  <si>
    <t xml:space="preserve">78609422</t>
  </si>
  <si>
    <t xml:space="preserve">Прозоровское сельское поселение</t>
  </si>
  <si>
    <t xml:space="preserve">78609433</t>
  </si>
  <si>
    <t xml:space="preserve">Гаврилов-Ямский муниципальный район</t>
  </si>
  <si>
    <t xml:space="preserve">78612000</t>
  </si>
  <si>
    <t xml:space="preserve">Великосельское сельское поселение</t>
  </si>
  <si>
    <t xml:space="preserve">78612405</t>
  </si>
  <si>
    <t xml:space="preserve">Городское поселение г. Гаврилов-Ям</t>
  </si>
  <si>
    <t xml:space="preserve">78612101</t>
  </si>
  <si>
    <t xml:space="preserve">городское поселение, в состав которого входит город</t>
  </si>
  <si>
    <t xml:space="preserve">Заячье-Холмское сельское поселение</t>
  </si>
  <si>
    <t xml:space="preserve">78612477</t>
  </si>
  <si>
    <t xml:space="preserve">Митинское сельское поселение</t>
  </si>
  <si>
    <t xml:space="preserve">78612450</t>
  </si>
  <si>
    <t xml:space="preserve">Шопшинское сельское поселение</t>
  </si>
  <si>
    <t xml:space="preserve">78612490</t>
  </si>
  <si>
    <t xml:space="preserve">Даниловский муниципальный район</t>
  </si>
  <si>
    <t xml:space="preserve">78615000</t>
  </si>
  <si>
    <t xml:space="preserve">Городское поселение г. Данилов</t>
  </si>
  <si>
    <t xml:space="preserve">78615101</t>
  </si>
  <si>
    <t xml:space="preserve">Даниловское сельское поселение</t>
  </si>
  <si>
    <t xml:space="preserve">78615435</t>
  </si>
  <si>
    <t xml:space="preserve">Дмитриевское сельское поселение</t>
  </si>
  <si>
    <t xml:space="preserve">78615420</t>
  </si>
  <si>
    <t xml:space="preserve">Середское сельское поселение</t>
  </si>
  <si>
    <t xml:space="preserve">78615470</t>
  </si>
  <si>
    <t xml:space="preserve">Любимский муниципальный район</t>
  </si>
  <si>
    <t xml:space="preserve">78618000</t>
  </si>
  <si>
    <t xml:space="preserve">Воскресенское сельское поселение</t>
  </si>
  <si>
    <t xml:space="preserve">78618405</t>
  </si>
  <si>
    <t xml:space="preserve">Городское поселение г. Любим</t>
  </si>
  <si>
    <t xml:space="preserve">78618101</t>
  </si>
  <si>
    <t xml:space="preserve">Ермаковское сельское поселение</t>
  </si>
  <si>
    <t xml:space="preserve">78618410</t>
  </si>
  <si>
    <t xml:space="preserve">Осецкое сельское поселение</t>
  </si>
  <si>
    <t xml:space="preserve">78618433</t>
  </si>
  <si>
    <t xml:space="preserve">Мышкинский муниципальный район</t>
  </si>
  <si>
    <t xml:space="preserve">78621000</t>
  </si>
  <si>
    <t xml:space="preserve">Городское поселение г. Мышкин</t>
  </si>
  <si>
    <t xml:space="preserve">78621101</t>
  </si>
  <si>
    <t xml:space="preserve">Охотинское сельское поселение</t>
  </si>
  <si>
    <t xml:space="preserve">78621430</t>
  </si>
  <si>
    <t xml:space="preserve">Приволжское сельское поселение</t>
  </si>
  <si>
    <t xml:space="preserve">78621415</t>
  </si>
  <si>
    <t xml:space="preserve">Некоузский муниципальный район</t>
  </si>
  <si>
    <t xml:space="preserve">78623000</t>
  </si>
  <si>
    <t xml:space="preserve">Веретейское сельское поселение</t>
  </si>
  <si>
    <t xml:space="preserve">78623404</t>
  </si>
  <si>
    <t xml:space="preserve">Волжское сельское поселение</t>
  </si>
  <si>
    <t xml:space="preserve">78623406</t>
  </si>
  <si>
    <t xml:space="preserve">Некоузское сельское поселение</t>
  </si>
  <si>
    <t xml:space="preserve">78623415</t>
  </si>
  <si>
    <t xml:space="preserve">Октябрьское сельское поселение</t>
  </si>
  <si>
    <t xml:space="preserve">78623427</t>
  </si>
  <si>
    <t xml:space="preserve">Некрасовский муниципальный район</t>
  </si>
  <si>
    <t xml:space="preserve">78626000</t>
  </si>
  <si>
    <t xml:space="preserve">Бурмакино сельское поселение</t>
  </si>
  <si>
    <t xml:space="preserve">78626409</t>
  </si>
  <si>
    <t xml:space="preserve">Красный Профинтерн сельское поселение</t>
  </si>
  <si>
    <t xml:space="preserve">78626444</t>
  </si>
  <si>
    <t xml:space="preserve">Некрасовское сельское поселение</t>
  </si>
  <si>
    <t xml:space="preserve">78626457</t>
  </si>
  <si>
    <t xml:space="preserve">Первомайский муниципальный район</t>
  </si>
  <si>
    <t xml:space="preserve">78629000</t>
  </si>
  <si>
    <t xml:space="preserve">Городское поселение п.Пречистое</t>
  </si>
  <si>
    <t xml:space="preserve">78629151</t>
  </si>
  <si>
    <t xml:space="preserve">городское поселение, в состав которого входит поселок</t>
  </si>
  <si>
    <t xml:space="preserve">Кукобойское сельское поселение</t>
  </si>
  <si>
    <t xml:space="preserve">78629435</t>
  </si>
  <si>
    <t xml:space="preserve">Пречистенское сельское поселение</t>
  </si>
  <si>
    <t xml:space="preserve">78629450</t>
  </si>
  <si>
    <t xml:space="preserve">Пошехонский муниципальный район</t>
  </si>
  <si>
    <t xml:space="preserve">78634000</t>
  </si>
  <si>
    <t xml:space="preserve">Белосельское сельское поселение</t>
  </si>
  <si>
    <t xml:space="preserve">78634404</t>
  </si>
  <si>
    <t xml:space="preserve">Городское поселение Пошехонье</t>
  </si>
  <si>
    <t xml:space="preserve">78634101</t>
  </si>
  <si>
    <t xml:space="preserve">78634428</t>
  </si>
  <si>
    <t xml:space="preserve">Кременевское сельское поселение</t>
  </si>
  <si>
    <t xml:space="preserve">78634460</t>
  </si>
  <si>
    <t xml:space="preserve">Пригородное сельское поселение</t>
  </si>
  <si>
    <t xml:space="preserve">78634436</t>
  </si>
  <si>
    <t xml:space="preserve">78637000</t>
  </si>
  <si>
    <t xml:space="preserve">Городское поселение г.Ростов</t>
  </si>
  <si>
    <t xml:space="preserve">78637101</t>
  </si>
  <si>
    <t xml:space="preserve">Ишня сельское поселение</t>
  </si>
  <si>
    <t xml:space="preserve">78637412</t>
  </si>
  <si>
    <t xml:space="preserve">Петровское сельское поселение</t>
  </si>
  <si>
    <t xml:space="preserve">78637441</t>
  </si>
  <si>
    <t xml:space="preserve">Поречье-Рыбное сельское поселение</t>
  </si>
  <si>
    <t xml:space="preserve">78637442</t>
  </si>
  <si>
    <t xml:space="preserve">Рыбинский муниципальный район</t>
  </si>
  <si>
    <t xml:space="preserve">78640000</t>
  </si>
  <si>
    <t xml:space="preserve">Арефинское сельское поселение</t>
  </si>
  <si>
    <t xml:space="preserve">78640410</t>
  </si>
  <si>
    <t xml:space="preserve">60</t>
  </si>
  <si>
    <t xml:space="preserve">78640415</t>
  </si>
  <si>
    <t xml:space="preserve">61</t>
  </si>
  <si>
    <t xml:space="preserve">Глебовское сельское поселение</t>
  </si>
  <si>
    <t xml:space="preserve">78640443</t>
  </si>
  <si>
    <t xml:space="preserve">62</t>
  </si>
  <si>
    <t xml:space="preserve">Городское поселение Песочное</t>
  </si>
  <si>
    <t xml:space="preserve">78640455</t>
  </si>
  <si>
    <t xml:space="preserve">63</t>
  </si>
  <si>
    <t xml:space="preserve">Каменниковское сельское поселение</t>
  </si>
  <si>
    <t xml:space="preserve">78640425</t>
  </si>
  <si>
    <t xml:space="preserve">64</t>
  </si>
  <si>
    <t xml:space="preserve">Назаровское сельское поселение</t>
  </si>
  <si>
    <t xml:space="preserve">78640430</t>
  </si>
  <si>
    <t xml:space="preserve">65</t>
  </si>
  <si>
    <t xml:space="preserve">Огарковское сельское поселение</t>
  </si>
  <si>
    <t xml:space="preserve">78640440</t>
  </si>
  <si>
    <t xml:space="preserve">78640420</t>
  </si>
  <si>
    <t xml:space="preserve">67</t>
  </si>
  <si>
    <t xml:space="preserve">Покровское сельское поселение</t>
  </si>
  <si>
    <t xml:space="preserve">78640435</t>
  </si>
  <si>
    <t xml:space="preserve">69</t>
  </si>
  <si>
    <t xml:space="preserve">Судоверфское сельское поселение</t>
  </si>
  <si>
    <t xml:space="preserve">78640452</t>
  </si>
  <si>
    <t xml:space="preserve">70</t>
  </si>
  <si>
    <t xml:space="preserve">Тихменевское сельское поселение</t>
  </si>
  <si>
    <t xml:space="preserve">78640447</t>
  </si>
  <si>
    <t xml:space="preserve">71</t>
  </si>
  <si>
    <t xml:space="preserve">Тутаевский муниципальный район</t>
  </si>
  <si>
    <t xml:space="preserve">78643000</t>
  </si>
  <si>
    <t xml:space="preserve">Артемьевское сельское поселение</t>
  </si>
  <si>
    <t xml:space="preserve">78643405</t>
  </si>
  <si>
    <t xml:space="preserve">72</t>
  </si>
  <si>
    <t xml:space="preserve">Городское поселение г.Тутаев</t>
  </si>
  <si>
    <t xml:space="preserve">78643101</t>
  </si>
  <si>
    <t xml:space="preserve">73</t>
  </si>
  <si>
    <t xml:space="preserve">Константиновское сельское поселение</t>
  </si>
  <si>
    <t xml:space="preserve">78643420</t>
  </si>
  <si>
    <t xml:space="preserve">74</t>
  </si>
  <si>
    <t xml:space="preserve">Левобережное сельское поселение</t>
  </si>
  <si>
    <t xml:space="preserve">78643460</t>
  </si>
  <si>
    <t xml:space="preserve">75</t>
  </si>
  <si>
    <t xml:space="preserve">76</t>
  </si>
  <si>
    <t xml:space="preserve">Чебаковское сельское поселение</t>
  </si>
  <si>
    <t xml:space="preserve">78643450</t>
  </si>
  <si>
    <t xml:space="preserve">77</t>
  </si>
  <si>
    <t xml:space="preserve">78646000</t>
  </si>
  <si>
    <t xml:space="preserve">Головинское сельское поселение</t>
  </si>
  <si>
    <t xml:space="preserve">78646440</t>
  </si>
  <si>
    <t xml:space="preserve">78</t>
  </si>
  <si>
    <t xml:space="preserve">Ильинское сельское поселение</t>
  </si>
  <si>
    <t xml:space="preserve">78646420</t>
  </si>
  <si>
    <t xml:space="preserve">80</t>
  </si>
  <si>
    <t xml:space="preserve">Отрадновское сельское поселение</t>
  </si>
  <si>
    <t xml:space="preserve">78646475</t>
  </si>
  <si>
    <t xml:space="preserve">81</t>
  </si>
  <si>
    <t xml:space="preserve">Слободское сельское поселение</t>
  </si>
  <si>
    <t xml:space="preserve">78646410</t>
  </si>
  <si>
    <t xml:space="preserve">82</t>
  </si>
  <si>
    <t xml:space="preserve">83</t>
  </si>
  <si>
    <t xml:space="preserve">Улейминское сельское поселение</t>
  </si>
  <si>
    <t xml:space="preserve">78646480</t>
  </si>
  <si>
    <t xml:space="preserve">84</t>
  </si>
  <si>
    <t xml:space="preserve">Ярославский муниципальный район</t>
  </si>
  <si>
    <t xml:space="preserve">78650000</t>
  </si>
  <si>
    <t xml:space="preserve">Городское поселение п. Лесная Поляна</t>
  </si>
  <si>
    <t xml:space="preserve">78650155</t>
  </si>
  <si>
    <t xml:space="preserve">85</t>
  </si>
  <si>
    <t xml:space="preserve">Заволжское сельское поселение</t>
  </si>
  <si>
    <t xml:space="preserve">78650410</t>
  </si>
  <si>
    <t xml:space="preserve">86</t>
  </si>
  <si>
    <t xml:space="preserve">Ивняковское сельское поселение</t>
  </si>
  <si>
    <t xml:space="preserve">78650455</t>
  </si>
  <si>
    <t xml:space="preserve">87</t>
  </si>
  <si>
    <t xml:space="preserve">Карабихское сельское поселение</t>
  </si>
  <si>
    <t xml:space="preserve">78650430</t>
  </si>
  <si>
    <t xml:space="preserve">88</t>
  </si>
  <si>
    <t xml:space="preserve">Кузнечихинское сельское поселение</t>
  </si>
  <si>
    <t xml:space="preserve">78650435</t>
  </si>
  <si>
    <t xml:space="preserve">89</t>
  </si>
  <si>
    <t xml:space="preserve">Курбское сельское поселение</t>
  </si>
  <si>
    <t xml:space="preserve">78650440</t>
  </si>
  <si>
    <t xml:space="preserve">90</t>
  </si>
  <si>
    <t xml:space="preserve">78650470</t>
  </si>
  <si>
    <t xml:space="preserve">91</t>
  </si>
  <si>
    <t xml:space="preserve">Туношенское сельское поселение</t>
  </si>
  <si>
    <t xml:space="preserve">78650495</t>
  </si>
  <si>
    <t xml:space="preserve">92</t>
  </si>
  <si>
    <t xml:space="preserve">93</t>
  </si>
  <si>
    <t xml:space="preserve">город Переславль-Залесский</t>
  </si>
  <si>
    <t xml:space="preserve">78705000</t>
  </si>
  <si>
    <t xml:space="preserve">городской округ</t>
  </si>
  <si>
    <t xml:space="preserve">94</t>
  </si>
  <si>
    <t xml:space="preserve">город Рыбинск</t>
  </si>
  <si>
    <t xml:space="preserve">78715000</t>
  </si>
  <si>
    <t xml:space="preserve">95</t>
  </si>
  <si>
    <t xml:space="preserve">NUMBER_POINT</t>
  </si>
  <si>
    <t xml:space="preserve">INVP_NAME</t>
  </si>
  <si>
    <t xml:space="preserve">INVP_ID</t>
  </si>
  <si>
    <t xml:space="preserve">L_START_DATE</t>
  </si>
  <si>
    <t xml:space="preserve">L_END_DATE</t>
  </si>
  <si>
    <t xml:space="preserve">L_DECISION_NAME</t>
  </si>
  <si>
    <t xml:space="preserve">L_DECISION_TYPE</t>
  </si>
  <si>
    <t xml:space="preserve">L_DECISION_NMBR</t>
  </si>
  <si>
    <t xml:space="preserve">L_DECISION_DATE</t>
  </si>
  <si>
    <t xml:space="preserve">4512700746</t>
  </si>
  <si>
    <t xml:space="preserve">Инвестиционная программа от 30.10.2023 ООО "Газпром теплоэнерго Ярославль" в сфере теплоснабжения по модернизации и реконструкции котельных на 2024-2029 годы</t>
  </si>
  <si>
    <t xml:space="preserve">7502229999</t>
  </si>
  <si>
    <t xml:space="preserve">01.01.2024</t>
  </si>
  <si>
    <t xml:space="preserve">31.12.2029</t>
  </si>
  <si>
    <t xml:space="preserve">Об утверждении 
инвестиционной программы 
общества с ограниченной 
ответственностью «Газпром 
теплоэнерго Ярославль» 
на период 2024-2029 годов</t>
  </si>
  <si>
    <t xml:space="preserve">233</t>
  </si>
  <si>
    <t xml:space="preserve">30.10.2023</t>
  </si>
  <si>
    <t xml:space="preserve">NOMER2_NAME</t>
  </si>
  <si>
    <t xml:space="preserve">NMOB_NAME</t>
  </si>
  <si>
    <t xml:space="preserve">DET_NAME</t>
  </si>
  <si>
    <t xml:space="preserve">L_ADDRESS_MR</t>
  </si>
  <si>
    <t xml:space="preserve">L_ADDRESS_MO</t>
  </si>
  <si>
    <t xml:space="preserve">L_ADDRESS_OKTMO</t>
  </si>
  <si>
    <t xml:space="preserve">L_ADDRESS_LOCATION</t>
  </si>
  <si>
    <t xml:space="preserve">L_ADDRESS_LOC_OKTMO</t>
  </si>
  <si>
    <t xml:space="preserve">L_ADDRESS_STREET</t>
  </si>
  <si>
    <t xml:space="preserve">L_ADDRESS_BUILDING</t>
  </si>
  <si>
    <t xml:space="preserve">DET2_NAME</t>
  </si>
  <si>
    <t xml:space="preserve">LOCATION_NAME</t>
  </si>
  <si>
    <t xml:space="preserve">LOCATION_OKTMO_NAME</t>
  </si>
  <si>
    <t xml:space="preserve">L_OWNERSHIP_TYPE</t>
  </si>
  <si>
    <t xml:space="preserve">L_BASE_OF_CONTRACT</t>
  </si>
  <si>
    <t xml:space="preserve">L_URL</t>
  </si>
  <si>
    <t xml:space="preserve">L_CURRENT_STATE</t>
  </si>
  <si>
    <t xml:space="preserve">L_EXPLOIT_DOC_TYPE</t>
  </si>
  <si>
    <t xml:space="preserve">L_EXPLOIT_DOC_BASE</t>
  </si>
  <si>
    <t xml:space="preserve">L_EXPLOIT_DOC_NUMBER</t>
  </si>
  <si>
    <t xml:space="preserve">L_EXPLOIT_DOC_DATE</t>
  </si>
  <si>
    <t xml:space="preserve">L_EXPLOIT_DOC_URL</t>
  </si>
  <si>
    <t xml:space="preserve">L_SERVICE_PRODUCTION</t>
  </si>
  <si>
    <t xml:space="preserve">L_SERVICE_TRANSMISSION</t>
  </si>
  <si>
    <t xml:space="preserve">L_SERVICE_SALE</t>
  </si>
  <si>
    <t xml:space="preserve">L_PR_IC</t>
  </si>
  <si>
    <t xml:space="preserve">L_PR_CL</t>
  </si>
  <si>
    <t xml:space="preserve">L_TR_IC</t>
  </si>
  <si>
    <t xml:space="preserve">L_TR_CL</t>
  </si>
  <si>
    <t xml:space="preserve">L_SL_IC</t>
  </si>
  <si>
    <t xml:space="preserve">L_SL_CL</t>
  </si>
  <si>
    <t xml:space="preserve">FUEL_LIST</t>
  </si>
  <si>
    <t xml:space="preserve">Город Ярославль</t>
  </si>
  <si>
    <t xml:space="preserve">частная собственность</t>
  </si>
  <si>
    <t xml:space="preserve">собственное имущество</t>
  </si>
  <si>
    <t xml:space="preserve">https://portal.eias.ru/Portal/DownloadPage.aspx?type=12&amp;guid=74927caf-ef85-4958-a859-7328226e947d</t>
  </si>
  <si>
    <t xml:space="preserve">эксплуатируется</t>
  </si>
  <si>
    <t xml:space="preserve">свидетельство</t>
  </si>
  <si>
    <t xml:space="preserve">собственность</t>
  </si>
  <si>
    <t xml:space="preserve">281926</t>
  </si>
  <si>
    <t xml:space="preserve">28.12.2022</t>
  </si>
  <si>
    <t xml:space="preserve">160.3</t>
  </si>
  <si>
    <t xml:space="preserve">54.772</t>
  </si>
  <si>
    <t xml:space="preserve">[Газ природный]</t>
  </si>
  <si>
    <t xml:space="preserve">https://portal.eias.ru/Portal/DownloadPage.aspx?type=12&amp;guid=b42eb36d-b10e-44f3-b020-2dc6f43469c3</t>
  </si>
  <si>
    <t xml:space="preserve">280472</t>
  </si>
  <si>
    <t xml:space="preserve">20.01.2011</t>
  </si>
  <si>
    <t xml:space="preserve">55.2</t>
  </si>
  <si>
    <t xml:space="preserve">29.463</t>
  </si>
  <si>
    <t xml:space="preserve">Районная котельная РК-3</t>
  </si>
  <si>
    <t xml:space="preserve">ул. Колышкина</t>
  </si>
  <si>
    <t xml:space="preserve">д 71</t>
  </si>
  <si>
    <t xml:space="preserve">https://portal.eias.ru/Portal/DownloadPage.aspx?type=12&amp;guid=b988e790-3531-49aa-afef-4fd9c33d7ba2</t>
  </si>
  <si>
    <t xml:space="preserve">247944</t>
  </si>
  <si>
    <t xml:space="preserve">05.08.2010</t>
  </si>
  <si>
    <t xml:space="preserve">2.85</t>
  </si>
  <si>
    <t xml:space="preserve">1.69</t>
  </si>
  <si>
    <t xml:space="preserve">муниципальное имущество</t>
  </si>
  <si>
    <t xml:space="preserve">аренда</t>
  </si>
  <si>
    <t xml:space="preserve">https://portal.eias.ru/Portal/DownloadPage.aspx?type=12&amp;guid=398abc86-5776-4a04-86a0-9dafa7dcef27</t>
  </si>
  <si>
    <t xml:space="preserve">договор</t>
  </si>
  <si>
    <t xml:space="preserve">безвозмездное пользование</t>
  </si>
  <si>
    <t xml:space="preserve">8-К</t>
  </si>
  <si>
    <t xml:space="preserve">21.12.2026</t>
  </si>
  <si>
    <t xml:space="preserve">2.15</t>
  </si>
  <si>
    <t xml:space="preserve">.625</t>
  </si>
  <si>
    <t xml:space="preserve">https://portal.eias.ru/Portal/DownloadPage.aspx?type=12&amp;guid=0ce4bad2-5de1-4c03-8cf0-ffb5ce260570</t>
  </si>
  <si>
    <t xml:space="preserve">344141</t>
  </si>
  <si>
    <t xml:space="preserve">13.05.2011</t>
  </si>
  <si>
    <t xml:space="preserve">51.72</t>
  </si>
  <si>
    <t xml:space="preserve">24.066</t>
  </si>
  <si>
    <t xml:space="preserve">https://portal.eias.ru/Portal/DownloadPage.aspx?type=12&amp;guid=f148aeae-97b6-4ada-8ede-6206e0f07c34</t>
  </si>
  <si>
    <t xml:space="preserve">01-03-117</t>
  </si>
  <si>
    <t xml:space="preserve">13.10.2006</t>
  </si>
  <si>
    <t xml:space="preserve">119.3</t>
  </si>
  <si>
    <t xml:space="preserve">41.697</t>
  </si>
  <si>
    <t xml:space="preserve">1.331905</t>
  </si>
  <si>
    <t xml:space="preserve">TER_NAME</t>
  </si>
  <si>
    <t xml:space="preserve">Территория 1</t>
  </si>
  <si>
    <t xml:space="preserve">Территория 2</t>
  </si>
  <si>
    <t xml:space="preserve">Территория 3</t>
  </si>
  <si>
    <t xml:space="preserve">ID_TARIFF_NAME</t>
  </si>
  <si>
    <t xml:space="preserve">TARIFF_NAME</t>
  </si>
  <si>
    <t xml:space="preserve">VED_NAME</t>
  </si>
  <si>
    <t xml:space="preserve">4190065</t>
  </si>
  <si>
    <t xml:space="preserve">4190066</t>
  </si>
  <si>
    <t xml:space="preserve">4190068</t>
  </si>
  <si>
    <t xml:space="preserve">4190069</t>
  </si>
  <si>
    <t xml:space="preserve">4190070</t>
  </si>
  <si>
    <t xml:space="preserve">4190071</t>
  </si>
  <si>
    <t xml:space="preserve">4190072</t>
  </si>
  <si>
    <t xml:space="preserve">4190073</t>
  </si>
  <si>
    <t xml:space="preserve">ID</t>
  </si>
  <si>
    <t xml:space="preserve">LINK_NAME</t>
  </si>
  <si>
    <t xml:space="preserve">https://portal.eias.ru/Portal/DownloadPage.aspx?type=12&amp;guid=????????-????-????-????-????????????</t>
  </si>
  <si>
    <t xml:space="preserve">ALL</t>
  </si>
  <si>
    <t xml:space="preserve">https://eias.fstrf.ru/disclo/get_file?p_guid=????????-????-????-????-????????????</t>
  </si>
  <si>
    <t xml:space="preserve">Форма</t>
  </si>
  <si>
    <t xml:space="preserve">Листы</t>
  </si>
  <si>
    <t xml:space="preserve">optOrganization</t>
  </si>
  <si>
    <t xml:space="preserve">optROiV</t>
  </si>
  <si>
    <t xml:space="preserve">optHEAT</t>
  </si>
  <si>
    <t xml:space="preserve">optCOLDVSNA</t>
  </si>
  <si>
    <t xml:space="preserve">optVOTV</t>
  </si>
  <si>
    <t xml:space="preserve">optHOTVSNA</t>
  </si>
  <si>
    <t xml:space="preserve">optTKO</t>
  </si>
  <si>
    <t xml:space="preserve">optORG</t>
  </si>
  <si>
    <t xml:space="preserve">optPRICE</t>
  </si>
  <si>
    <t xml:space="preserve">optBALANCE</t>
  </si>
  <si>
    <t xml:space="preserve">optQUARTER</t>
  </si>
  <si>
    <t xml:space="preserve">optINVEST</t>
  </si>
  <si>
    <t xml:space="preserve">optTERMS</t>
  </si>
  <si>
    <t xml:space="preserve">optREQUEST</t>
  </si>
  <si>
    <t xml:space="preserve">modSave</t>
  </si>
  <si>
    <t xml:space="preserve">Расчетные листы</t>
  </si>
  <si>
    <t xml:space="preserve">Скрытые листы</t>
  </si>
  <si>
    <t xml:space="preserve">Instruction</t>
  </si>
  <si>
    <t xml:space="preserve">DATA_FORMS</t>
  </si>
  <si>
    <t xml:space="preserve">modUpdTemplLogger</t>
  </si>
  <si>
    <t xml:space="preserve">DATA_NPA</t>
  </si>
  <si>
    <t xml:space="preserve">TITLE</t>
  </si>
  <si>
    <t xml:space="preserve">TEHSHEET</t>
  </si>
  <si>
    <t xml:space="preserve">TERRITORY</t>
  </si>
  <si>
    <t xml:space="preserve">TSH_et_union_hor</t>
  </si>
  <si>
    <t xml:space="preserve">DIFFERENTIATION</t>
  </si>
  <si>
    <t xml:space="preserve">modP_T_TERMS</t>
  </si>
  <si>
    <t xml:space="preserve">DIFFERENTIATION_TARIFF</t>
  </si>
  <si>
    <t xml:space="preserve">modMainProcedures</t>
  </si>
  <si>
    <t xml:space="preserve">DIFFERENTIATION_TKO</t>
  </si>
  <si>
    <t xml:space="preserve">modB_FHD</t>
  </si>
  <si>
    <t xml:space="preserve">ORG_INFO</t>
  </si>
  <si>
    <t xml:space="preserve">modB_FHD20</t>
  </si>
  <si>
    <t xml:space="preserve">ORG_VD</t>
  </si>
  <si>
    <t xml:space="preserve">modB_KNE</t>
  </si>
  <si>
    <t xml:space="preserve">ORG_VD_TKO</t>
  </si>
  <si>
    <t xml:space="preserve">modIP_MAIN</t>
  </si>
  <si>
    <t xml:space="preserve">ORG_TERRITORY</t>
  </si>
  <si>
    <t xml:space="preserve">modIP_QRE</t>
  </si>
  <si>
    <t xml:space="preserve">P_T_TERMS</t>
  </si>
  <si>
    <t xml:space="preserve">modIP_DETAILED</t>
  </si>
  <si>
    <t xml:space="preserve">TARIFF_A</t>
  </si>
  <si>
    <t xml:space="preserve">TSH_et_union_vert</t>
  </si>
  <si>
    <t xml:space="preserve">TARIFF_B</t>
  </si>
  <si>
    <t xml:space="preserve">modROIV</t>
  </si>
  <si>
    <t xml:space="preserve">TARIFF_F</t>
  </si>
  <si>
    <t xml:space="preserve">modDIFFERENTIATION_TKO</t>
  </si>
  <si>
    <t xml:space="preserve">TARIFF_C</t>
  </si>
  <si>
    <t xml:space="preserve">modTARIFF_HEAT</t>
  </si>
  <si>
    <t xml:space="preserve">TARIFF_E1</t>
  </si>
  <si>
    <t xml:space="preserve">modTARIFF_COLDVSNA</t>
  </si>
  <si>
    <t xml:space="preserve">TARIFF_E2</t>
  </si>
  <si>
    <t xml:space="preserve">modIP_FIN_PLAN</t>
  </si>
  <si>
    <t xml:space="preserve">TARIFF_D</t>
  </si>
  <si>
    <t xml:space="preserve">REESTR_IP</t>
  </si>
  <si>
    <t xml:space="preserve">TARIFF_G</t>
  </si>
  <si>
    <t xml:space="preserve">modfrmListIP</t>
  </si>
  <si>
    <t xml:space="preserve">Лист5</t>
  </si>
  <si>
    <t xml:space="preserve">modfrmActivity</t>
  </si>
  <si>
    <t xml:space="preserve">Лист6</t>
  </si>
  <si>
    <t xml:space="preserve">REESTR_DS</t>
  </si>
  <si>
    <t xml:space="preserve">Лист7</t>
  </si>
  <si>
    <t xml:space="preserve">REESTR_VED</t>
  </si>
  <si>
    <t xml:space="preserve">Лист14</t>
  </si>
  <si>
    <t xml:space="preserve">TSH_REESTR_MO</t>
  </si>
  <si>
    <t xml:space="preserve">P_PROCEDURE_TC</t>
  </si>
  <si>
    <t xml:space="preserve">TSH_REESTR_MO_FILTER</t>
  </si>
  <si>
    <t xml:space="preserve">R_B_Purch</t>
  </si>
  <si>
    <t xml:space="preserve">REESTR_LINK</t>
  </si>
  <si>
    <t xml:space="preserve">Q_PH</t>
  </si>
  <si>
    <t xml:space="preserve">modDIFFERENTIATION_TARIFF</t>
  </si>
  <si>
    <t xml:space="preserve">Q_TP</t>
  </si>
  <si>
    <t xml:space="preserve">modDIFFERENTIATION</t>
  </si>
  <si>
    <t xml:space="preserve">Q_LIMIT</t>
  </si>
  <si>
    <t xml:space="preserve">modTERRITORY</t>
  </si>
  <si>
    <t xml:space="preserve">R_Offer</t>
  </si>
  <si>
    <t xml:space="preserve">modQ_PH</t>
  </si>
  <si>
    <t xml:space="preserve">TARIFF_A_COLDVSNA</t>
  </si>
  <si>
    <t xml:space="preserve">modORG_INFO</t>
  </si>
  <si>
    <t xml:space="preserve">TARIFF_B_COLDVSNA</t>
  </si>
  <si>
    <t xml:space="preserve">modORG_VD</t>
  </si>
  <si>
    <t xml:space="preserve">TARIFF_C_COLDVSNA</t>
  </si>
  <si>
    <t xml:space="preserve">modORG_TERRITORY</t>
  </si>
  <si>
    <t xml:space="preserve">TARIFF_D_COLDVSNA</t>
  </si>
  <si>
    <t xml:space="preserve">modfrmSelectTerritory</t>
  </si>
  <si>
    <t xml:space="preserve">TARIFF_E_COLDVSNA</t>
  </si>
  <si>
    <t xml:space="preserve">modQ_TP</t>
  </si>
  <si>
    <t xml:space="preserve">B_FHD</t>
  </si>
  <si>
    <t xml:space="preserve">modQ_LIMIT</t>
  </si>
  <si>
    <t xml:space="preserve">B_FHD20</t>
  </si>
  <si>
    <t xml:space="preserve">modListTempFilter</t>
  </si>
  <si>
    <t xml:space="preserve">B_FHD_TKO</t>
  </si>
  <si>
    <t xml:space="preserve">modCheckCyan</t>
  </si>
  <si>
    <t xml:space="preserve">B_FHD_TKO_TRANS</t>
  </si>
  <si>
    <t xml:space="preserve">modHTTP</t>
  </si>
  <si>
    <t xml:space="preserve">B_KNE</t>
  </si>
  <si>
    <t xml:space="preserve">modfrmRezimChoose</t>
  </si>
  <si>
    <t xml:space="preserve">IP_MAIN</t>
  </si>
  <si>
    <t xml:space="preserve">modSheetMain</t>
  </si>
  <si>
    <t xml:space="preserve">IP_DETAILED</t>
  </si>
  <si>
    <t xml:space="preserve">REESTR_VT</t>
  </si>
  <si>
    <t xml:space="preserve">IP_FIN_PLAN</t>
  </si>
  <si>
    <t xml:space="preserve">modfrmReportMode</t>
  </si>
  <si>
    <t xml:space="preserve">IP_QRE</t>
  </si>
  <si>
    <t xml:space="preserve">modfrmReestrObj</t>
  </si>
  <si>
    <t xml:space="preserve">TARIFF_A_HOTVSNA</t>
  </si>
  <si>
    <t xml:space="preserve">AllSheetsInThisWorkbook</t>
  </si>
  <si>
    <t xml:space="preserve">TARIFF_B_HOTVSNA</t>
  </si>
  <si>
    <t xml:space="preserve">modInstruction</t>
  </si>
  <si>
    <t xml:space="preserve">TARIFF_C_HOTVSNA</t>
  </si>
  <si>
    <t xml:space="preserve">modRegion</t>
  </si>
  <si>
    <t xml:space="preserve">TARIFF_A_VOTV</t>
  </si>
  <si>
    <t xml:space="preserve">modReestr</t>
  </si>
  <si>
    <t xml:space="preserve">TARIFF_B_VOTV</t>
  </si>
  <si>
    <t xml:space="preserve">modfrmReestr</t>
  </si>
  <si>
    <t xml:space="preserve">TARIFF_C_VOTV</t>
  </si>
  <si>
    <t xml:space="preserve">modUpdTemplMain</t>
  </si>
  <si>
    <t xml:space="preserve">ED</t>
  </si>
  <si>
    <t xml:space="preserve">TSH_REESTR_ORG</t>
  </si>
  <si>
    <t xml:space="preserve">CHANGE_INFO</t>
  </si>
  <si>
    <t xml:space="preserve">modClassifierValidate</t>
  </si>
  <si>
    <t xml:space="preserve">ListComm</t>
  </si>
  <si>
    <t xml:space="preserve">modCHECK</t>
  </si>
  <si>
    <t xml:space="preserve">CHECK</t>
  </si>
  <si>
    <t xml:space="preserve">modHyp</t>
  </si>
  <si>
    <t xml:space="preserve">ROIV_INFO</t>
  </si>
  <si>
    <t xml:space="preserve">modServiceModule</t>
  </si>
  <si>
    <t xml:space="preserve">ROIV_ORG</t>
  </si>
  <si>
    <t xml:space="preserve">modInfo</t>
  </si>
  <si>
    <t xml:space="preserve">ROIV_CASE</t>
  </si>
  <si>
    <t xml:space="preserve">modTITLE</t>
  </si>
  <si>
    <t xml:space="preserve">ROIV_OTV</t>
  </si>
  <si>
    <t xml:space="preserve">modList02</t>
  </si>
  <si>
    <t xml:space="preserve">Лист1</t>
  </si>
  <si>
    <t xml:space="preserve">modED</t>
  </si>
  <si>
    <t xml:space="preserve">modList05</t>
  </si>
  <si>
    <t xml:space="preserve">modList06</t>
  </si>
  <si>
    <t xml:space="preserve">modCHANGE_INFO</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</si>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</sst>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6">
    <numFmt numFmtId="164" formatCode="@"/>
    <numFmt numFmtId="165" formatCode="General"/>
    <numFmt numFmtId="166" formatCode="_-* #,##0.00[$€-1]_-;\-* #,##0.00[$€-1]_-;_-* \-??[$€-1]_-"/>
    <numFmt numFmtId="167" formatCode="#,##0_р_.;[RED]\-#,##0_р_."/>
    <numFmt numFmtId="168" formatCode="#,##0.0"/>
    <numFmt numFmtId="169" formatCode="#,##0.000"/>
    <numFmt numFmtId="170" formatCode="#,##0.0000"/>
    <numFmt numFmtId="171" formatCode="General"/>
    <numFmt numFmtId="172" formatCode="dd/mm/yyyy"/>
    <numFmt numFmtId="173" formatCode="dd\.mm\.yyyy"/>
    <numFmt numFmtId="174" formatCode="#,##0.00"/>
    <numFmt numFmtId="175" formatCode="000000"/>
    <numFmt numFmtId="176" formatCode="#,##0"/>
    <numFmt numFmtId="177" formatCode="0%"/>
    <numFmt numFmtId="178" formatCode="0.00"/>
    <numFmt numFmtId="179" formatCode="h:mm;@"/>
  </numFmts>
  <fonts count="103">
    <font>
      <sz val="9"/>
      <color rgb="FF000000"/>
      <name val="Tahoma"/>
      <family val="0"/>
      <charset val="1"/>
    </font>
    <font>
      <sz val="10"/>
      <name val="Arial"/>
      <family val="0"/>
    </font>
    <font>
      <sz val="10"/>
      <name val="Arial"/>
      <family val="0"/>
    </font>
    <font>
      <sz val="10"/>
      <name val="Arial"/>
      <family val="0"/>
    </font>
    <font>
      <sz val="10"/>
      <name val="Arial"/>
      <family val="0"/>
      <charset val="1"/>
    </font>
    <font>
      <sz val="8"/>
      <name val="Arial"/>
      <family val="0"/>
      <charset val="1"/>
    </font>
    <font>
      <sz val="9"/>
      <name val="Tahoma"/>
      <family val="0"/>
      <charset val="1"/>
    </font>
    <font>
      <sz val="8"/>
      <name val="Palatino"/>
      <family val="0"/>
      <charset val="1"/>
    </font>
    <font>
      <u val="single"/>
      <sz val="10"/>
      <color rgb="FF800080"/>
      <name val="Arial Cyr"/>
      <family val="0"/>
      <charset val="1"/>
    </font>
    <font>
      <sz val="12"/>
      <name val="Arial"/>
      <family val="0"/>
      <charset val="1"/>
    </font>
    <font>
      <sz val="10"/>
      <name val="Arial Cyr"/>
      <family val="0"/>
      <charset val="1"/>
    </font>
    <font>
      <u val="single"/>
      <sz val="9"/>
      <color rgb="FF800080"/>
      <name val="Tahoma"/>
      <family val="0"/>
      <charset val="1"/>
    </font>
    <font>
      <b val="true"/>
      <u val="single"/>
      <sz val="11"/>
      <color rgb="FF0000FF"/>
      <name val="Tahoma"/>
      <family val="0"/>
      <charset val="1"/>
    </font>
    <font>
      <sz val="11"/>
      <color rgb="FF000000"/>
      <name val="Tahoma"/>
      <family val="0"/>
      <charset val="1"/>
    </font>
    <font>
      <sz val="11"/>
      <color rgb="FFFFFFFF"/>
      <name val="Tahoma"/>
      <family val="0"/>
      <charset val="1"/>
    </font>
    <font>
      <b val="true"/>
      <sz val="10"/>
      <name val="Tahoma"/>
      <family val="0"/>
      <charset val="1"/>
    </font>
    <font>
      <u val="single"/>
      <sz val="20"/>
      <color rgb="FF003366"/>
      <name val="Tahoma"/>
      <family val="0"/>
      <charset val="1"/>
    </font>
    <font>
      <sz val="10"/>
      <name val="Tahoma"/>
      <family val="0"/>
      <charset val="1"/>
    </font>
    <font>
      <b val="true"/>
      <sz val="10"/>
      <color rgb="FF000000"/>
      <name val="Tahoma"/>
      <family val="0"/>
      <charset val="1"/>
    </font>
    <font>
      <sz val="11"/>
      <color rgb="FF000000"/>
      <name val="Marlett"/>
      <family val="0"/>
      <charset val="1"/>
    </font>
    <font>
      <sz val="10"/>
      <color rgb="FF000000"/>
      <name val="Tahoma"/>
      <family val="0"/>
      <charset val="1"/>
    </font>
    <font>
      <sz val="7"/>
      <name val="Tahoma"/>
      <family val="0"/>
      <charset val="1"/>
    </font>
    <font>
      <sz val="9"/>
      <color rgb="FFFFFFFF"/>
      <name val="Tahoma"/>
      <family val="0"/>
      <charset val="1"/>
    </font>
    <font>
      <sz val="9"/>
      <color rgb="FFCC0000"/>
      <name val="Tahoma"/>
      <family val="0"/>
      <charset val="1"/>
    </font>
    <font>
      <sz val="1"/>
      <color rgb="FFFFFFFF"/>
      <name val="Tahoma"/>
      <family val="0"/>
      <charset val="1"/>
    </font>
    <font>
      <sz val="3"/>
      <color rgb="FFFFFFFF"/>
      <name val="Tahoma"/>
      <family val="0"/>
      <charset val="1"/>
    </font>
    <font>
      <sz val="3"/>
      <color rgb="FFCC0000"/>
      <name val="Tahoma"/>
      <family val="0"/>
      <charset val="1"/>
    </font>
    <font>
      <sz val="3"/>
      <name val="Tahoma"/>
      <family val="0"/>
      <charset val="1"/>
    </font>
    <font>
      <sz val="16"/>
      <name val="Tahoma"/>
      <family val="0"/>
      <charset val="1"/>
    </font>
    <font>
      <b val="true"/>
      <sz val="9"/>
      <name val="Tahoma"/>
      <family val="0"/>
      <charset val="1"/>
    </font>
    <font>
      <b val="true"/>
      <sz val="9"/>
      <color rgb="FFFFFFFF"/>
      <name val="Tahoma"/>
      <family val="0"/>
      <charset val="1"/>
    </font>
    <font>
      <sz val="3"/>
      <color rgb="FF993300"/>
      <name val="Tahoma"/>
      <family val="0"/>
      <charset val="1"/>
    </font>
    <font>
      <sz val="7"/>
      <color rgb="FF808080"/>
      <name val="Tahoma"/>
      <family val="0"/>
      <charset val="1"/>
    </font>
    <font>
      <u val="single"/>
      <sz val="9"/>
      <color rgb="FF333399"/>
      <name val="Tahoma"/>
      <family val="0"/>
      <charset val="1"/>
    </font>
    <font>
      <sz val="16"/>
      <color rgb="FFFFFFFF"/>
      <name val="Tahoma"/>
      <family val="0"/>
      <charset val="1"/>
    </font>
    <font>
      <sz val="3"/>
      <color rgb="FF000000"/>
      <name val="Tahoma"/>
      <family val="0"/>
      <charset val="1"/>
    </font>
    <font>
      <u val="single"/>
      <sz val="9"/>
      <color rgb="FF000080"/>
      <name val="Tahoma"/>
      <family val="0"/>
      <charset val="1"/>
    </font>
    <font>
      <b val="true"/>
      <sz val="9"/>
      <name val="Tahoma"/>
      <family val="2"/>
      <charset val="204"/>
    </font>
    <font>
      <sz val="9"/>
      <name val="Tahoma"/>
      <family val="2"/>
      <charset val="204"/>
    </font>
    <font>
      <sz val="7"/>
      <color rgb="FFFFFFFF"/>
      <name val="Tahoma"/>
      <family val="0"/>
      <charset val="1"/>
    </font>
    <font>
      <sz val="12"/>
      <name val="Tahoma"/>
      <family val="0"/>
      <charset val="1"/>
    </font>
    <font>
      <u val="single"/>
      <sz val="9"/>
      <color rgb="FF0000FF"/>
      <name val="Tahoma"/>
      <family val="0"/>
      <charset val="1"/>
    </font>
    <font>
      <sz val="11"/>
      <color rgb="FFBCBCBC"/>
      <name val="Wingdings 2"/>
      <family val="0"/>
      <charset val="1"/>
    </font>
    <font>
      <sz val="5"/>
      <color rgb="FFFF0000"/>
      <name val="Tahoma"/>
      <family val="0"/>
      <charset val="1"/>
    </font>
    <font>
      <sz val="1"/>
      <name val="Tahoma"/>
      <family val="0"/>
      <charset val="1"/>
    </font>
    <font>
      <sz val="11"/>
      <color rgb="FFFFFFFF"/>
      <name val="Wingdings 2"/>
      <family val="0"/>
      <charset val="1"/>
    </font>
    <font>
      <sz val="5"/>
      <color rgb="FFFFFFFF"/>
      <name val="Tahoma"/>
      <family val="0"/>
      <charset val="1"/>
    </font>
    <font>
      <sz val="11"/>
      <name val="Wingdings 2"/>
      <family val="0"/>
      <charset val="1"/>
    </font>
    <font>
      <sz val="9"/>
      <color rgb="FFBCBCBC"/>
      <name val="Tahoma"/>
      <family val="0"/>
      <charset val="1"/>
    </font>
    <font>
      <sz val="9"/>
      <color rgb="FFFF0000"/>
      <name val="Tahoma"/>
      <family val="0"/>
      <charset val="1"/>
    </font>
    <font>
      <sz val="12"/>
      <color rgb="FFFFFFFF"/>
      <name val="Tahoma"/>
      <family val="0"/>
      <charset val="1"/>
    </font>
    <font>
      <sz val="9"/>
      <color rgb="FF000080"/>
      <name val="Tahoma"/>
      <family val="0"/>
      <charset val="1"/>
    </font>
    <font>
      <sz val="8"/>
      <name val="Tahoma"/>
      <family val="0"/>
      <charset val="1"/>
    </font>
    <font>
      <sz val="8"/>
      <color rgb="FFFFFFFF"/>
      <name val="Tahoma"/>
      <family val="0"/>
      <charset val="1"/>
    </font>
    <font>
      <sz val="8"/>
      <color rgb="FFBCBCBC"/>
      <name val="Tahoma"/>
      <family val="0"/>
      <charset val="1"/>
    </font>
    <font>
      <b val="true"/>
      <sz val="11"/>
      <color rgb="FFFFFFFF"/>
      <name val="Calibri"/>
      <family val="0"/>
      <charset val="1"/>
    </font>
    <font>
      <b val="true"/>
      <sz val="1"/>
      <color rgb="FFFFFFFF"/>
      <name val="Calibri"/>
      <family val="0"/>
      <charset val="1"/>
    </font>
    <font>
      <b val="true"/>
      <sz val="9"/>
      <name val="Calibri"/>
      <family val="0"/>
      <charset val="1"/>
    </font>
    <font>
      <b val="true"/>
      <sz val="11"/>
      <color rgb="FF000000"/>
      <name val="Calibri"/>
      <family val="0"/>
      <charset val="1"/>
    </font>
    <font>
      <sz val="11"/>
      <color rgb="FF000000"/>
      <name val="Calibri"/>
      <family val="0"/>
      <charset val="1"/>
    </font>
    <font>
      <sz val="9"/>
      <color rgb="FFBCBCBC"/>
      <name val="Wingdings 2"/>
      <family val="0"/>
      <charset val="1"/>
    </font>
    <font>
      <sz val="12"/>
      <name val="Marlett"/>
      <family val="0"/>
      <charset val="1"/>
    </font>
    <font>
      <sz val="18"/>
      <name val="Tahoma"/>
      <family val="0"/>
      <charset val="1"/>
    </font>
    <font>
      <sz val="1"/>
      <color rgb="FF000000"/>
      <name val="Tahoma"/>
      <family val="0"/>
      <charset val="1"/>
    </font>
    <font>
      <sz val="9"/>
      <name val="Wingdings 2"/>
      <family val="0"/>
      <charset val="1"/>
    </font>
    <font>
      <sz val="9"/>
      <color rgb="FFFFFFFF"/>
      <name val="Wingdings 2"/>
      <family val="0"/>
      <charset val="1"/>
    </font>
    <font>
      <b val="true"/>
      <sz val="9"/>
      <color rgb="FF0070C0"/>
      <name val="Tahoma"/>
      <family val="0"/>
      <charset val="1"/>
    </font>
    <font>
      <b val="true"/>
      <sz val="3"/>
      <name val="Tahoma"/>
      <family val="0"/>
      <charset val="1"/>
    </font>
    <font>
      <b val="true"/>
      <sz val="9"/>
      <color rgb="FF000080"/>
      <name val="Tahoma"/>
      <family val="0"/>
      <charset val="1"/>
    </font>
    <font>
      <sz val="18"/>
      <color rgb="FF000000"/>
      <name val="Tahoma"/>
      <family val="0"/>
      <charset val="1"/>
    </font>
    <font>
      <sz val="12"/>
      <color rgb="FF000000"/>
      <name val="Tahoma"/>
      <family val="0"/>
      <charset val="1"/>
    </font>
    <font>
      <sz val="9"/>
      <color rgb="FF0066CC"/>
      <name val="Tahoma"/>
      <family val="0"/>
      <charset val="1"/>
    </font>
    <font>
      <sz val="3"/>
      <color rgb="FFBCBCBC"/>
      <name val="Tahoma"/>
      <family val="0"/>
      <charset val="1"/>
    </font>
    <font>
      <sz val="1"/>
      <color rgb="FFBCBCBC"/>
      <name val="Tahoma"/>
      <family val="0"/>
      <charset val="1"/>
    </font>
    <font>
      <sz val="11"/>
      <name val="Webdings2"/>
      <family val="0"/>
      <charset val="1"/>
    </font>
    <font>
      <sz val="1"/>
      <color rgb="FFFFFFFF"/>
      <name val="Webdings2"/>
      <family val="0"/>
      <charset val="1"/>
    </font>
    <font>
      <b val="true"/>
      <sz val="1"/>
      <color rgb="FFFFFFFF"/>
      <name val="Tahoma"/>
      <family val="0"/>
      <charset val="1"/>
    </font>
    <font>
      <sz val="11"/>
      <color rgb="FFFFFFFF"/>
      <name val="Webdings2"/>
      <family val="0"/>
      <charset val="1"/>
    </font>
    <font>
      <sz val="15"/>
      <color rgb="FF000000"/>
      <name val="Tahoma"/>
      <family val="0"/>
      <charset val="1"/>
    </font>
    <font>
      <sz val="1"/>
      <name val="Webdings2"/>
      <family val="0"/>
      <charset val="1"/>
    </font>
    <font>
      <sz val="1"/>
      <color rgb="FFFFFFFF"/>
      <name val="Wingdings 2"/>
      <family val="0"/>
      <charset val="1"/>
    </font>
    <font>
      <sz val="9"/>
      <color rgb="FFFFFFFF"/>
      <name val="Webdings2"/>
      <family val="0"/>
      <charset val="1"/>
    </font>
    <font>
      <sz val="15"/>
      <color rgb="FFFFFFFF"/>
      <name val="Tahoma"/>
      <family val="0"/>
      <charset val="1"/>
    </font>
    <font>
      <sz val="1"/>
      <color rgb="FFFF0000"/>
      <name val="Tahoma"/>
      <family val="0"/>
      <charset val="1"/>
    </font>
    <font>
      <b val="true"/>
      <sz val="1"/>
      <name val="Tahoma"/>
      <family val="0"/>
      <charset val="1"/>
    </font>
    <font>
      <b val="true"/>
      <sz val="1"/>
      <color rgb="FF000080"/>
      <name val="Tahoma"/>
      <family val="0"/>
      <charset val="1"/>
    </font>
    <font>
      <sz val="15"/>
      <name val="Tahoma"/>
      <family val="0"/>
      <charset val="1"/>
    </font>
    <font>
      <b val="true"/>
      <sz val="9"/>
      <color rgb="FFCC0000"/>
      <name val="Tahoma"/>
      <family val="0"/>
      <charset val="1"/>
    </font>
    <font>
      <sz val="14"/>
      <color rgb="FFBCBCBC"/>
      <name val="Calibri"/>
      <family val="0"/>
      <charset val="1"/>
    </font>
    <font>
      <b val="true"/>
      <u val="single"/>
      <sz val="9"/>
      <color rgb="FF000080"/>
      <name val="Tahoma"/>
      <family val="0"/>
      <charset val="1"/>
    </font>
    <font>
      <sz val="19"/>
      <color rgb="FFFFFFFF"/>
      <name val="Tahoma"/>
      <family val="0"/>
      <charset val="1"/>
    </font>
    <font>
      <b val="true"/>
      <sz val="9"/>
      <color rgb="FF000000"/>
      <name val="Tahoma"/>
      <family val="0"/>
      <charset val="1"/>
    </font>
    <font>
      <b val="true"/>
      <sz val="8"/>
      <color rgb="FFFFFFFF"/>
      <name val="Wingdings 2"/>
      <family val="0"/>
      <charset val="1"/>
    </font>
    <font>
      <sz val="8"/>
      <color rgb="FF000080"/>
      <name val="Tahoma"/>
      <family val="0"/>
      <charset val="1"/>
    </font>
    <font>
      <b val="true"/>
      <sz val="8"/>
      <color rgb="FFC0C0C0"/>
      <name val="Wingdings 2"/>
      <family val="0"/>
      <charset val="1"/>
    </font>
    <font>
      <vertAlign val="superscript"/>
      <sz val="9"/>
      <name val="Tahoma"/>
      <family val="2"/>
      <charset val="204"/>
    </font>
    <font>
      <u val="single"/>
      <sz val="1"/>
      <color rgb="FF333399"/>
      <name val="Tahoma"/>
      <family val="0"/>
      <charset val="1"/>
    </font>
    <font>
      <sz val="10"/>
      <color rgb="FF000000"/>
      <name val="Arial"/>
      <family val="0"/>
      <charset val="1"/>
    </font>
    <font>
      <sz val="18"/>
      <color rgb="FFFFFFFF"/>
      <name val="Tahoma"/>
      <family val="0"/>
      <charset val="1"/>
    </font>
    <font>
      <sz val="9"/>
      <color rgb="FF333399"/>
      <name val="Tahoma"/>
      <family val="0"/>
      <charset val="1"/>
    </font>
    <font>
      <sz val="7"/>
      <color rgb="FF000000"/>
      <name val="Tahoma"/>
      <family val="0"/>
      <charset val="1"/>
    </font>
    <font>
      <sz val="1"/>
      <color rgb="FF000080"/>
      <name val="Tahoma"/>
      <family val="0"/>
      <charset val="1"/>
    </font>
    <font>
      <b val="true"/>
      <u val="single"/>
      <sz val="9"/>
      <name val="Tahoma"/>
      <family val="0"/>
      <charset val="1"/>
    </font>
  </fonts>
  <fills count="30">
    <fill>
      <patternFill patternType="none"/>
    </fill>
    <fill>
      <patternFill patternType="gray125"/>
    </fill>
    <fill>
      <patternFill patternType="solid">
        <fgColor rgb="FFFFFF99"/>
        <bgColor rgb="FFFFFFC0"/>
      </patternFill>
    </fill>
    <fill>
      <patternFill patternType="solid">
        <fgColor rgb="FFBCBCBC"/>
        <bgColor rgb="FFBFBFBF"/>
      </patternFill>
    </fill>
    <fill>
      <patternFill patternType="solid">
        <fgColor rgb="FFD9D9D9"/>
        <bgColor rgb="FFD3DBDB"/>
      </patternFill>
    </fill>
    <fill>
      <patternFill patternType="solid">
        <fgColor rgb="FFFFFFC0"/>
        <bgColor rgb="FFFFFF99"/>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FFFFFF"/>
        <bgColor rgb="FFEDF9FF"/>
      </patternFill>
    </fill>
    <fill>
      <patternFill patternType="solid">
        <fgColor rgb="FFB7E4FF"/>
        <bgColor rgb="FFD3DBDB"/>
      </patternFill>
    </fill>
    <fill>
      <patternFill patternType="solid">
        <fgColor rgb="FFF0F0F0"/>
        <bgColor rgb="FFEAEBEE"/>
      </patternFill>
    </fill>
    <fill>
      <patternFill patternType="solid">
        <fgColor rgb="FF00CCFF"/>
        <bgColor rgb="FF0070C0"/>
      </patternFill>
    </fill>
    <fill>
      <patternFill patternType="solid">
        <fgColor rgb="FFCCCCFF"/>
        <bgColor rgb="FFD3DBDB"/>
      </patternFill>
    </fill>
    <fill>
      <patternFill patternType="solid">
        <fgColor rgb="FFFDEADA"/>
        <bgColor rgb="FFF0F0F0"/>
      </patternFill>
    </fill>
    <fill>
      <patternFill patternType="solid">
        <fgColor rgb="FFEAEBEE"/>
        <bgColor rgb="FFF0F0F0"/>
      </patternFill>
    </fill>
    <fill>
      <patternFill patternType="solid">
        <fgColor rgb="FFFF9900"/>
        <bgColor rgb="FFE46C0A"/>
      </patternFill>
    </fill>
    <fill>
      <patternFill patternType="solid">
        <fgColor rgb="FF0066CC"/>
        <bgColor rgb="FF0070C0"/>
      </patternFill>
    </fill>
    <fill>
      <patternFill patternType="solid">
        <fgColor rgb="FF808000"/>
        <bgColor rgb="FF808080"/>
      </patternFill>
    </fill>
    <fill>
      <patternFill patternType="solid">
        <fgColor rgb="FFCC99FF"/>
        <bgColor rgb="FFBCBCBC"/>
      </patternFill>
    </fill>
    <fill>
      <patternFill patternType="solid">
        <fgColor rgb="FFC0C0C0"/>
        <bgColor rgb="FFBFBFBF"/>
      </patternFill>
    </fill>
    <fill>
      <patternFill patternType="solid">
        <fgColor rgb="FFEDF9FF"/>
        <bgColor rgb="FFE3FAFD"/>
      </patternFill>
    </fill>
    <fill>
      <patternFill patternType="solid">
        <fgColor rgb="FFFFFF00"/>
        <bgColor rgb="FFFFFF99"/>
      </patternFill>
    </fill>
    <fill>
      <patternFill patternType="solid">
        <fgColor rgb="FFFFB7B7"/>
        <bgColor rgb="FFFFCC99"/>
      </patternFill>
    </fill>
    <fill>
      <patternFill patternType="solid">
        <fgColor rgb="FF8DB4E2"/>
        <bgColor rgb="FF8EB4E3"/>
      </patternFill>
    </fill>
    <fill>
      <patternFill patternType="solid">
        <fgColor rgb="FFDDD9C3"/>
        <bgColor rgb="FFD9D9D9"/>
      </patternFill>
    </fill>
    <fill>
      <patternFill patternType="solid">
        <fgColor rgb="FFF2DCDB"/>
        <bgColor rgb="FFE6E0EC"/>
      </patternFill>
    </fill>
    <fill>
      <patternFill patternType="solid">
        <fgColor rgb="FFE46C0A"/>
        <bgColor rgb="FFE26B0A"/>
      </patternFill>
    </fill>
    <fill>
      <patternFill patternType="solid">
        <fgColor rgb="FFC3D69B"/>
        <bgColor rgb="FFDDD9C3"/>
      </patternFill>
    </fill>
    <fill>
      <patternFill patternType="solid">
        <fgColor rgb="FFE6E0EC"/>
        <bgColor rgb="FFEAEBEE"/>
      </patternFill>
    </fill>
  </fills>
  <borders count="60">
    <border diagonalUp="false" diagonalDown="false">
      <left/>
      <right/>
      <top/>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BCBCBC"/>
      </left>
      <right style="thin">
        <color rgb="FFBCBCBC"/>
      </right>
      <top/>
      <bottom/>
      <diagonal/>
    </border>
    <border diagonalUp="false" diagonalDown="false">
      <left style="thin">
        <color rgb="FFBCBCBC"/>
      </left>
      <right/>
      <top/>
      <bottom/>
      <diagonal/>
    </border>
    <border diagonalUp="false" diagonalDown="false">
      <left style="thin">
        <color rgb="FFBCBCBC"/>
      </left>
      <right/>
      <top style="thin">
        <color rgb="FFBCBCBC"/>
      </top>
      <bottom/>
      <diagonal/>
    </border>
    <border diagonalUp="false" diagonalDown="false">
      <left/>
      <right/>
      <top style="thin">
        <color rgb="FFBCBCBC"/>
      </top>
      <bottom/>
      <diagonal/>
    </border>
    <border diagonalUp="false" diagonalDown="false">
      <left style="thin">
        <color rgb="FFBCBCBC"/>
      </left>
      <right style="thin">
        <color rgb="FFBCBCBC"/>
      </right>
      <top style="thin">
        <color rgb="FFBCBCBC"/>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n">
        <color rgb="FFBCBCBC"/>
      </left>
      <right/>
      <top/>
      <bottom style="thin">
        <color rgb="FFBCBCBC"/>
      </bottom>
      <diagonal/>
    </border>
    <border diagonalUp="false" diagonalDown="false">
      <left/>
      <right/>
      <top/>
      <bottom style="thin">
        <color rgb="FFBCBCBC"/>
      </bottom>
      <diagonal/>
    </border>
    <border diagonalUp="false" diagonalDown="false">
      <left/>
      <right/>
      <top style="thin">
        <color rgb="FFC0C0C0"/>
      </top>
      <bottom style="thin">
        <color rgb="FFC0C0C0"/>
      </bottom>
      <diagonal/>
    </border>
    <border diagonalUp="false" diagonalDown="false">
      <left style="hair">
        <color rgb="FFC0C0C0"/>
      </left>
      <right/>
      <top style="hair">
        <color rgb="FFC0C0C0"/>
      </top>
      <bottom style="hair">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style="thin">
        <color rgb="FFC0C0C0"/>
      </left>
      <right/>
      <top style="thin">
        <color rgb="FFC0C0C0"/>
      </top>
      <bottom/>
      <diagonal/>
    </border>
    <border diagonalUp="false" diagonalDown="false">
      <left style="thin">
        <color rgb="FFC0C0C0"/>
      </left>
      <right style="thin">
        <color rgb="FFC0C0C0"/>
      </right>
      <top style="thin">
        <color rgb="FFBCBCBC"/>
      </top>
      <bottom style="thin">
        <color rgb="FFBCBCBC"/>
      </bottom>
      <diagonal/>
    </border>
    <border diagonalUp="false" diagonalDown="false">
      <left/>
      <right/>
      <top style="thin">
        <color rgb="FFBCBCBC"/>
      </top>
      <bottom style="thin">
        <color rgb="FFBCBCBC"/>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BCBCBC"/>
      </top>
      <bottom style="thin">
        <color rgb="FFC0C0C0"/>
      </bottom>
      <diagonal/>
    </border>
    <border diagonalUp="false" diagonalDown="false">
      <left/>
      <right/>
      <top style="thin">
        <color rgb="FFBCBCBC"/>
      </top>
      <bottom style="thin">
        <color rgb="FFC0C0C0"/>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rgb="FFBFBFBF"/>
      </left>
      <right style="thin">
        <color rgb="FFC0C0C0"/>
      </right>
      <top style="thin">
        <color rgb="FFC0C0C0"/>
      </top>
      <bottom style="thin">
        <color rgb="FFC0C0C0"/>
      </bottom>
      <diagonal/>
    </border>
    <border diagonalUp="false" diagonalDown="false">
      <left style="thin">
        <color rgb="FFBFBFBF"/>
      </left>
      <right style="thin">
        <color rgb="FFC0C0C0"/>
      </right>
      <top style="thin">
        <color rgb="FFC0C0C0"/>
      </top>
      <bottom/>
      <diagonal/>
    </border>
    <border diagonalUp="false" diagonalDown="false">
      <left style="thin">
        <color rgb="FFBFBFBF"/>
      </left>
      <right/>
      <top style="thin">
        <color rgb="FFC0C0C0"/>
      </top>
      <bottom style="thin">
        <color rgb="FFC0C0C0"/>
      </bottom>
      <diagonal/>
    </border>
    <border diagonalUp="false" diagonalDown="false">
      <left style="thin">
        <color rgb="FFBFBFBF"/>
      </left>
      <right/>
      <top style="thin">
        <color rgb="FFC0C0C0"/>
      </top>
      <bottom/>
      <diagonal/>
    </border>
    <border diagonalUp="false" diagonalDown="false">
      <left style="thin">
        <color rgb="FFBFBFBF"/>
      </left>
      <right style="thin">
        <color rgb="FFBFBFBF"/>
      </right>
      <top/>
      <bottom style="thin">
        <color rgb="FFBFBFBF"/>
      </bottom>
      <diagonal/>
    </border>
    <border diagonalUp="false" diagonalDown="false">
      <left style="thin">
        <color rgb="FFBFBFBF"/>
      </left>
      <right style="thin">
        <color rgb="FFBFBFBF"/>
      </right>
      <top/>
      <bottom/>
      <diagonal/>
    </border>
    <border diagonalUp="false" diagonalDown="false">
      <left style="thin">
        <color rgb="FFBFBFBF"/>
      </left>
      <right style="thin">
        <color rgb="FFBFBFBF"/>
      </right>
      <top style="thin">
        <color rgb="FFBFBFBF"/>
      </top>
      <bottom style="thin">
        <color rgb="FFBFBFBF"/>
      </bottom>
      <diagonal/>
    </border>
    <border diagonalUp="false" diagonalDown="false">
      <left style="thin">
        <color rgb="FFBFBFBF"/>
      </left>
      <right/>
      <top style="thin">
        <color rgb="FFBFBFBF"/>
      </top>
      <bottom style="thin">
        <color rgb="FFBFBFBF"/>
      </bottom>
      <diagonal/>
    </border>
    <border diagonalUp="false" diagonalDown="false">
      <left style="thin">
        <color rgb="FFBFBFBF"/>
      </left>
      <right style="thin">
        <color rgb="FFBFBFBF"/>
      </right>
      <top style="thin">
        <color rgb="FFBFBFBF"/>
      </top>
      <bottom/>
      <diagonal/>
    </border>
    <border diagonalUp="false" diagonalDown="false">
      <left style="thin">
        <color rgb="FFBFBFBF"/>
      </left>
      <right/>
      <top/>
      <bottom style="thin">
        <color rgb="FFBFBFBF"/>
      </bottom>
      <diagonal/>
    </border>
    <border diagonalUp="false" diagonalDown="false">
      <left style="thin">
        <color rgb="FFBCBCBC"/>
      </left>
      <right/>
      <top style="medium">
        <color rgb="FFBCBCBC"/>
      </top>
      <bottom/>
      <diagonal/>
    </border>
    <border diagonalUp="false" diagonalDown="false">
      <left/>
      <right/>
      <top style="medium">
        <color rgb="FFBCBCBC"/>
      </top>
      <bottom/>
      <diagonal/>
    </border>
    <border diagonalUp="false" diagonalDown="false">
      <left/>
      <right/>
      <top style="medium">
        <color rgb="FFBCBCBC"/>
      </top>
      <bottom style="thin">
        <color rgb="FFBCBCBC"/>
      </bottom>
      <diagonal/>
    </border>
    <border diagonalUp="false" diagonalDown="false">
      <left/>
      <right style="thin">
        <color rgb="FFBCBCBC"/>
      </right>
      <top style="medium">
        <color rgb="FFBCBCBC"/>
      </top>
      <bottom style="thin">
        <color rgb="FFBCBCBC"/>
      </bottom>
      <diagonal/>
    </border>
    <border diagonalUp="false" diagonalDown="false">
      <left style="thin">
        <color rgb="FFC0C0C0"/>
      </left>
      <right style="thin">
        <color rgb="FFC0C0C0"/>
      </right>
      <top style="thin">
        <color rgb="FFC0C0C0"/>
      </top>
      <bottom style="medium">
        <color rgb="FFC0C0C0"/>
      </bottom>
      <diagonal/>
    </border>
    <border diagonalUp="false" diagonalDown="false">
      <left/>
      <right style="thin">
        <color rgb="FFBFBFBF"/>
      </right>
      <top style="thin">
        <color rgb="FFC0C0C0"/>
      </top>
      <bottom style="thin">
        <color rgb="FFC0C0C0"/>
      </bottom>
      <diagonal/>
    </border>
    <border diagonalUp="false" diagonalDown="false">
      <left/>
      <right/>
      <top/>
      <bottom style="medium">
        <color rgb="FFC0C0C0"/>
      </bottom>
      <diagonal/>
    </border>
    <border diagonalUp="false" diagonalDown="false">
      <left/>
      <right/>
      <top style="thin">
        <color rgb="FFC0C0C0"/>
      </top>
      <bottom style="medium">
        <color rgb="FFC0C0C0"/>
      </bottom>
      <diagonal/>
    </border>
    <border diagonalUp="false" diagonalDown="false">
      <left style="thin">
        <color rgb="FFBCBCBC"/>
      </left>
      <right/>
      <top style="thin">
        <color rgb="FFBCBCBC"/>
      </top>
      <bottom style="thin">
        <color rgb="FFC0C0C0"/>
      </bottom>
      <diagonal/>
    </border>
    <border diagonalUp="false" diagonalDown="false">
      <left style="thin">
        <color rgb="FFBCBCBC"/>
      </left>
      <right/>
      <top style="medium">
        <color rgb="FFBCBCBC"/>
      </top>
      <bottom style="thin">
        <color rgb="FFC0C0C0"/>
      </bottom>
      <diagonal/>
    </border>
    <border diagonalUp="false" diagonalDown="false">
      <left/>
      <right/>
      <top style="medium">
        <color rgb="FFC0C0C0"/>
      </top>
      <bottom style="thin">
        <color rgb="FFC0C0C0"/>
      </bottom>
      <diagonal/>
    </border>
    <border diagonalUp="false" diagonalDown="false">
      <left style="thin">
        <color rgb="FFC0C0C0"/>
      </left>
      <right/>
      <top style="thin">
        <color rgb="FFC0C0C0"/>
      </top>
      <bottom style="medium">
        <color rgb="FFC0C0C0"/>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right style="thin"/>
      <top style="thin"/>
      <bottom style="thin"/>
      <diagonal/>
    </border>
    <border diagonalUp="false" diagonalDown="false">
      <left style="thin">
        <color rgb="FFA6A6A6"/>
      </left>
      <right style="thin">
        <color rgb="FFA6A6A6"/>
      </right>
      <top style="thin">
        <color rgb="FFA6A6A6"/>
      </top>
      <bottom style="thin">
        <color rgb="FFA6A6A6"/>
      </bottom>
      <diagonal/>
    </border>
    <border diagonalUp="false" diagonalDown="false">
      <left style="thin">
        <color rgb="FFC0C0C0"/>
      </left>
      <right style="thin">
        <color rgb="FFC0C0C0"/>
      </right>
      <top style="thin">
        <color rgb="FFC0C0C0"/>
      </top>
      <bottom style="thin">
        <color rgb="FFBCBCBC"/>
      </bottom>
      <diagonal/>
    </border>
    <border diagonalUp="false" diagonalDown="false">
      <left/>
      <right/>
      <top style="dotted"/>
      <bottom style="dotted"/>
      <diagonal/>
    </border>
  </borders>
  <cellStyleXfs count="50">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false" applyAlignment="true" applyProtection="true">
      <alignment horizontal="general" vertical="bottom" textRotation="0" wrapText="false" indent="0" shrinkToFit="false"/>
      <protection locked="true" hidden="false"/>
    </xf>
    <xf numFmtId="166" fontId="4" fillId="0" borderId="0" applyFont="true" applyBorder="false" applyAlignment="true" applyProtection="true">
      <alignment horizontal="general" vertical="bottom"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8" fontId="6" fillId="2" borderId="0" applyFont="true" applyBorder="false" applyAlignment="true" applyProtection="true">
      <alignment horizontal="general" vertical="bottom" textRotation="0" wrapText="false" indent="0" shrinkToFit="false"/>
      <protection locked="false" hidden="false"/>
    </xf>
    <xf numFmtId="165" fontId="7" fillId="0" borderId="0" applyFont="true" applyBorder="false" applyAlignment="true" applyProtection="true">
      <alignment horizontal="general" vertical="center" textRotation="0" wrapText="false" indent="0" shrinkToFit="false"/>
      <protection locked="true" hidden="false"/>
    </xf>
    <xf numFmtId="169" fontId="6" fillId="2" borderId="0" applyFont="true" applyBorder="false" applyAlignment="true" applyProtection="true">
      <alignment horizontal="general" vertical="bottom" textRotation="0" wrapText="false" indent="0" shrinkToFit="false"/>
      <protection locked="false" hidden="false"/>
    </xf>
    <xf numFmtId="170" fontId="6" fillId="2" borderId="0" applyFont="true" applyBorder="false" applyAlignment="true" applyProtection="true">
      <alignment horizontal="general" vertical="bottom" textRotation="0" wrapText="false" indent="0" shrinkToFit="false"/>
      <protection locked="false" hidden="false"/>
    </xf>
    <xf numFmtId="165" fontId="8" fillId="0" borderId="0" applyFont="true" applyBorder="false" applyAlignment="true" applyProtection="true">
      <alignment horizontal="general" vertical="top" textRotation="0" wrapText="false" indent="0" shrinkToFit="false"/>
      <protection locked="true" hidden="false"/>
    </xf>
    <xf numFmtId="165" fontId="9" fillId="0" borderId="0" applyFont="true" applyBorder="false" applyAlignment="true" applyProtection="true">
      <alignment horizontal="general" vertical="top" textRotation="0" wrapText="false" indent="0" shrinkToFit="false"/>
      <protection locked="true" hidden="false"/>
    </xf>
    <xf numFmtId="165" fontId="5" fillId="0" borderId="0" applyFont="true" applyBorder="false" applyAlignment="true" applyProtection="true">
      <alignment horizontal="general" vertical="bottom" textRotation="0" wrapText="false" indent="0" shrinkToFit="false"/>
      <protection locked="true" hidden="false"/>
    </xf>
    <xf numFmtId="165" fontId="7" fillId="0" borderId="0" applyFont="true" applyBorder="false" applyAlignment="true" applyProtection="true">
      <alignment horizontal="general" vertical="center" textRotation="0" wrapText="false" indent="0" shrinkToFit="false"/>
      <protection locked="true" hidden="false"/>
    </xf>
    <xf numFmtId="165" fontId="7" fillId="0" borderId="0" applyFont="true" applyBorder="false" applyAlignment="true" applyProtection="true">
      <alignment horizontal="general" vertical="center" textRotation="0" wrapText="false" indent="0" shrinkToFit="false"/>
      <protection locked="true" hidden="false"/>
    </xf>
    <xf numFmtId="164" fontId="6" fillId="0" borderId="0" applyFont="true" applyBorder="false" applyAlignment="true" applyProtection="true">
      <alignment horizontal="general" vertical="top"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4" fontId="0" fillId="0" borderId="0" applyFont="true" applyBorder="false" applyAlignment="true" applyProtection="true">
      <alignment horizontal="general" vertical="top" textRotation="0" wrapText="false" indent="0" shrinkToFit="false"/>
      <protection locked="true" hidden="false"/>
    </xf>
    <xf numFmtId="165" fontId="10" fillId="0" borderId="0" applyFont="true" applyBorder="false" applyAlignment="true" applyProtection="true">
      <alignment horizontal="general" vertical="bottom" textRotation="0" wrapText="false" indent="0" shrinkToFit="false"/>
      <protection locked="true" hidden="false"/>
    </xf>
    <xf numFmtId="165" fontId="10" fillId="0" borderId="0" applyFont="true" applyBorder="false" applyAlignment="true" applyProtection="true">
      <alignment horizontal="general" vertical="bottom" textRotation="0" wrapText="false" indent="0" shrinkToFit="false"/>
      <protection locked="true" hidden="false"/>
    </xf>
    <xf numFmtId="165" fontId="11" fillId="0" borderId="0" applyFont="true" applyBorder="false" applyAlignment="true" applyProtection="true">
      <alignment horizontal="general" vertical="top" textRotation="0" wrapText="false" indent="0" shrinkToFit="false"/>
      <protection locked="true" hidden="false"/>
    </xf>
  </cellStyleXfs>
  <cellXfs count="1259">
    <xf numFmtId="164" fontId="0" fillId="0" borderId="0" xfId="0" applyFont="false" applyBorder="false" applyAlignment="false" applyProtection="false">
      <alignment horizontal="general" vertical="top" textRotation="0" wrapText="false" indent="0" shrinkToFit="false"/>
      <protection locked="true" hidden="false"/>
    </xf>
    <xf numFmtId="165" fontId="10" fillId="0" borderId="0" xfId="0" applyFont="true" applyBorder="true" applyAlignment="true" applyProtection="true">
      <alignment horizontal="general" vertical="bottom" textRotation="0" wrapText="false" indent="0" shrinkToFit="false"/>
      <protection locked="true" hidden="false"/>
    </xf>
    <xf numFmtId="165" fontId="12" fillId="0" borderId="0" xfId="0" applyFont="true" applyBorder="true" applyAlignment="true" applyProtection="true">
      <alignment horizontal="general" vertical="bottom" textRotation="0" wrapText="true" indent="0" shrinkToFit="false"/>
      <protection locked="true" hidden="false"/>
    </xf>
    <xf numFmtId="164" fontId="13" fillId="0" borderId="0" xfId="0" applyFont="true" applyBorder="true" applyAlignment="true" applyProtection="true">
      <alignment horizontal="general" vertical="bottom" textRotation="0" wrapText="true" indent="0" shrinkToFit="false"/>
      <protection locked="true" hidden="false"/>
    </xf>
    <xf numFmtId="164" fontId="13" fillId="0" borderId="0" xfId="0" applyFont="true" applyBorder="true" applyAlignment="true" applyProtection="true">
      <alignment horizontal="general" vertical="center" textRotation="0" wrapText="true" indent="0" shrinkToFit="false"/>
      <protection locked="true" hidden="false"/>
    </xf>
    <xf numFmtId="164" fontId="14" fillId="0" borderId="0" xfId="0" applyFont="true" applyBorder="true" applyAlignment="true" applyProtection="true">
      <alignment horizontal="general" vertical="bottom" textRotation="0" wrapText="true" indent="0" shrinkToFit="false"/>
      <protection locked="true" hidden="false"/>
    </xf>
    <xf numFmtId="165" fontId="15" fillId="0" borderId="0" xfId="0" applyFont="true" applyBorder="true" applyAlignment="true" applyProtection="true">
      <alignment horizontal="general" vertical="center" textRotation="0" wrapText="true" indent="0" shrinkToFit="false"/>
      <protection locked="true" hidden="false"/>
    </xf>
    <xf numFmtId="165" fontId="15" fillId="0" borderId="0" xfId="0" applyFont="true" applyBorder="true" applyAlignment="true" applyProtection="true">
      <alignment horizontal="left" vertical="center" textRotation="0" wrapText="true" indent="0" shrinkToFit="false"/>
      <protection locked="true" hidden="false"/>
    </xf>
    <xf numFmtId="164" fontId="16" fillId="0" borderId="0" xfId="0" applyFont="true" applyBorder="true" applyAlignment="true" applyProtection="true">
      <alignment horizontal="general" vertical="bottom" textRotation="0" wrapText="true" indent="0" shrinkToFit="false"/>
      <protection locked="true" hidden="false"/>
    </xf>
    <xf numFmtId="165" fontId="15" fillId="0" borderId="0" xfId="0" applyFont="true" applyBorder="true" applyAlignment="true" applyProtection="true">
      <alignment horizontal="general" vertical="center" textRotation="0" wrapText="false" indent="0" shrinkToFit="false"/>
      <protection locked="true" hidden="false"/>
    </xf>
    <xf numFmtId="165" fontId="17" fillId="0" borderId="0" xfId="0" applyFont="true" applyBorder="true" applyAlignment="true" applyProtection="true">
      <alignment horizontal="left" vertical="top" textRotation="0" wrapText="true" indent="0" shrinkToFit="false"/>
      <protection locked="true" hidden="false"/>
    </xf>
    <xf numFmtId="164" fontId="6" fillId="0" borderId="0" xfId="0" applyFont="true" applyBorder="true" applyAlignment="true" applyProtection="true">
      <alignment horizontal="general" vertical="top" textRotation="0" wrapText="true" indent="0" shrinkToFit="false"/>
      <protection locked="true" hidden="false"/>
    </xf>
    <xf numFmtId="171" fontId="17" fillId="3" borderId="1" xfId="0" applyFont="true" applyBorder="true" applyAlignment="true" applyProtection="true">
      <alignment horizontal="center" vertical="center" textRotation="0" wrapText="true" indent="0" shrinkToFit="false"/>
      <protection locked="true" hidden="false"/>
    </xf>
    <xf numFmtId="165" fontId="13" fillId="0" borderId="0" xfId="0" applyFont="true" applyBorder="true" applyAlignment="true" applyProtection="true">
      <alignment horizontal="general" vertical="bottom" textRotation="0" wrapText="true" indent="0" shrinkToFit="false"/>
      <protection locked="true" hidden="false"/>
    </xf>
    <xf numFmtId="165" fontId="17" fillId="4" borderId="2" xfId="0" applyFont="true" applyBorder="true" applyAlignment="true" applyProtection="true">
      <alignment horizontal="right" vertical="center" textRotation="0" wrapText="true" indent="1" shrinkToFit="false"/>
      <protection locked="true" hidden="false"/>
    </xf>
    <xf numFmtId="165" fontId="18" fillId="0" borderId="0" xfId="0" applyFont="true" applyBorder="true" applyAlignment="true" applyProtection="true">
      <alignment horizontal="left" vertical="center" textRotation="0" wrapText="true" indent="0" shrinkToFit="false"/>
      <protection locked="true" hidden="false"/>
    </xf>
    <xf numFmtId="165" fontId="19" fillId="0" borderId="0" xfId="0" applyFont="true" applyBorder="true" applyAlignment="true" applyProtection="true">
      <alignment horizontal="general" vertical="center" textRotation="0" wrapText="true" indent="0" shrinkToFit="false"/>
      <protection locked="true" hidden="false"/>
    </xf>
    <xf numFmtId="165" fontId="13" fillId="0" borderId="3" xfId="0" applyFont="true" applyBorder="true" applyAlignment="true" applyProtection="true">
      <alignment horizontal="general" vertical="bottom" textRotation="0" wrapText="true" indent="0" shrinkToFit="false"/>
      <protection locked="true" hidden="false"/>
    </xf>
    <xf numFmtId="165" fontId="13" fillId="0" borderId="0" xfId="0" applyFont="true" applyBorder="true" applyAlignment="true" applyProtection="true">
      <alignment horizontal="general" vertical="bottom" textRotation="0" wrapText="false" indent="0" shrinkToFit="false"/>
      <protection locked="true" hidden="false"/>
    </xf>
    <xf numFmtId="165" fontId="18" fillId="0" borderId="0" xfId="0" applyFont="true" applyBorder="true" applyAlignment="true" applyProtection="true">
      <alignment horizontal="general" vertical="bottom" textRotation="0" wrapText="false" indent="0" shrinkToFit="false"/>
      <protection locked="true" hidden="false"/>
    </xf>
    <xf numFmtId="165" fontId="20" fillId="0" borderId="0" xfId="0" applyFont="true" applyBorder="true" applyAlignment="true" applyProtection="true">
      <alignment horizontal="general" vertical="bottom" textRotation="0" wrapText="true" indent="0" shrinkToFit="false"/>
      <protection locked="true" hidden="false"/>
    </xf>
    <xf numFmtId="165" fontId="0" fillId="5" borderId="4" xfId="0" applyFont="true" applyBorder="true" applyAlignment="true" applyProtection="true">
      <alignment horizontal="center" vertical="center" textRotation="0" wrapText="true" indent="0" shrinkToFit="false"/>
      <protection locked="true" hidden="false"/>
    </xf>
    <xf numFmtId="165" fontId="20" fillId="0" borderId="3" xfId="0" applyFont="true" applyBorder="true" applyAlignment="true" applyProtection="true">
      <alignment horizontal="general" vertical="center" textRotation="0" wrapText="true" indent="0" shrinkToFit="false"/>
      <protection locked="true" hidden="false"/>
    </xf>
    <xf numFmtId="165" fontId="0" fillId="6" borderId="4" xfId="0" applyFont="true" applyBorder="true" applyAlignment="true" applyProtection="true">
      <alignment horizontal="center" vertical="center" textRotation="0" wrapText="true" indent="0" shrinkToFit="false"/>
      <protection locked="true" hidden="false"/>
    </xf>
    <xf numFmtId="165" fontId="20" fillId="0" borderId="3" xfId="0" applyFont="true" applyBorder="true" applyAlignment="true" applyProtection="true">
      <alignment horizontal="left" vertical="center" textRotation="0" wrapText="true" indent="0" shrinkToFit="false"/>
      <protection locked="true" hidden="false"/>
    </xf>
    <xf numFmtId="165" fontId="0" fillId="7" borderId="4" xfId="0" applyFont="true" applyBorder="true" applyAlignment="true" applyProtection="true">
      <alignment horizontal="center" vertical="center" textRotation="0" wrapText="true" indent="0" shrinkToFit="false"/>
      <protection locked="true" hidden="false"/>
    </xf>
    <xf numFmtId="165" fontId="0" fillId="8" borderId="4" xfId="0" applyFont="true" applyBorder="true" applyAlignment="true" applyProtection="true">
      <alignment horizontal="center" vertical="center" textRotation="0" wrapText="true" indent="0" shrinkToFit="false"/>
      <protection locked="true" hidden="false"/>
    </xf>
    <xf numFmtId="165" fontId="18" fillId="0" borderId="3" xfId="0" applyFont="true" applyBorder="true" applyAlignment="true" applyProtection="true">
      <alignment horizontal="left" vertical="center" textRotation="0" wrapText="true" indent="0" shrinkToFit="false"/>
      <protection locked="true" hidden="false"/>
    </xf>
    <xf numFmtId="165" fontId="18" fillId="0" borderId="5" xfId="0" applyFont="true" applyBorder="true" applyAlignment="true" applyProtection="true">
      <alignment horizontal="left" vertical="center" textRotation="0" wrapText="true" indent="0" shrinkToFit="false"/>
      <protection locked="true" hidden="false"/>
    </xf>
    <xf numFmtId="165" fontId="17" fillId="4" borderId="6" xfId="0" applyFont="true" applyBorder="true" applyAlignment="true" applyProtection="true">
      <alignment horizontal="right" vertical="center" textRotation="0" wrapText="true" indent="1" shrinkToFit="false"/>
      <protection locked="true" hidden="false"/>
    </xf>
    <xf numFmtId="165" fontId="20" fillId="0" borderId="0" xfId="0" applyFont="true" applyBorder="true" applyAlignment="true" applyProtection="true">
      <alignment horizontal="general" vertical="bottom" textRotation="0" wrapText="false" indent="0" shrinkToFit="false"/>
      <protection locked="true" hidden="false"/>
    </xf>
    <xf numFmtId="165" fontId="20" fillId="0" borderId="3" xfId="0" applyFont="true" applyBorder="true" applyAlignment="true" applyProtection="true">
      <alignment horizontal="general" vertical="bottom" textRotation="0" wrapText="true" indent="0" shrinkToFit="false"/>
      <protection locked="true" hidden="false"/>
    </xf>
    <xf numFmtId="165" fontId="20" fillId="0" borderId="0" xfId="0" applyFont="true" applyBorder="true" applyAlignment="true" applyProtection="true">
      <alignment horizontal="general" vertical="center" textRotation="0" wrapText="true" indent="0" shrinkToFit="false"/>
      <protection locked="true" hidden="false"/>
    </xf>
    <xf numFmtId="165" fontId="17" fillId="4" borderId="7" xfId="0" applyFont="true" applyBorder="true" applyAlignment="true" applyProtection="true">
      <alignment horizontal="right" vertical="center" textRotation="0" wrapText="true" indent="1" shrinkToFit="false"/>
      <protection locked="true" hidden="false"/>
    </xf>
    <xf numFmtId="165" fontId="20" fillId="0" borderId="0" xfId="0" applyFont="true" applyBorder="true" applyAlignment="true" applyProtection="true">
      <alignment horizontal="general" vertical="top" textRotation="0" wrapText="true" indent="0" shrinkToFit="false"/>
      <protection locked="true" hidden="false"/>
    </xf>
    <xf numFmtId="165" fontId="13" fillId="0" borderId="8" xfId="0" applyFont="true" applyBorder="true" applyAlignment="true" applyProtection="true">
      <alignment horizontal="general" vertical="bottom" textRotation="0" wrapText="true" indent="0" shrinkToFit="false"/>
      <protection locked="true" hidden="false"/>
    </xf>
    <xf numFmtId="165" fontId="13" fillId="0" borderId="9" xfId="0" applyFont="true" applyBorder="true" applyAlignment="true" applyProtection="true">
      <alignment horizontal="general" vertical="bottom" textRotation="0" wrapText="true" indent="0" shrinkToFit="false"/>
      <protection locked="true" hidden="false"/>
    </xf>
    <xf numFmtId="165" fontId="13" fillId="0" borderId="9" xfId="0" applyFont="true" applyBorder="true" applyAlignment="true" applyProtection="true">
      <alignment horizontal="general" vertical="center" textRotation="0" wrapText="true" indent="0" shrinkToFit="false"/>
      <protection locked="true" hidden="false"/>
    </xf>
    <xf numFmtId="165" fontId="14" fillId="0" borderId="0" xfId="0" applyFont="true" applyBorder="true" applyAlignment="true" applyProtection="true">
      <alignment horizontal="general" vertical="bottom" textRotation="0" wrapText="false" indent="0" shrinkToFit="false"/>
      <protection locked="true" hidden="false"/>
    </xf>
    <xf numFmtId="165" fontId="21" fillId="0" borderId="0" xfId="0" applyFont="true" applyBorder="true" applyAlignment="true" applyProtection="true">
      <alignment horizontal="left" vertical="center" textRotation="0" wrapText="true" indent="0" shrinkToFit="false"/>
      <protection locked="true" hidden="false"/>
    </xf>
    <xf numFmtId="165" fontId="22" fillId="0" borderId="0" xfId="0" applyFont="true" applyBorder="true" applyAlignment="true" applyProtection="true">
      <alignment horizontal="left" vertical="center" textRotation="0" wrapText="true" indent="0" shrinkToFit="false"/>
      <protection locked="true" hidden="false"/>
    </xf>
    <xf numFmtId="165" fontId="23" fillId="0" borderId="0" xfId="0" applyFont="true" applyBorder="true" applyAlignment="true" applyProtection="true">
      <alignment horizontal="general" vertical="center" textRotation="0" wrapText="true" indent="0" shrinkToFit="false"/>
      <protection locked="true" hidden="false"/>
    </xf>
    <xf numFmtId="165" fontId="6" fillId="0" borderId="0" xfId="0" applyFont="true" applyBorder="true" applyAlignment="true" applyProtection="true">
      <alignment horizontal="general" vertical="center" textRotation="0" wrapText="true" indent="0" shrinkToFit="false"/>
      <protection locked="true" hidden="false"/>
    </xf>
    <xf numFmtId="165" fontId="6" fillId="0" borderId="0" xfId="0" applyFont="true" applyBorder="true" applyAlignment="true" applyProtection="true">
      <alignment horizontal="center" vertical="center" textRotation="0" wrapText="true" indent="0" shrinkToFit="false"/>
      <protection locked="true" hidden="false"/>
    </xf>
    <xf numFmtId="165" fontId="22" fillId="0" borderId="0" xfId="0" applyFont="true" applyBorder="true" applyAlignment="true" applyProtection="true">
      <alignment horizontal="center" vertical="center" textRotation="0" wrapText="true" indent="0" shrinkToFit="false"/>
      <protection locked="true" hidden="false"/>
    </xf>
    <xf numFmtId="165" fontId="22" fillId="0" borderId="0" xfId="0" applyFont="true" applyBorder="true" applyAlignment="true" applyProtection="true">
      <alignment horizontal="general" vertical="center" textRotation="0" wrapText="true" indent="0" shrinkToFit="false"/>
      <protection locked="true" hidden="false"/>
    </xf>
    <xf numFmtId="165" fontId="24" fillId="0" borderId="0" xfId="0" applyFont="true" applyBorder="true" applyAlignment="true" applyProtection="true">
      <alignment horizontal="left" vertical="center" textRotation="0" wrapText="true" indent="0" shrinkToFit="false"/>
      <protection locked="true" hidden="false"/>
    </xf>
    <xf numFmtId="165" fontId="24" fillId="0" borderId="0" xfId="0" applyFont="true" applyBorder="true" applyAlignment="true" applyProtection="true">
      <alignment horizontal="general" vertical="center" textRotation="0" wrapText="true" indent="0" shrinkToFit="false"/>
      <protection locked="true" hidden="false"/>
    </xf>
    <xf numFmtId="171" fontId="6" fillId="0" borderId="0" xfId="0" applyFont="true" applyBorder="true" applyAlignment="true" applyProtection="true">
      <alignment horizontal="left" vertical="top" textRotation="0" wrapText="false" indent="1" shrinkToFit="false"/>
      <protection locked="true" hidden="false"/>
    </xf>
    <xf numFmtId="164" fontId="13" fillId="0" borderId="0" xfId="0" applyFont="true" applyBorder="true" applyAlignment="true" applyProtection="true">
      <alignment horizontal="general" vertical="top" textRotation="0" wrapText="false" indent="0" shrinkToFit="false"/>
      <protection locked="true" hidden="false"/>
    </xf>
    <xf numFmtId="164" fontId="6" fillId="0" borderId="0" xfId="0" applyFont="true" applyBorder="true" applyAlignment="true" applyProtection="true">
      <alignment horizontal="general" vertical="center" textRotation="0" wrapText="true" indent="0" shrinkToFit="false"/>
      <protection locked="true" hidden="false"/>
    </xf>
    <xf numFmtId="164" fontId="22" fillId="0" borderId="0" xfId="0" applyFont="true" applyBorder="true" applyAlignment="true" applyProtection="true">
      <alignment horizontal="general" vertical="center" textRotation="0" wrapText="true" indent="0" shrinkToFit="false"/>
      <protection locked="true" hidden="false"/>
    </xf>
    <xf numFmtId="171" fontId="0" fillId="0" borderId="0" xfId="0" applyFont="true" applyBorder="true" applyAlignment="true" applyProtection="true">
      <alignment horizontal="left" vertical="center" textRotation="0" wrapText="false" indent="1" shrinkToFit="false"/>
      <protection locked="true" hidden="false"/>
    </xf>
    <xf numFmtId="164" fontId="0" fillId="0" borderId="0" xfId="0" applyFont="true" applyBorder="true" applyAlignment="true" applyProtection="true">
      <alignment horizontal="general" vertical="top" textRotation="0" wrapText="false" indent="0" shrinkToFit="false"/>
      <protection locked="true" hidden="false"/>
    </xf>
    <xf numFmtId="164" fontId="22" fillId="0" borderId="0" xfId="0" applyFont="true" applyBorder="true" applyAlignment="true" applyProtection="true">
      <alignment horizontal="general" vertical="top" textRotation="0" wrapText="false" indent="0" shrinkToFit="false"/>
      <protection locked="true" hidden="false"/>
    </xf>
    <xf numFmtId="165" fontId="25" fillId="0" borderId="0" xfId="0" applyFont="true" applyBorder="true" applyAlignment="true" applyProtection="true">
      <alignment horizontal="left" vertical="center" textRotation="0" wrapText="true" indent="0" shrinkToFit="false"/>
      <protection locked="true" hidden="false"/>
    </xf>
    <xf numFmtId="165" fontId="26" fillId="0" borderId="0" xfId="0" applyFont="true" applyBorder="true" applyAlignment="true" applyProtection="true">
      <alignment horizontal="general" vertical="center" textRotation="0" wrapText="true" indent="0" shrinkToFit="false"/>
      <protection locked="true" hidden="false"/>
    </xf>
    <xf numFmtId="165" fontId="27" fillId="9" borderId="0" xfId="0" applyFont="true" applyBorder="true" applyAlignment="true" applyProtection="true">
      <alignment horizontal="general" vertical="center" textRotation="0" wrapText="true" indent="0" shrinkToFit="false"/>
      <protection locked="true" hidden="false"/>
    </xf>
    <xf numFmtId="165" fontId="27" fillId="0" borderId="0" xfId="0" applyFont="true" applyBorder="true" applyAlignment="true" applyProtection="true">
      <alignment horizontal="general" vertical="center" textRotation="0" wrapText="true" indent="0" shrinkToFit="false"/>
      <protection locked="true" hidden="false"/>
    </xf>
    <xf numFmtId="165" fontId="27" fillId="0" borderId="0" xfId="0" applyFont="true" applyBorder="true" applyAlignment="true" applyProtection="true">
      <alignment horizontal="right" vertical="center" textRotation="0" wrapText="false" indent="0" shrinkToFit="false"/>
      <protection locked="true" hidden="false"/>
    </xf>
    <xf numFmtId="165" fontId="25" fillId="0" borderId="0" xfId="0" applyFont="true" applyBorder="true" applyAlignment="true" applyProtection="true">
      <alignment horizontal="general" vertical="center" textRotation="0" wrapText="true" indent="0" shrinkToFit="false"/>
      <protection locked="true" hidden="false"/>
    </xf>
    <xf numFmtId="165" fontId="28" fillId="9" borderId="0" xfId="0" applyFont="true" applyBorder="true" applyAlignment="true" applyProtection="true">
      <alignment horizontal="general" vertical="center" textRotation="0" wrapText="true" indent="0" shrinkToFit="false"/>
      <protection locked="true" hidden="false"/>
    </xf>
    <xf numFmtId="171" fontId="6" fillId="0" borderId="10" xfId="0" applyFont="true" applyBorder="true" applyAlignment="true" applyProtection="true">
      <alignment horizontal="center" vertical="center" textRotation="0" wrapText="true" indent="0" shrinkToFit="false"/>
      <protection locked="true" hidden="false"/>
    </xf>
    <xf numFmtId="165" fontId="29" fillId="9" borderId="0" xfId="0" applyFont="true" applyBorder="true" applyAlignment="true" applyProtection="true">
      <alignment horizontal="general" vertical="center" textRotation="0" wrapText="true" indent="0" shrinkToFit="false"/>
      <protection locked="true" hidden="false"/>
    </xf>
    <xf numFmtId="165" fontId="30" fillId="0" borderId="0" xfId="0" applyFont="true" applyBorder="true" applyAlignment="true" applyProtection="true">
      <alignment horizontal="general" vertical="center" textRotation="0" wrapText="true" indent="0" shrinkToFit="false"/>
      <protection locked="true" hidden="false"/>
    </xf>
    <xf numFmtId="165" fontId="27" fillId="9" borderId="0" xfId="0" applyFont="true" applyBorder="true" applyAlignment="true" applyProtection="true">
      <alignment horizontal="right" vertical="center" textRotation="0" wrapText="true" indent="1" shrinkToFit="false"/>
      <protection locked="true" hidden="false"/>
    </xf>
    <xf numFmtId="165" fontId="31" fillId="9" borderId="0" xfId="0" applyFont="true" applyBorder="true" applyAlignment="true" applyProtection="true">
      <alignment horizontal="center" vertical="center" textRotation="0" wrapText="true" indent="0" shrinkToFit="false"/>
      <protection locked="true" hidden="false"/>
    </xf>
    <xf numFmtId="165" fontId="6" fillId="9" borderId="11" xfId="0" applyFont="true" applyBorder="true" applyAlignment="true" applyProtection="true">
      <alignment horizontal="right" vertical="center" textRotation="0" wrapText="true" indent="1" shrinkToFit="false"/>
      <protection locked="true" hidden="false"/>
    </xf>
    <xf numFmtId="165" fontId="0" fillId="7" borderId="12" xfId="0" applyFont="true" applyBorder="true" applyAlignment="true" applyProtection="true">
      <alignment horizontal="left" vertical="center" textRotation="0" wrapText="true" indent="1" shrinkToFit="false"/>
      <protection locked="true" hidden="false"/>
    </xf>
    <xf numFmtId="172" fontId="21" fillId="9" borderId="0" xfId="0" applyFont="true" applyBorder="true" applyAlignment="true" applyProtection="true">
      <alignment horizontal="left" vertical="center" textRotation="0" wrapText="true" indent="0" shrinkToFit="false"/>
      <protection locked="true" hidden="false"/>
    </xf>
    <xf numFmtId="165" fontId="25" fillId="9" borderId="0" xfId="0" applyFont="true" applyBorder="true" applyAlignment="true" applyProtection="true">
      <alignment horizontal="center" vertical="center" textRotation="0" wrapText="true" indent="0" shrinkToFit="false"/>
      <protection locked="true" hidden="false"/>
    </xf>
    <xf numFmtId="165" fontId="27" fillId="9" borderId="0" xfId="0" applyFont="true" applyBorder="true" applyAlignment="true" applyProtection="true">
      <alignment horizontal="left" vertical="center" textRotation="0" wrapText="true" indent="1" shrinkToFit="false"/>
      <protection locked="true" hidden="false"/>
    </xf>
    <xf numFmtId="165" fontId="6" fillId="9" borderId="0" xfId="0" applyFont="true" applyBorder="true" applyAlignment="true" applyProtection="true">
      <alignment horizontal="center" vertical="center" textRotation="0" wrapText="true" indent="0" shrinkToFit="false"/>
      <protection locked="true" hidden="false"/>
    </xf>
    <xf numFmtId="165" fontId="25" fillId="0" borderId="0" xfId="0" applyFont="true" applyBorder="true" applyAlignment="true" applyProtection="true">
      <alignment horizontal="center" vertical="center" textRotation="0" wrapText="true" indent="0" shrinkToFit="false"/>
      <protection locked="true" hidden="false"/>
    </xf>
    <xf numFmtId="165" fontId="6" fillId="8" borderId="12" xfId="0" applyFont="true" applyBorder="true" applyAlignment="true" applyProtection="true">
      <alignment horizontal="left" vertical="top" textRotation="0" wrapText="true" indent="1" shrinkToFit="false"/>
      <protection locked="false" hidden="false"/>
    </xf>
    <xf numFmtId="165" fontId="6" fillId="0" borderId="0" xfId="0" applyFont="true" applyBorder="true" applyAlignment="true" applyProtection="true">
      <alignment horizontal="left" vertical="center" textRotation="0" wrapText="true" indent="0" shrinkToFit="false"/>
      <protection locked="true" hidden="false"/>
    </xf>
    <xf numFmtId="164" fontId="6" fillId="10" borderId="12" xfId="0" applyFont="true" applyBorder="true" applyAlignment="true" applyProtection="true">
      <alignment horizontal="left" vertical="center" textRotation="0" wrapText="true" indent="1" shrinkToFit="false"/>
      <protection locked="true" hidden="false"/>
    </xf>
    <xf numFmtId="172" fontId="32" fillId="0" borderId="12" xfId="0" applyFont="true" applyBorder="true" applyAlignment="true" applyProtection="true">
      <alignment horizontal="center" vertical="center" textRotation="0" wrapText="true" indent="0" shrinkToFit="false"/>
      <protection locked="true" hidden="false"/>
    </xf>
    <xf numFmtId="173" fontId="0" fillId="8" borderId="12" xfId="0" applyFont="true" applyBorder="true" applyAlignment="true" applyProtection="true">
      <alignment horizontal="left" vertical="center" textRotation="0" wrapText="true" indent="1" shrinkToFit="false"/>
      <protection locked="false" hidden="false"/>
    </xf>
    <xf numFmtId="165" fontId="33" fillId="0" borderId="0" xfId="0" applyFont="true" applyBorder="true" applyAlignment="true" applyProtection="true">
      <alignment horizontal="left" vertical="center" textRotation="0" wrapText="false" indent="1" shrinkToFit="false"/>
      <protection locked="true" hidden="false"/>
    </xf>
    <xf numFmtId="165" fontId="6" fillId="9" borderId="0" xfId="0" applyFont="true" applyBorder="true" applyAlignment="true" applyProtection="true">
      <alignment horizontal="general" vertical="center" textRotation="0" wrapText="true" indent="0" shrinkToFit="false"/>
      <protection locked="true" hidden="false"/>
    </xf>
    <xf numFmtId="172" fontId="32" fillId="0" borderId="12" xfId="0" applyFont="true" applyBorder="true" applyAlignment="true" applyProtection="true">
      <alignment horizontal="left" vertical="center" textRotation="0" wrapText="true" indent="0" shrinkToFit="false"/>
      <protection locked="true" hidden="false"/>
    </xf>
    <xf numFmtId="164" fontId="6" fillId="9" borderId="11" xfId="0" applyFont="true" applyBorder="true" applyAlignment="true" applyProtection="true">
      <alignment horizontal="right" vertical="center" textRotation="0" wrapText="true" indent="1" shrinkToFit="false"/>
      <protection locked="true" hidden="false"/>
    </xf>
    <xf numFmtId="165" fontId="0" fillId="8" borderId="12" xfId="0" applyFont="true" applyBorder="true" applyAlignment="true" applyProtection="true">
      <alignment horizontal="left" vertical="center" textRotation="0" wrapText="true" indent="1" shrinkToFit="false"/>
      <protection locked="false" hidden="false"/>
    </xf>
    <xf numFmtId="164" fontId="6" fillId="8" borderId="12" xfId="0" applyFont="true" applyBorder="true" applyAlignment="true" applyProtection="true">
      <alignment horizontal="left" vertical="center" textRotation="0" wrapText="true" indent="1" shrinkToFit="false"/>
      <protection locked="false" hidden="false"/>
    </xf>
    <xf numFmtId="173" fontId="0" fillId="0" borderId="12" xfId="0" applyFont="true" applyBorder="true" applyAlignment="true" applyProtection="true">
      <alignment horizontal="left" vertical="center" textRotation="0" wrapText="true" indent="1" shrinkToFit="false"/>
      <protection locked="true" hidden="false"/>
    </xf>
    <xf numFmtId="165" fontId="0" fillId="9" borderId="0" xfId="0" applyFont="true" applyBorder="true" applyAlignment="true" applyProtection="true">
      <alignment horizontal="right" vertical="center" textRotation="0" wrapText="true" indent="1" shrinkToFit="false"/>
      <protection locked="true" hidden="false"/>
    </xf>
    <xf numFmtId="165" fontId="30" fillId="0" borderId="0" xfId="0" applyFont="true" applyBorder="true" applyAlignment="true" applyProtection="true">
      <alignment horizontal="left" vertical="center" textRotation="0" wrapText="true" indent="0" shrinkToFit="false"/>
      <protection locked="true" hidden="false"/>
    </xf>
    <xf numFmtId="165" fontId="6" fillId="9" borderId="0" xfId="0" applyFont="true" applyBorder="true" applyAlignment="true" applyProtection="true">
      <alignment horizontal="right" vertical="center" textRotation="0" wrapText="true" indent="1" shrinkToFit="false"/>
      <protection locked="true" hidden="false"/>
    </xf>
    <xf numFmtId="165" fontId="0" fillId="9" borderId="0" xfId="0" applyFont="true" applyBorder="true" applyAlignment="true" applyProtection="true">
      <alignment horizontal="left" vertical="center" textRotation="0" wrapText="true" indent="1" shrinkToFit="false"/>
      <protection locked="true" hidden="false"/>
    </xf>
    <xf numFmtId="164" fontId="6" fillId="0" borderId="12" xfId="0" applyFont="true" applyBorder="true" applyAlignment="true" applyProtection="true">
      <alignment horizontal="left" vertical="center" textRotation="0" wrapText="true" indent="1" shrinkToFit="false"/>
      <protection locked="true" hidden="false"/>
    </xf>
    <xf numFmtId="165" fontId="23" fillId="0" borderId="0" xfId="0" applyFont="true" applyBorder="true" applyAlignment="true" applyProtection="true">
      <alignment horizontal="center" vertical="center" textRotation="0" wrapText="true" indent="0" shrinkToFit="false"/>
      <protection locked="true" hidden="false"/>
    </xf>
    <xf numFmtId="165" fontId="34" fillId="9" borderId="0" xfId="0" applyFont="true" applyBorder="true" applyAlignment="true" applyProtection="true">
      <alignment horizontal="center" vertical="center" textRotation="0" wrapText="true" indent="0" shrinkToFit="false"/>
      <protection locked="true" hidden="false"/>
    </xf>
    <xf numFmtId="164" fontId="6" fillId="7" borderId="12" xfId="0" applyFont="true" applyBorder="true" applyAlignment="true" applyProtection="true">
      <alignment horizontal="left" vertical="center" textRotation="0" wrapText="true" indent="1" shrinkToFit="false"/>
      <protection locked="true" hidden="false"/>
    </xf>
    <xf numFmtId="172" fontId="6" fillId="9" borderId="0" xfId="0" applyFont="true" applyBorder="true" applyAlignment="true" applyProtection="true">
      <alignment horizontal="center" vertical="center" textRotation="0" wrapText="true" indent="0" shrinkToFit="false"/>
      <protection locked="true" hidden="false"/>
    </xf>
    <xf numFmtId="165" fontId="0" fillId="9" borderId="11" xfId="0" applyFont="true" applyBorder="true" applyAlignment="true" applyProtection="true">
      <alignment horizontal="right" vertical="center" textRotation="0" wrapText="true" indent="1" shrinkToFit="false"/>
      <protection locked="true" hidden="false"/>
    </xf>
    <xf numFmtId="165" fontId="6" fillId="0" borderId="0" xfId="0" applyFont="true" applyBorder="true" applyAlignment="true" applyProtection="true">
      <alignment horizontal="general" vertical="center" textRotation="0" wrapText="false" indent="0" shrinkToFit="false"/>
      <protection locked="true" hidden="false"/>
    </xf>
    <xf numFmtId="172" fontId="6" fillId="9" borderId="0" xfId="0" applyFont="true" applyBorder="true" applyAlignment="true" applyProtection="true">
      <alignment horizontal="left" vertical="center" textRotation="0" wrapText="true" indent="0" shrinkToFit="false"/>
      <protection locked="true" hidden="false"/>
    </xf>
    <xf numFmtId="165" fontId="6" fillId="8" borderId="12" xfId="0" applyFont="true" applyBorder="true" applyAlignment="true" applyProtection="true">
      <alignment horizontal="left" vertical="center" textRotation="0" wrapText="true" indent="1" shrinkToFit="false"/>
      <protection locked="false" hidden="false"/>
    </xf>
    <xf numFmtId="165" fontId="35" fillId="9" borderId="0" xfId="0" applyFont="true" applyBorder="true" applyAlignment="true" applyProtection="true">
      <alignment horizontal="right" vertical="center" textRotation="0" wrapText="true" indent="1" shrinkToFit="false"/>
      <protection locked="true" hidden="false"/>
    </xf>
    <xf numFmtId="165" fontId="35" fillId="9" borderId="0" xfId="0" applyFont="true" applyBorder="true" applyAlignment="true" applyProtection="true">
      <alignment horizontal="left" vertical="center" textRotation="0" wrapText="true" indent="1" shrinkToFit="false"/>
      <protection locked="true" hidden="false"/>
    </xf>
    <xf numFmtId="164" fontId="36" fillId="0" borderId="12" xfId="0" applyFont="true" applyBorder="true" applyAlignment="true" applyProtection="true">
      <alignment horizontal="left" vertical="center" textRotation="0" wrapText="true" indent="1" shrinkToFit="false"/>
      <protection locked="true" hidden="false"/>
    </xf>
    <xf numFmtId="172" fontId="39" fillId="0" borderId="0" xfId="0" applyFont="true" applyBorder="true" applyAlignment="true" applyProtection="true">
      <alignment horizontal="center" vertical="center" textRotation="0" wrapText="true" indent="0" shrinkToFit="false"/>
      <protection locked="true" hidden="false"/>
    </xf>
    <xf numFmtId="165" fontId="40" fillId="0" borderId="0" xfId="0" applyFont="true" applyBorder="true" applyAlignment="true" applyProtection="true">
      <alignment horizontal="general" vertical="center" textRotation="0" wrapText="true" indent="0" shrinkToFit="false"/>
      <protection locked="true" hidden="false"/>
    </xf>
    <xf numFmtId="165" fontId="6" fillId="10" borderId="12" xfId="0" applyFont="true" applyBorder="true" applyAlignment="true" applyProtection="true">
      <alignment horizontal="left" vertical="center" textRotation="0" wrapText="true" indent="1" shrinkToFit="false"/>
      <protection locked="true" hidden="false"/>
    </xf>
    <xf numFmtId="173" fontId="0" fillId="8" borderId="7" xfId="0" applyFont="true" applyBorder="true" applyAlignment="true" applyProtection="true">
      <alignment horizontal="left" vertical="center" textRotation="0" wrapText="true" indent="1" shrinkToFit="false"/>
      <protection locked="false" hidden="false"/>
    </xf>
    <xf numFmtId="164" fontId="22" fillId="0" borderId="0" xfId="0" applyFont="true" applyBorder="true" applyAlignment="true" applyProtection="true">
      <alignment horizontal="left" vertical="center" textRotation="0" wrapText="true" indent="0" shrinkToFit="false"/>
      <protection locked="true" hidden="false"/>
    </xf>
    <xf numFmtId="164" fontId="28" fillId="9" borderId="0" xfId="0" applyFont="true" applyBorder="true" applyAlignment="true" applyProtection="true">
      <alignment horizontal="center" vertical="center" textRotation="0" wrapText="true" indent="0" shrinkToFit="false"/>
      <protection locked="true" hidden="false"/>
    </xf>
    <xf numFmtId="165" fontId="6" fillId="0" borderId="0" xfId="0" applyFont="true" applyBorder="true" applyAlignment="true" applyProtection="true">
      <alignment horizontal="left" vertical="center" textRotation="0" wrapText="true" indent="4" shrinkToFit="false"/>
      <protection locked="true" hidden="false"/>
    </xf>
    <xf numFmtId="165" fontId="6" fillId="0" borderId="0" xfId="0" applyFont="true" applyBorder="true" applyAlignment="true" applyProtection="true">
      <alignment horizontal="left" vertical="center" textRotation="0" wrapText="true" indent="1" shrinkToFit="false"/>
      <protection locked="true" hidden="false"/>
    </xf>
    <xf numFmtId="164" fontId="41" fillId="8" borderId="12" xfId="0" applyFont="true" applyBorder="true" applyAlignment="true" applyProtection="true">
      <alignment horizontal="left" vertical="center" textRotation="0" wrapText="true" indent="1" shrinkToFit="false"/>
      <protection locked="false" hidden="false"/>
    </xf>
    <xf numFmtId="165" fontId="0" fillId="0" borderId="0" xfId="0" applyFont="true" applyBorder="true" applyAlignment="true" applyProtection="true">
      <alignment horizontal="center" vertical="center" textRotation="0" wrapText="true" indent="0" shrinkToFit="false"/>
      <protection locked="true" hidden="false"/>
    </xf>
    <xf numFmtId="164" fontId="6" fillId="9" borderId="0" xfId="0" applyFont="true" applyBorder="true" applyAlignment="true" applyProtection="true">
      <alignment horizontal="right" vertical="center" textRotation="0" wrapText="true" indent="1" shrinkToFit="false"/>
      <protection locked="true" hidden="false"/>
    </xf>
    <xf numFmtId="164" fontId="22" fillId="0" borderId="0" xfId="0" applyFont="true" applyBorder="true" applyAlignment="true" applyProtection="true">
      <alignment horizontal="center" vertical="center" textRotation="0" wrapText="true" indent="0" shrinkToFit="false"/>
      <protection locked="true" hidden="false"/>
    </xf>
    <xf numFmtId="164" fontId="6" fillId="0" borderId="0" xfId="0" applyFont="true" applyBorder="true" applyAlignment="true" applyProtection="true">
      <alignment horizontal="center" vertical="center" textRotation="0" wrapText="true" indent="0" shrinkToFit="false"/>
      <protection locked="true" hidden="false"/>
    </xf>
    <xf numFmtId="164" fontId="0" fillId="9" borderId="0" xfId="0" applyFont="true" applyBorder="true" applyAlignment="true" applyProtection="true">
      <alignment horizontal="right" vertical="center" textRotation="0" wrapText="true" indent="1" shrinkToFit="false"/>
      <protection locked="true" hidden="false"/>
    </xf>
    <xf numFmtId="165" fontId="29" fillId="0" borderId="0" xfId="0" applyFont="true" applyBorder="true" applyAlignment="true" applyProtection="true">
      <alignment horizontal="general" vertical="top" textRotation="0" wrapText="true" indent="0" shrinkToFit="false"/>
      <protection locked="true" hidden="false"/>
    </xf>
    <xf numFmtId="165" fontId="42" fillId="0" borderId="0" xfId="0" applyFont="true" applyBorder="true" applyAlignment="true" applyProtection="true">
      <alignment horizontal="center" vertical="center" textRotation="0" wrapText="true" indent="0" shrinkToFit="false"/>
      <protection locked="true" hidden="false"/>
    </xf>
    <xf numFmtId="165" fontId="24" fillId="0" borderId="0" xfId="0" applyFont="true" applyBorder="true" applyAlignment="true" applyProtection="true">
      <alignment horizontal="general" vertical="center" textRotation="0" wrapText="false" indent="0" shrinkToFit="false"/>
      <protection locked="true" hidden="false"/>
    </xf>
    <xf numFmtId="165" fontId="43" fillId="0" borderId="0" xfId="0" applyFont="true" applyBorder="true" applyAlignment="true" applyProtection="true">
      <alignment horizontal="general" vertical="center" textRotation="0" wrapText="false" indent="0" shrinkToFit="false"/>
      <protection locked="true" hidden="false"/>
    </xf>
    <xf numFmtId="165" fontId="44" fillId="0" borderId="0" xfId="0" applyFont="true" applyBorder="true" applyAlignment="true" applyProtection="true">
      <alignment horizontal="general" vertical="center" textRotation="0" wrapText="true" indent="0" shrinkToFit="false"/>
      <protection locked="true" hidden="false"/>
    </xf>
    <xf numFmtId="165" fontId="24" fillId="0" borderId="0" xfId="0" applyFont="true" applyBorder="true" applyAlignment="true" applyProtection="true">
      <alignment horizontal="center" vertical="center" textRotation="0" wrapText="true" indent="0" shrinkToFit="false"/>
      <protection locked="true" hidden="false"/>
    </xf>
    <xf numFmtId="165" fontId="24" fillId="0" borderId="0" xfId="0" applyFont="true" applyBorder="true" applyAlignment="true" applyProtection="true">
      <alignment horizontal="left" vertical="center" textRotation="0" wrapText="false" indent="1" shrinkToFit="false"/>
      <protection locked="true" hidden="false"/>
    </xf>
    <xf numFmtId="165" fontId="24" fillId="0" borderId="0" xfId="0" applyFont="true" applyBorder="true" applyAlignment="true" applyProtection="true">
      <alignment horizontal="left" vertical="center" textRotation="0" wrapText="true" indent="1" shrinkToFit="false"/>
      <protection locked="true" hidden="false"/>
    </xf>
    <xf numFmtId="165" fontId="22" fillId="0" borderId="0" xfId="0" applyFont="true" applyBorder="true" applyAlignment="true" applyProtection="true">
      <alignment horizontal="left" vertical="center" textRotation="0" wrapText="true" indent="1" shrinkToFit="false"/>
      <protection locked="true" hidden="false"/>
    </xf>
    <xf numFmtId="165" fontId="45" fillId="0" borderId="0" xfId="0" applyFont="true" applyBorder="true" applyAlignment="true" applyProtection="true">
      <alignment horizontal="left" vertical="center" textRotation="0" wrapText="true" indent="1" shrinkToFit="false"/>
      <protection locked="true" hidden="false"/>
    </xf>
    <xf numFmtId="165" fontId="46" fillId="0" borderId="0" xfId="0" applyFont="true" applyBorder="true" applyAlignment="true" applyProtection="true">
      <alignment horizontal="left" vertical="center" textRotation="0" wrapText="false" indent="1" shrinkToFit="false"/>
      <protection locked="true" hidden="false"/>
    </xf>
    <xf numFmtId="165" fontId="45" fillId="0" borderId="0" xfId="0" applyFont="true" applyBorder="true" applyAlignment="true" applyProtection="true">
      <alignment horizontal="general" vertical="center" textRotation="0" wrapText="true" indent="0" shrinkToFit="false"/>
      <protection locked="true" hidden="false"/>
    </xf>
    <xf numFmtId="165" fontId="6" fillId="0" borderId="0" xfId="0" applyFont="true" applyBorder="true" applyAlignment="true" applyProtection="true">
      <alignment horizontal="right" vertical="center" textRotation="0" wrapText="true" indent="0" shrinkToFit="false"/>
      <protection locked="true" hidden="false"/>
    </xf>
    <xf numFmtId="165" fontId="47" fillId="0" borderId="0" xfId="0" applyFont="true" applyBorder="true" applyAlignment="true" applyProtection="true">
      <alignment horizontal="general" vertical="center" textRotation="0" wrapText="true" indent="0" shrinkToFit="false"/>
      <protection locked="true" hidden="false"/>
    </xf>
    <xf numFmtId="171" fontId="6" fillId="0" borderId="10" xfId="0" applyFont="true" applyBorder="true" applyAlignment="true" applyProtection="true">
      <alignment horizontal="left" vertical="center" textRotation="0" wrapText="true" indent="1" shrinkToFit="false"/>
      <protection locked="true" hidden="false"/>
    </xf>
    <xf numFmtId="174" fontId="6" fillId="0" borderId="0" xfId="0" applyFont="true" applyBorder="true" applyAlignment="true" applyProtection="true">
      <alignment horizontal="right" vertical="center" textRotation="0" wrapText="true" indent="0" shrinkToFit="false"/>
      <protection locked="true" hidden="false"/>
    </xf>
    <xf numFmtId="164" fontId="6" fillId="0" borderId="0" xfId="0" applyFont="true" applyBorder="true" applyAlignment="true" applyProtection="true">
      <alignment horizontal="general" vertical="top" textRotation="0" wrapText="false" indent="0" shrinkToFit="false"/>
      <protection locked="true" hidden="false"/>
    </xf>
    <xf numFmtId="174" fontId="6" fillId="0" borderId="0" xfId="0" applyFont="true" applyBorder="true" applyAlignment="true" applyProtection="true">
      <alignment horizontal="center" vertical="center" textRotation="0" wrapText="true" indent="0" shrinkToFit="false"/>
      <protection locked="true" hidden="false"/>
    </xf>
    <xf numFmtId="165" fontId="6" fillId="0" borderId="12" xfId="0" applyFont="true" applyBorder="true" applyAlignment="true" applyProtection="true">
      <alignment horizontal="center" vertical="center" textRotation="0" wrapText="true" indent="0" shrinkToFit="false"/>
      <protection locked="true" hidden="false"/>
    </xf>
    <xf numFmtId="174" fontId="6" fillId="0" borderId="12" xfId="0" applyFont="true" applyBorder="true" applyAlignment="true" applyProtection="true">
      <alignment horizontal="center" vertical="center" textRotation="0" wrapText="true" indent="0" shrinkToFit="false"/>
      <protection locked="true" hidden="false"/>
    </xf>
    <xf numFmtId="175" fontId="6" fillId="0" borderId="13" xfId="0" applyFont="true" applyBorder="true" applyAlignment="true" applyProtection="true">
      <alignment horizontal="center" vertical="center" textRotation="0" wrapText="true" indent="0" shrinkToFit="false"/>
      <protection locked="true" hidden="false"/>
    </xf>
    <xf numFmtId="175" fontId="6" fillId="0" borderId="12" xfId="0" applyFont="true" applyBorder="true" applyAlignment="true" applyProtection="true">
      <alignment horizontal="center" vertical="center" textRotation="0" wrapText="true" indent="0" shrinkToFit="false"/>
      <protection locked="true" hidden="false"/>
    </xf>
    <xf numFmtId="165" fontId="48" fillId="0" borderId="0" xfId="0" applyFont="true" applyBorder="true" applyAlignment="true" applyProtection="true">
      <alignment horizontal="center" vertical="center" textRotation="0" wrapText="true" indent="0" shrinkToFit="false"/>
      <protection locked="true" hidden="false"/>
    </xf>
    <xf numFmtId="164" fontId="48" fillId="0" borderId="10" xfId="0" applyFont="true" applyBorder="true" applyAlignment="true" applyProtection="true">
      <alignment horizontal="center" vertical="center" textRotation="0" wrapText="true" indent="0" shrinkToFit="false"/>
      <protection locked="true" hidden="false"/>
    </xf>
    <xf numFmtId="165" fontId="22" fillId="0" borderId="0" xfId="0" applyFont="true" applyBorder="true" applyAlignment="true" applyProtection="true">
      <alignment horizontal="general" vertical="center" textRotation="0" wrapText="false" indent="0" shrinkToFit="false"/>
      <protection locked="true" hidden="false"/>
    </xf>
    <xf numFmtId="165" fontId="49" fillId="0" borderId="0" xfId="0" applyFont="true" applyBorder="true" applyAlignment="true" applyProtection="true">
      <alignment horizontal="general" vertical="center" textRotation="0" wrapText="false" indent="0" shrinkToFit="false"/>
      <protection locked="true" hidden="false"/>
    </xf>
    <xf numFmtId="164" fontId="6" fillId="11" borderId="14" xfId="0" applyFont="true" applyBorder="true" applyAlignment="true" applyProtection="true">
      <alignment horizontal="center" vertical="center" textRotation="0" wrapText="true" indent="0" shrinkToFit="false"/>
      <protection locked="true" hidden="false"/>
    </xf>
    <xf numFmtId="164" fontId="22" fillId="11" borderId="14" xfId="0" applyFont="true" applyBorder="true" applyAlignment="true" applyProtection="true">
      <alignment horizontal="left" vertical="center" textRotation="0" wrapText="true" indent="0" shrinkToFit="false"/>
      <protection locked="true" hidden="false"/>
    </xf>
    <xf numFmtId="164" fontId="22" fillId="11" borderId="15" xfId="0" applyFont="true" applyBorder="true" applyAlignment="true" applyProtection="true">
      <alignment horizontal="left" vertical="center" textRotation="0" wrapText="true" indent="0" shrinkToFit="false"/>
      <protection locked="true" hidden="false"/>
    </xf>
    <xf numFmtId="165" fontId="24" fillId="0" borderId="16" xfId="0" applyFont="true" applyBorder="true" applyAlignment="true" applyProtection="true">
      <alignment horizontal="general" vertical="center" textRotation="0" wrapText="false" indent="0" shrinkToFit="false"/>
      <protection locked="true" hidden="false"/>
    </xf>
    <xf numFmtId="171" fontId="6" fillId="0" borderId="12" xfId="0" applyFont="true" applyBorder="true" applyAlignment="true" applyProtection="true">
      <alignment horizontal="center" vertical="center" textRotation="0" wrapText="true" indent="0" shrinkToFit="false"/>
      <protection locked="true" hidden="false"/>
    </xf>
    <xf numFmtId="165" fontId="24" fillId="0" borderId="12" xfId="0" applyFont="true" applyBorder="true" applyAlignment="true" applyProtection="true">
      <alignment horizontal="center" vertical="center" textRotation="0" wrapText="true" indent="0" shrinkToFit="false"/>
      <protection locked="true" hidden="false"/>
    </xf>
    <xf numFmtId="164" fontId="6" fillId="8" borderId="12" xfId="0" applyFont="true" applyBorder="true" applyAlignment="true" applyProtection="true">
      <alignment horizontal="general" vertical="center" textRotation="0" wrapText="true" indent="0" shrinkToFit="false"/>
      <protection locked="false" hidden="false"/>
    </xf>
    <xf numFmtId="164" fontId="22" fillId="0" borderId="12" xfId="0" applyFont="true" applyBorder="true" applyAlignment="true" applyProtection="true">
      <alignment horizontal="left" vertical="center" textRotation="0" wrapText="true" indent="0" shrinkToFit="false"/>
      <protection locked="true" hidden="false"/>
    </xf>
    <xf numFmtId="165" fontId="48" fillId="0" borderId="17" xfId="0" applyFont="true" applyBorder="true" applyAlignment="true" applyProtection="true">
      <alignment horizontal="general" vertical="top" textRotation="0" wrapText="true" indent="0" shrinkToFit="false"/>
      <protection locked="true" hidden="false"/>
    </xf>
    <xf numFmtId="171" fontId="6" fillId="0" borderId="18" xfId="0" applyFont="true" applyBorder="true" applyAlignment="true" applyProtection="true">
      <alignment horizontal="center" vertical="center" textRotation="0" wrapText="true" indent="0" shrinkToFit="false"/>
      <protection locked="true" hidden="false"/>
    </xf>
    <xf numFmtId="165" fontId="24" fillId="0" borderId="18" xfId="0" applyFont="true" applyBorder="true" applyAlignment="true" applyProtection="true">
      <alignment horizontal="center" vertical="center" textRotation="0" wrapText="true" indent="0" shrinkToFit="false"/>
      <protection locked="true" hidden="false"/>
    </xf>
    <xf numFmtId="172" fontId="6" fillId="10" borderId="18" xfId="0" applyFont="true" applyBorder="true" applyAlignment="true" applyProtection="true">
      <alignment horizontal="left" vertical="center" textRotation="0" wrapText="true" indent="1" shrinkToFit="false"/>
      <protection locked="true" hidden="false"/>
    </xf>
    <xf numFmtId="164" fontId="6" fillId="7" borderId="18" xfId="0" applyFont="true" applyBorder="true" applyAlignment="true" applyProtection="true">
      <alignment horizontal="center" vertical="center" textRotation="0" wrapText="true" indent="0" shrinkToFit="false"/>
      <protection locked="true" hidden="false"/>
    </xf>
    <xf numFmtId="165" fontId="50" fillId="0" borderId="0" xfId="0" applyFont="true" applyBorder="true" applyAlignment="true" applyProtection="true">
      <alignment horizontal="general" vertical="center" textRotation="0" wrapText="true" indent="0" shrinkToFit="false"/>
      <protection locked="true" hidden="false"/>
    </xf>
    <xf numFmtId="164" fontId="24" fillId="0" borderId="0" xfId="0" applyFont="true" applyBorder="true" applyAlignment="true" applyProtection="true">
      <alignment horizontal="general" vertical="top" textRotation="0" wrapText="false" indent="0" shrinkToFit="false"/>
      <protection locked="true" hidden="false"/>
    </xf>
    <xf numFmtId="165" fontId="0" fillId="0" borderId="0" xfId="0" applyFont="true" applyBorder="true" applyAlignment="true" applyProtection="true">
      <alignment horizontal="general" vertical="center" textRotation="0" wrapText="true" indent="0" shrinkToFit="false"/>
      <protection locked="true" hidden="false"/>
    </xf>
    <xf numFmtId="165" fontId="48" fillId="0" borderId="0" xfId="0" applyFont="true" applyBorder="true" applyAlignment="true" applyProtection="true">
      <alignment horizontal="general" vertical="top" textRotation="0" wrapText="true" indent="0" shrinkToFit="false"/>
      <protection locked="true" hidden="false"/>
    </xf>
    <xf numFmtId="164" fontId="29" fillId="11" borderId="13" xfId="0" applyFont="true" applyBorder="true" applyAlignment="true" applyProtection="true">
      <alignment horizontal="right" vertical="center" textRotation="0" wrapText="true" indent="0" shrinkToFit="false"/>
      <protection locked="true" hidden="false"/>
    </xf>
    <xf numFmtId="164" fontId="29" fillId="11" borderId="10" xfId="0" applyFont="true" applyBorder="true" applyAlignment="true" applyProtection="true">
      <alignment horizontal="right" vertical="center" textRotation="0" wrapText="true" indent="0" shrinkToFit="false"/>
      <protection locked="true" hidden="false"/>
    </xf>
    <xf numFmtId="164" fontId="51" fillId="11" borderId="10" xfId="0" applyFont="true" applyBorder="true" applyAlignment="true" applyProtection="true">
      <alignment horizontal="left" vertical="center" textRotation="0" wrapText="false" indent="1" shrinkToFit="false"/>
      <protection locked="true" hidden="false"/>
    </xf>
    <xf numFmtId="164" fontId="0" fillId="11" borderId="10" xfId="0" applyFont="true" applyBorder="true" applyAlignment="true" applyProtection="true">
      <alignment horizontal="right" vertical="center" textRotation="0" wrapText="true" indent="0" shrinkToFit="false"/>
      <protection locked="true" hidden="false"/>
    </xf>
    <xf numFmtId="164" fontId="0" fillId="11" borderId="19" xfId="0" applyFont="true" applyBorder="true" applyAlignment="true" applyProtection="true">
      <alignment horizontal="right" vertical="center" textRotation="0" wrapText="true" indent="0" shrinkToFit="false"/>
      <protection locked="true" hidden="false"/>
    </xf>
    <xf numFmtId="165" fontId="24" fillId="0" borderId="12" xfId="0" applyFont="true" applyBorder="true" applyAlignment="true" applyProtection="true">
      <alignment horizontal="center" vertical="center" textRotation="0" wrapText="false" indent="0" shrinkToFit="false"/>
      <protection locked="true" hidden="false"/>
    </xf>
    <xf numFmtId="165" fontId="22" fillId="0" borderId="18" xfId="0" applyFont="true" applyBorder="true" applyAlignment="true" applyProtection="true">
      <alignment horizontal="center" vertical="center" textRotation="0" wrapText="true" indent="0" shrinkToFit="false"/>
      <protection locked="true" hidden="false"/>
    </xf>
    <xf numFmtId="164" fontId="6" fillId="11" borderId="13" xfId="0" applyFont="true" applyBorder="true" applyAlignment="true" applyProtection="true">
      <alignment horizontal="right" vertical="center" textRotation="0" wrapText="true" indent="0" shrinkToFit="false"/>
      <protection locked="true" hidden="false"/>
    </xf>
    <xf numFmtId="164" fontId="6" fillId="11" borderId="10" xfId="0" applyFont="true" applyBorder="true" applyAlignment="true" applyProtection="true">
      <alignment horizontal="right" vertical="center" textRotation="0" wrapText="true" indent="0" shrinkToFit="false"/>
      <protection locked="true" hidden="false"/>
    </xf>
    <xf numFmtId="164" fontId="51" fillId="11" borderId="10" xfId="0" applyFont="true" applyBorder="true" applyAlignment="true" applyProtection="true">
      <alignment horizontal="left" vertical="center" textRotation="0" wrapText="false" indent="0" shrinkToFit="false"/>
      <protection locked="true" hidden="false"/>
    </xf>
    <xf numFmtId="164" fontId="6" fillId="11" borderId="19" xfId="0" applyFont="true" applyBorder="true" applyAlignment="true" applyProtection="true">
      <alignment horizontal="right" vertical="center" textRotation="0" wrapText="true" indent="0" shrinkToFit="false"/>
      <protection locked="true" hidden="false"/>
    </xf>
    <xf numFmtId="165" fontId="6" fillId="0" borderId="20" xfId="0" applyFont="true" applyBorder="true" applyAlignment="true" applyProtection="true">
      <alignment horizontal="general" vertical="center" textRotation="0" wrapText="true" indent="0" shrinkToFit="false"/>
      <protection locked="true" hidden="false"/>
    </xf>
    <xf numFmtId="165" fontId="52" fillId="0" borderId="0" xfId="0" applyFont="true" applyBorder="true" applyAlignment="true" applyProtection="true">
      <alignment horizontal="general" vertical="center" textRotation="0" wrapText="true" indent="0" shrinkToFit="false"/>
      <protection locked="true" hidden="false"/>
    </xf>
    <xf numFmtId="165" fontId="53" fillId="0" borderId="0" xfId="0" applyFont="true" applyBorder="true" applyAlignment="true" applyProtection="true">
      <alignment horizontal="general" vertical="center" textRotation="0" wrapText="true" indent="0" shrinkToFit="false"/>
      <protection locked="true" hidden="false"/>
    </xf>
    <xf numFmtId="165" fontId="54" fillId="0" borderId="0" xfId="0" applyFont="true" applyBorder="true" applyAlignment="true" applyProtection="true">
      <alignment horizontal="center" vertical="center" textRotation="0" wrapText="true" indent="0" shrinkToFit="false"/>
      <protection locked="true" hidden="false"/>
    </xf>
    <xf numFmtId="164" fontId="0" fillId="0" borderId="0" xfId="46" applyFont="true" applyBorder="true" applyAlignment="true" applyProtection="true">
      <alignment horizontal="general" vertical="top" textRotation="0" wrapText="false" indent="0" shrinkToFit="false"/>
      <protection locked="true" hidden="false"/>
    </xf>
    <xf numFmtId="165" fontId="0" fillId="0" borderId="0" xfId="0" applyFont="true" applyBorder="true" applyAlignment="true" applyProtection="true">
      <alignment horizontal="general" vertical="center" textRotation="0" wrapText="false" indent="0" shrinkToFit="false"/>
      <protection locked="true" hidden="false"/>
    </xf>
    <xf numFmtId="171" fontId="6" fillId="0" borderId="14" xfId="0" applyFont="true" applyBorder="true" applyAlignment="true" applyProtection="true">
      <alignment horizontal="left" vertical="center" textRotation="0" wrapText="true" indent="1" shrinkToFit="false"/>
      <protection locked="true" hidden="false"/>
    </xf>
    <xf numFmtId="171" fontId="6" fillId="0" borderId="21" xfId="0" applyFont="true" applyBorder="true" applyAlignment="true" applyProtection="true">
      <alignment horizontal="left" vertical="center" textRotation="0" wrapText="false" indent="1" shrinkToFit="false"/>
      <protection locked="true" hidden="false"/>
    </xf>
    <xf numFmtId="165" fontId="55" fillId="0" borderId="0" xfId="0" applyFont="true" applyBorder="true" applyAlignment="true" applyProtection="true">
      <alignment horizontal="general" vertical="center" textRotation="0" wrapText="false" indent="0" shrinkToFit="false"/>
      <protection locked="true" hidden="false"/>
    </xf>
    <xf numFmtId="165" fontId="56" fillId="0" borderId="0" xfId="0" applyFont="true" applyBorder="true" applyAlignment="true" applyProtection="true">
      <alignment horizontal="general" vertical="center" textRotation="0" wrapText="false" indent="0" shrinkToFit="false"/>
      <protection locked="true" hidden="false"/>
    </xf>
    <xf numFmtId="165" fontId="57" fillId="0" borderId="0" xfId="0" applyFont="true" applyBorder="true" applyAlignment="true" applyProtection="true">
      <alignment horizontal="general" vertical="center" textRotation="0" wrapText="false" indent="0" shrinkToFit="false"/>
      <protection locked="true" hidden="false"/>
    </xf>
    <xf numFmtId="165" fontId="58" fillId="0" borderId="0" xfId="0" applyFont="true" applyBorder="true" applyAlignment="true" applyProtection="true">
      <alignment horizontal="general" vertical="center" textRotation="0" wrapText="false" indent="0" shrinkToFit="false"/>
      <protection locked="true" hidden="false"/>
    </xf>
    <xf numFmtId="171" fontId="0" fillId="0" borderId="0" xfId="0" applyFont="true" applyBorder="true" applyAlignment="true" applyProtection="true">
      <alignment horizontal="left" vertical="center" textRotation="0" wrapText="true" indent="2" shrinkToFit="false"/>
      <protection locked="true" hidden="false"/>
    </xf>
    <xf numFmtId="165" fontId="59" fillId="0" borderId="0" xfId="0" applyFont="true" applyBorder="true" applyAlignment="true" applyProtection="true">
      <alignment horizontal="general" vertical="center" textRotation="0" wrapText="false" indent="0" shrinkToFit="false"/>
      <protection locked="true" hidden="false"/>
    </xf>
    <xf numFmtId="165" fontId="0" fillId="0" borderId="22" xfId="0" applyFont="true" applyBorder="true" applyAlignment="true" applyProtection="true">
      <alignment horizontal="center" vertical="center" textRotation="0" wrapText="true" indent="0" shrinkToFit="false"/>
      <protection locked="true" hidden="false"/>
    </xf>
    <xf numFmtId="165" fontId="0" fillId="0" borderId="12" xfId="0" applyFont="true" applyBorder="true" applyAlignment="true" applyProtection="true">
      <alignment horizontal="center" vertical="center" textRotation="0" wrapText="true" indent="0" shrinkToFit="false"/>
      <protection locked="true" hidden="false"/>
    </xf>
    <xf numFmtId="165" fontId="60" fillId="0" borderId="0" xfId="0" applyFont="true" applyBorder="true" applyAlignment="true" applyProtection="true">
      <alignment horizontal="center" vertical="center" textRotation="0" wrapText="true" indent="0" shrinkToFit="false"/>
      <protection locked="true" hidden="false"/>
    </xf>
    <xf numFmtId="165" fontId="6" fillId="0" borderId="7" xfId="0" applyFont="true" applyBorder="true" applyAlignment="true" applyProtection="true">
      <alignment horizontal="center" vertical="center" textRotation="0" wrapText="true" indent="0" shrinkToFit="false"/>
      <protection locked="true" hidden="false"/>
    </xf>
    <xf numFmtId="165" fontId="22" fillId="0" borderId="16" xfId="0" applyFont="true" applyBorder="true" applyAlignment="true" applyProtection="true">
      <alignment horizontal="general" vertical="center" textRotation="0" wrapText="false" indent="0" shrinkToFit="false"/>
      <protection locked="true" hidden="false"/>
    </xf>
    <xf numFmtId="164" fontId="48" fillId="0" borderId="0" xfId="0" applyFont="true" applyBorder="true" applyAlignment="true" applyProtection="true">
      <alignment horizontal="center" vertical="center" textRotation="0" wrapText="true" indent="0" shrinkToFit="false"/>
      <protection locked="true" hidden="false"/>
    </xf>
    <xf numFmtId="164" fontId="48" fillId="0" borderId="12" xfId="0" applyFont="true" applyBorder="true" applyAlignment="true" applyProtection="true">
      <alignment horizontal="center" vertical="center" textRotation="0" wrapText="true" indent="0" shrinkToFit="false"/>
      <protection locked="true" hidden="false"/>
    </xf>
    <xf numFmtId="164" fontId="48" fillId="0" borderId="23" xfId="0" applyFont="true" applyBorder="true" applyAlignment="true" applyProtection="true">
      <alignment horizontal="center" vertical="center" textRotation="0" wrapText="true" indent="0" shrinkToFit="false"/>
      <protection locked="true" hidden="false"/>
    </xf>
    <xf numFmtId="165" fontId="24" fillId="0" borderId="0" xfId="0" applyFont="true" applyBorder="true" applyAlignment="true" applyProtection="true">
      <alignment horizontal="center" vertical="center" textRotation="0" wrapText="false" indent="0" shrinkToFit="false"/>
      <protection locked="true" hidden="false"/>
    </xf>
    <xf numFmtId="165" fontId="6" fillId="11" borderId="13" xfId="0" applyFont="true" applyBorder="true" applyAlignment="true" applyProtection="true">
      <alignment horizontal="center" vertical="center" textRotation="0" wrapText="true" indent="0" shrinkToFit="false"/>
      <protection locked="true" hidden="false"/>
    </xf>
    <xf numFmtId="164" fontId="6" fillId="11" borderId="10" xfId="0" applyFont="true" applyBorder="true" applyAlignment="true" applyProtection="true">
      <alignment horizontal="center" vertical="center" textRotation="0" wrapText="true" indent="0" shrinkToFit="false"/>
      <protection locked="true" hidden="false"/>
    </xf>
    <xf numFmtId="164" fontId="6" fillId="11" borderId="24" xfId="0" applyFont="true" applyBorder="true" applyAlignment="true" applyProtection="true">
      <alignment horizontal="center" vertical="center" textRotation="0" wrapText="true" indent="0" shrinkToFit="false"/>
      <protection locked="true" hidden="false"/>
    </xf>
    <xf numFmtId="164" fontId="0" fillId="11" borderId="10" xfId="0" applyFont="true" applyBorder="true" applyAlignment="true" applyProtection="true">
      <alignment horizontal="left" vertical="center" textRotation="0" wrapText="false" indent="0" shrinkToFit="false"/>
      <protection locked="true" hidden="false"/>
    </xf>
    <xf numFmtId="165" fontId="0" fillId="11" borderId="19" xfId="0" applyFont="true" applyBorder="true" applyAlignment="true" applyProtection="true">
      <alignment horizontal="general" vertical="center" textRotation="0" wrapText="false" indent="0" shrinkToFit="false"/>
      <protection locked="true" hidden="false"/>
    </xf>
    <xf numFmtId="164" fontId="6" fillId="0" borderId="12" xfId="0" applyFont="true" applyBorder="true" applyAlignment="true" applyProtection="true">
      <alignment horizontal="center" vertical="center" textRotation="0" wrapText="true" indent="0" shrinkToFit="false"/>
      <protection locked="true" hidden="false"/>
    </xf>
    <xf numFmtId="171" fontId="6" fillId="10" borderId="12" xfId="0" applyFont="true" applyBorder="true" applyAlignment="true" applyProtection="true">
      <alignment horizontal="left" vertical="center" textRotation="0" wrapText="true" indent="2" shrinkToFit="false"/>
      <protection locked="true" hidden="false"/>
    </xf>
    <xf numFmtId="164" fontId="6" fillId="10" borderId="18" xfId="0" applyFont="true" applyBorder="true" applyAlignment="true" applyProtection="true">
      <alignment horizontal="center" vertical="center" textRotation="0" wrapText="true" indent="0" shrinkToFit="false"/>
      <protection locked="true" hidden="false"/>
    </xf>
    <xf numFmtId="172" fontId="61" fillId="0" borderId="23" xfId="0" applyFont="true" applyBorder="true" applyAlignment="true" applyProtection="true">
      <alignment horizontal="center" vertical="center" textRotation="0" wrapText="true" indent="0" shrinkToFit="false"/>
      <protection locked="true" hidden="false"/>
    </xf>
    <xf numFmtId="165" fontId="6" fillId="0" borderId="23" xfId="0" applyFont="true" applyBorder="true" applyAlignment="true" applyProtection="true">
      <alignment horizontal="center" vertical="center" textRotation="0" wrapText="true" indent="0" shrinkToFit="false"/>
      <protection locked="true" hidden="false"/>
    </xf>
    <xf numFmtId="171" fontId="6" fillId="10" borderId="12" xfId="0" applyFont="true" applyBorder="true" applyAlignment="true" applyProtection="true">
      <alignment horizontal="left" vertical="center" textRotation="0" wrapText="true" indent="1" shrinkToFit="false"/>
      <protection locked="true" hidden="false"/>
    </xf>
    <xf numFmtId="164" fontId="6" fillId="10" borderId="12" xfId="0" applyFont="true" applyBorder="true" applyAlignment="true" applyProtection="true">
      <alignment horizontal="center" vertical="center" textRotation="0" wrapText="true" indent="0" shrinkToFit="false"/>
      <protection locked="true" hidden="false"/>
    </xf>
    <xf numFmtId="164" fontId="6" fillId="0" borderId="25" xfId="0" applyFont="true" applyBorder="true" applyAlignment="true" applyProtection="true">
      <alignment horizontal="center" vertical="center" textRotation="0" wrapText="true" indent="0" shrinkToFit="false"/>
      <protection locked="true" hidden="false"/>
    </xf>
    <xf numFmtId="164" fontId="0" fillId="0" borderId="12" xfId="0" applyFont="true" applyBorder="true" applyAlignment="true" applyProtection="true">
      <alignment horizontal="left" vertical="center" textRotation="0" wrapText="true" indent="1" shrinkToFit="false"/>
      <protection locked="true" hidden="false"/>
    </xf>
    <xf numFmtId="164" fontId="51" fillId="11" borderId="19" xfId="0" applyFont="true" applyBorder="true" applyAlignment="true" applyProtection="true">
      <alignment horizontal="left" vertical="center" textRotation="0" wrapText="false" indent="1" shrinkToFit="false"/>
      <protection locked="true" hidden="false"/>
    </xf>
    <xf numFmtId="165" fontId="48" fillId="0" borderId="12" xfId="0" applyFont="true" applyBorder="true" applyAlignment="true" applyProtection="true">
      <alignment horizontal="center" vertical="center" textRotation="0" wrapText="true" indent="0" shrinkToFit="false"/>
      <protection locked="true" hidden="false"/>
    </xf>
    <xf numFmtId="165" fontId="6" fillId="0" borderId="19" xfId="0" applyFont="true" applyBorder="true" applyAlignment="true" applyProtection="true">
      <alignment horizontal="center" vertical="center" textRotation="0" wrapText="true" indent="0" shrinkToFit="false"/>
      <protection locked="true" hidden="false"/>
    </xf>
    <xf numFmtId="165" fontId="61" fillId="0" borderId="25" xfId="0" applyFont="true" applyBorder="true" applyAlignment="true" applyProtection="true">
      <alignment horizontal="center" vertical="center" textRotation="0" wrapText="true" indent="0" shrinkToFit="false"/>
      <protection locked="true" hidden="false"/>
    </xf>
    <xf numFmtId="165" fontId="50" fillId="0" borderId="0" xfId="0" applyFont="true" applyBorder="true" applyAlignment="true" applyProtection="true">
      <alignment horizontal="general" vertical="center" textRotation="0" wrapText="false" indent="0" shrinkToFit="false"/>
      <protection locked="true" hidden="false"/>
    </xf>
    <xf numFmtId="164" fontId="29" fillId="11" borderId="26" xfId="0" applyFont="true" applyBorder="true" applyAlignment="true" applyProtection="true">
      <alignment horizontal="right" vertical="center" textRotation="0" wrapText="true" indent="0" shrinkToFit="false"/>
      <protection locked="true" hidden="false"/>
    </xf>
    <xf numFmtId="164" fontId="29" fillId="11" borderId="27" xfId="0" applyFont="true" applyBorder="true" applyAlignment="true" applyProtection="true">
      <alignment horizontal="right" vertical="center" textRotation="0" wrapText="true" indent="0" shrinkToFit="false"/>
      <protection locked="true" hidden="false"/>
    </xf>
    <xf numFmtId="164" fontId="29" fillId="11" borderId="19" xfId="0" applyFont="true" applyBorder="true" applyAlignment="true" applyProtection="true">
      <alignment horizontal="right" vertical="center" textRotation="0" wrapText="true" indent="0" shrinkToFit="false"/>
      <protection locked="true" hidden="false"/>
    </xf>
    <xf numFmtId="165" fontId="48" fillId="0" borderId="17" xfId="0" applyFont="true" applyBorder="true" applyAlignment="true" applyProtection="true">
      <alignment horizontal="center" vertical="center" textRotation="0" wrapText="true" indent="0" shrinkToFit="false"/>
      <protection locked="true" hidden="false"/>
    </xf>
    <xf numFmtId="172" fontId="61" fillId="0" borderId="25" xfId="0" applyFont="true" applyBorder="true" applyAlignment="true" applyProtection="true">
      <alignment horizontal="center" vertical="center" textRotation="0" wrapText="true" indent="0" shrinkToFit="false"/>
      <protection locked="true" hidden="false"/>
    </xf>
    <xf numFmtId="171" fontId="0" fillId="10" borderId="12" xfId="0" applyFont="true" applyBorder="true" applyAlignment="true" applyProtection="true">
      <alignment horizontal="left" vertical="center" textRotation="0" wrapText="true" indent="1" shrinkToFit="false"/>
      <protection locked="false" hidden="false"/>
    </xf>
    <xf numFmtId="165" fontId="0" fillId="9" borderId="0" xfId="0" applyFont="true" applyBorder="true" applyAlignment="true" applyProtection="true">
      <alignment horizontal="general" vertical="top" textRotation="0" wrapText="false" indent="0" shrinkToFit="false"/>
      <protection locked="true" hidden="false"/>
    </xf>
    <xf numFmtId="164" fontId="51" fillId="11" borderId="10" xfId="0" applyFont="true" applyBorder="true" applyAlignment="true" applyProtection="true">
      <alignment horizontal="left" vertical="center" textRotation="0" wrapText="false" indent="2" shrinkToFit="false"/>
      <protection locked="true" hidden="false"/>
    </xf>
    <xf numFmtId="171" fontId="6" fillId="0" borderId="14" xfId="0" applyFont="true" applyBorder="true" applyAlignment="true" applyProtection="true">
      <alignment horizontal="left" vertical="top" textRotation="0" wrapText="true" indent="1" shrinkToFit="false"/>
      <protection locked="true" hidden="false"/>
    </xf>
    <xf numFmtId="165" fontId="62" fillId="0" borderId="0" xfId="0" applyFont="true" applyBorder="true" applyAlignment="true" applyProtection="true">
      <alignment horizontal="general" vertical="center" textRotation="0" wrapText="true" indent="0" shrinkToFit="false"/>
      <protection locked="true" hidden="false"/>
    </xf>
    <xf numFmtId="165" fontId="17" fillId="0" borderId="0" xfId="0" applyFont="true" applyBorder="true" applyAlignment="true" applyProtection="true">
      <alignment horizontal="general" vertical="center" textRotation="0" wrapText="true" indent="0" shrinkToFit="false"/>
      <protection locked="true" hidden="false"/>
    </xf>
    <xf numFmtId="165" fontId="63" fillId="0" borderId="0" xfId="0" applyFont="true" applyBorder="true" applyAlignment="true" applyProtection="true">
      <alignment horizontal="general" vertical="center" textRotation="0" wrapText="false" indent="0" shrinkToFit="false"/>
      <protection locked="true" hidden="false"/>
    </xf>
    <xf numFmtId="165" fontId="44" fillId="0" borderId="0" xfId="0" applyFont="true" applyBorder="true" applyAlignment="true" applyProtection="true">
      <alignment horizontal="left" vertical="center" textRotation="0" wrapText="true" indent="1" shrinkToFit="false"/>
      <protection locked="true" hidden="false"/>
    </xf>
    <xf numFmtId="164" fontId="24" fillId="9" borderId="0" xfId="0" applyFont="true" applyBorder="true" applyAlignment="true" applyProtection="true">
      <alignment horizontal="center" vertical="center" textRotation="0" wrapText="true" indent="0" shrinkToFit="false"/>
      <protection locked="true" hidden="false"/>
    </xf>
    <xf numFmtId="164" fontId="24" fillId="9" borderId="21" xfId="0" applyFont="true" applyBorder="true" applyAlignment="true" applyProtection="true">
      <alignment horizontal="center" vertical="center" textRotation="0" wrapText="true" indent="0" shrinkToFit="false"/>
      <protection locked="true" hidden="false"/>
    </xf>
    <xf numFmtId="165" fontId="0" fillId="0" borderId="12" xfId="0" applyFont="true" applyBorder="true" applyAlignment="true" applyProtection="true">
      <alignment horizontal="center" vertical="center" textRotation="0" wrapText="false" indent="0" shrinkToFit="false"/>
      <protection locked="true" hidden="false"/>
    </xf>
    <xf numFmtId="164" fontId="0" fillId="0" borderId="12" xfId="0" applyFont="true" applyBorder="true" applyAlignment="true" applyProtection="true">
      <alignment horizontal="center" vertical="center" textRotation="0" wrapText="false" indent="0" shrinkToFit="false"/>
      <protection locked="true" hidden="false"/>
    </xf>
    <xf numFmtId="164" fontId="0" fillId="0" borderId="12"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true" applyProtection="true">
      <alignment horizontal="general" vertical="center" textRotation="0" wrapText="false" indent="0" shrinkToFit="false"/>
      <protection locked="true" hidden="false"/>
    </xf>
    <xf numFmtId="165" fontId="0" fillId="0" borderId="12" xfId="0" applyFont="true" applyBorder="true" applyAlignment="true" applyProtection="true">
      <alignment horizontal="center" vertical="top" textRotation="0" wrapText="false" indent="0" shrinkToFit="false"/>
      <protection locked="true" hidden="false"/>
    </xf>
    <xf numFmtId="165" fontId="6" fillId="0" borderId="12" xfId="0" applyFont="true" applyBorder="true" applyAlignment="true" applyProtection="true">
      <alignment horizontal="left" vertical="top" textRotation="0" wrapText="true" indent="0" shrinkToFit="false"/>
      <protection locked="true" hidden="false"/>
    </xf>
    <xf numFmtId="165" fontId="6" fillId="10" borderId="12" xfId="0" applyFont="true" applyBorder="true" applyAlignment="true" applyProtection="true">
      <alignment horizontal="center" vertical="top" textRotation="0" wrapText="true" indent="0" shrinkToFit="false"/>
      <protection locked="true" hidden="false"/>
    </xf>
    <xf numFmtId="165" fontId="0" fillId="0" borderId="22" xfId="0" applyFont="true" applyBorder="true" applyAlignment="true" applyProtection="true">
      <alignment horizontal="center" vertical="center" textRotation="0" wrapText="false" indent="0" shrinkToFit="false"/>
      <protection locked="true" hidden="false"/>
    </xf>
    <xf numFmtId="165" fontId="0" fillId="0" borderId="14" xfId="0" applyFont="true" applyBorder="true" applyAlignment="true" applyProtection="true">
      <alignment horizontal="center" vertical="center" textRotation="0" wrapText="false" indent="0" shrinkToFit="false"/>
      <protection locked="true" hidden="false"/>
    </xf>
    <xf numFmtId="164" fontId="6" fillId="0" borderId="14" xfId="0" applyFont="true" applyBorder="true" applyAlignment="true" applyProtection="true">
      <alignment horizontal="left" vertical="center" textRotation="0" wrapText="true" indent="0" shrinkToFit="false"/>
      <protection locked="true" hidden="false"/>
    </xf>
    <xf numFmtId="164" fontId="6" fillId="0" borderId="14" xfId="0" applyFont="true" applyBorder="true" applyAlignment="true" applyProtection="true">
      <alignment horizontal="center" vertical="center" textRotation="0" wrapText="true" indent="0" shrinkToFit="false"/>
      <protection locked="true" hidden="false"/>
    </xf>
    <xf numFmtId="165" fontId="0" fillId="0" borderId="14" xfId="0" applyFont="true" applyBorder="true" applyAlignment="true" applyProtection="true">
      <alignment horizontal="left" vertical="center" textRotation="0" wrapText="true" indent="0" shrinkToFit="false"/>
      <protection locked="true" hidden="false"/>
    </xf>
    <xf numFmtId="164" fontId="0" fillId="0" borderId="14" xfId="0" applyFont="true" applyBorder="true" applyAlignment="true" applyProtection="true">
      <alignment horizontal="left" vertical="center" textRotation="0" wrapText="true" indent="0" shrinkToFit="false"/>
      <protection locked="true" hidden="false"/>
    </xf>
    <xf numFmtId="164" fontId="6" fillId="0" borderId="15" xfId="0" applyFont="true" applyBorder="true" applyAlignment="true" applyProtection="true">
      <alignment horizontal="left" vertical="center" textRotation="0" wrapText="true" indent="0" shrinkToFit="false"/>
      <protection locked="true" hidden="false"/>
    </xf>
    <xf numFmtId="165" fontId="6" fillId="0" borderId="0" xfId="0" applyFont="true" applyBorder="true" applyAlignment="true" applyProtection="true">
      <alignment horizontal="left" vertical="center" textRotation="0" wrapText="false" indent="1" shrinkToFit="false"/>
      <protection locked="true" hidden="false"/>
    </xf>
    <xf numFmtId="165" fontId="51" fillId="0" borderId="0" xfId="0" applyFont="true" applyBorder="true" applyAlignment="true" applyProtection="true">
      <alignment horizontal="left" vertical="center" textRotation="0" wrapText="false" indent="0" shrinkToFit="false"/>
      <protection locked="true" hidden="false"/>
    </xf>
    <xf numFmtId="165" fontId="51" fillId="0" borderId="17" xfId="0" applyFont="true" applyBorder="true" applyAlignment="true" applyProtection="true">
      <alignment horizontal="left" vertical="center" textRotation="0" wrapText="false" indent="0" shrinkToFit="false"/>
      <protection locked="true" hidden="false"/>
    </xf>
    <xf numFmtId="165" fontId="51" fillId="0" borderId="28" xfId="0" applyFont="true" applyBorder="true" applyAlignment="true" applyProtection="true">
      <alignment horizontal="left" vertical="center" textRotation="0" wrapText="false" indent="0" shrinkToFit="false"/>
      <protection locked="true" hidden="false"/>
    </xf>
    <xf numFmtId="165" fontId="51" fillId="0" borderId="21" xfId="0" applyFont="true" applyBorder="true" applyAlignment="true" applyProtection="true">
      <alignment horizontal="left" vertical="center" textRotation="0" wrapText="false" indent="0" shrinkToFit="false"/>
      <protection locked="true" hidden="false"/>
    </xf>
    <xf numFmtId="165" fontId="0" fillId="0" borderId="21" xfId="0" applyFont="true" applyBorder="true" applyAlignment="true" applyProtection="true">
      <alignment horizontal="general" vertical="center" textRotation="0" wrapText="false" indent="0" shrinkToFit="false"/>
      <protection locked="true" hidden="false"/>
    </xf>
    <xf numFmtId="165" fontId="51" fillId="0" borderId="29" xfId="0" applyFont="true" applyBorder="true" applyAlignment="true" applyProtection="true">
      <alignment horizontal="left" vertical="center" textRotation="0" wrapText="false" indent="0" shrinkToFit="false"/>
      <protection locked="true" hidden="false"/>
    </xf>
    <xf numFmtId="165" fontId="6" fillId="8" borderId="12" xfId="0" applyFont="true" applyBorder="true" applyAlignment="true" applyProtection="true">
      <alignment horizontal="left" vertical="top" textRotation="0" wrapText="true" indent="0" shrinkToFit="false"/>
      <protection locked="false" hidden="false"/>
    </xf>
    <xf numFmtId="164" fontId="6" fillId="0" borderId="0" xfId="0" applyFont="true" applyBorder="true" applyAlignment="true" applyProtection="true">
      <alignment horizontal="left" vertical="center" textRotation="0" wrapText="false" indent="1" shrinkToFit="false"/>
      <protection locked="true" hidden="false"/>
    </xf>
    <xf numFmtId="165" fontId="0" fillId="0" borderId="0" xfId="0" applyFont="true" applyBorder="true" applyAlignment="true" applyProtection="true">
      <alignment horizontal="left" vertical="top" textRotation="0" wrapText="true" indent="0" shrinkToFit="false"/>
      <protection locked="true" hidden="false"/>
    </xf>
    <xf numFmtId="165" fontId="0" fillId="0" borderId="0" xfId="0" applyFont="true" applyBorder="true" applyAlignment="true" applyProtection="true">
      <alignment horizontal="left" vertical="top" textRotation="0" wrapText="true" indent="1" shrinkToFit="false"/>
      <protection locked="true" hidden="false"/>
    </xf>
    <xf numFmtId="165" fontId="0" fillId="0" borderId="0" xfId="0" applyFont="true" applyBorder="true" applyAlignment="true" applyProtection="true">
      <alignment horizontal="general" vertical="top" textRotation="0" wrapText="true" indent="0" shrinkToFit="false"/>
      <protection locked="true" hidden="false"/>
    </xf>
    <xf numFmtId="164" fontId="24" fillId="0" borderId="0" xfId="0" applyFont="true" applyBorder="true" applyAlignment="true" applyProtection="true">
      <alignment horizontal="center" vertical="center" textRotation="0" wrapText="false" indent="0" shrinkToFit="false"/>
      <protection locked="true" hidden="false"/>
    </xf>
    <xf numFmtId="164" fontId="22" fillId="0" borderId="0" xfId="0" applyFont="true" applyBorder="true" applyAlignment="true" applyProtection="true">
      <alignment horizontal="center" vertical="center" textRotation="0" wrapText="false" indent="0" shrinkToFit="false"/>
      <protection locked="true" hidden="false"/>
    </xf>
    <xf numFmtId="164" fontId="63" fillId="0" borderId="0" xfId="0" applyFont="true" applyBorder="true" applyAlignment="true" applyProtection="true">
      <alignment horizontal="general" vertical="top" textRotation="0" wrapText="false" indent="0" shrinkToFit="false"/>
      <protection locked="true" hidden="false"/>
    </xf>
    <xf numFmtId="165" fontId="6" fillId="0" borderId="14" xfId="0" applyFont="true" applyBorder="true" applyAlignment="true" applyProtection="true">
      <alignment horizontal="left" vertical="center" textRotation="0" wrapText="true" indent="1" shrinkToFit="false"/>
      <protection locked="true" hidden="false"/>
    </xf>
    <xf numFmtId="165" fontId="17" fillId="0" borderId="0" xfId="0" applyFont="true" applyBorder="true" applyAlignment="true" applyProtection="true">
      <alignment horizontal="left" vertical="center" textRotation="0" wrapText="true" indent="1" shrinkToFit="false"/>
      <protection locked="true" hidden="false"/>
    </xf>
    <xf numFmtId="165" fontId="47" fillId="0" borderId="0" xfId="0" applyFont="true" applyBorder="true" applyAlignment="true" applyProtection="true">
      <alignment horizontal="general" vertical="center" textRotation="0" wrapText="false" indent="0" shrinkToFit="false"/>
      <protection locked="true" hidden="false"/>
    </xf>
    <xf numFmtId="165" fontId="64" fillId="0" borderId="0" xfId="0" applyFont="true" applyBorder="true" applyAlignment="true" applyProtection="true">
      <alignment horizontal="general" vertical="center" textRotation="0" wrapText="true" indent="0" shrinkToFit="false"/>
      <protection locked="true" hidden="false"/>
    </xf>
    <xf numFmtId="165" fontId="65" fillId="0" borderId="0" xfId="0" applyFont="true" applyBorder="true" applyAlignment="true" applyProtection="true">
      <alignment horizontal="general" vertical="center" textRotation="0" wrapText="true" indent="0" shrinkToFit="false"/>
      <protection locked="true" hidden="false"/>
    </xf>
    <xf numFmtId="171" fontId="6" fillId="0" borderId="21" xfId="0" applyFont="true" applyBorder="true" applyAlignment="true" applyProtection="true">
      <alignment horizontal="left" vertical="center" textRotation="0" wrapText="true" indent="1" shrinkToFit="false"/>
      <protection locked="true" hidden="false"/>
    </xf>
    <xf numFmtId="165" fontId="6" fillId="0" borderId="25" xfId="0" applyFont="true" applyBorder="true" applyAlignment="true" applyProtection="true">
      <alignment horizontal="center" vertical="center" textRotation="0" wrapText="true" indent="0" shrinkToFit="false"/>
      <protection locked="true" hidden="false"/>
    </xf>
    <xf numFmtId="165" fontId="6" fillId="0" borderId="30" xfId="0" applyFont="true" applyBorder="true" applyAlignment="true" applyProtection="true">
      <alignment horizontal="center" vertical="center" textRotation="0" wrapText="true" indent="0" shrinkToFit="false"/>
      <protection locked="true" hidden="false"/>
    </xf>
    <xf numFmtId="165" fontId="6" fillId="0" borderId="22" xfId="0" applyFont="true" applyBorder="true" applyAlignment="true" applyProtection="true">
      <alignment horizontal="center" vertical="center" textRotation="0" wrapText="true" indent="0" shrinkToFit="false"/>
      <protection locked="true" hidden="false"/>
    </xf>
    <xf numFmtId="165" fontId="6" fillId="0" borderId="13" xfId="0" applyFont="true" applyBorder="true" applyAlignment="true" applyProtection="true">
      <alignment horizontal="center" vertical="center" textRotation="0" wrapText="true" indent="0" shrinkToFit="false"/>
      <protection locked="true" hidden="false"/>
    </xf>
    <xf numFmtId="165" fontId="6" fillId="0" borderId="16" xfId="0" applyFont="true" applyBorder="true" applyAlignment="true" applyProtection="true">
      <alignment horizontal="center" vertical="center" textRotation="0" wrapText="true" indent="0" shrinkToFit="false"/>
      <protection locked="true" hidden="false"/>
    </xf>
    <xf numFmtId="164" fontId="6" fillId="0" borderId="25" xfId="0" applyFont="true" applyBorder="true" applyAlignment="true" applyProtection="true">
      <alignment horizontal="center" vertical="center" textRotation="0" wrapText="false" indent="0" shrinkToFit="false"/>
      <protection locked="true" hidden="false"/>
    </xf>
    <xf numFmtId="165" fontId="6" fillId="0" borderId="25" xfId="0" applyFont="true" applyBorder="true" applyAlignment="true" applyProtection="true">
      <alignment horizontal="left" vertical="center" textRotation="0" wrapText="true" indent="0" shrinkToFit="false"/>
      <protection locked="true" hidden="false"/>
    </xf>
    <xf numFmtId="164" fontId="6" fillId="0" borderId="22" xfId="0" applyFont="true" applyBorder="true" applyAlignment="true" applyProtection="true">
      <alignment horizontal="general" vertical="center" textRotation="0" wrapText="true" indent="0" shrinkToFit="false"/>
      <protection locked="true" hidden="false"/>
    </xf>
    <xf numFmtId="165" fontId="6" fillId="0" borderId="14" xfId="0" applyFont="true" applyBorder="true" applyAlignment="true" applyProtection="true">
      <alignment horizontal="center" vertical="center" textRotation="0" wrapText="false" indent="0" shrinkToFit="false"/>
      <protection locked="true" hidden="false"/>
    </xf>
    <xf numFmtId="164" fontId="6" fillId="0" borderId="14" xfId="0" applyFont="true" applyBorder="true" applyAlignment="true" applyProtection="true">
      <alignment horizontal="general" vertical="center" textRotation="0" wrapText="true" indent="0" shrinkToFit="false"/>
      <protection locked="true" hidden="false"/>
    </xf>
    <xf numFmtId="164" fontId="42" fillId="0" borderId="14" xfId="0" applyFont="true" applyBorder="true" applyAlignment="true" applyProtection="true">
      <alignment horizontal="general" vertical="center" textRotation="0" wrapText="true" indent="0" shrinkToFit="false"/>
      <protection locked="true" hidden="false"/>
    </xf>
    <xf numFmtId="165" fontId="6" fillId="0" borderId="14" xfId="0" applyFont="true" applyBorder="true" applyAlignment="true" applyProtection="true">
      <alignment horizontal="left" vertical="center" textRotation="0" wrapText="true" indent="0" shrinkToFit="false"/>
      <protection locked="true" hidden="false"/>
    </xf>
    <xf numFmtId="164" fontId="6" fillId="0" borderId="16" xfId="0" applyFont="true" applyBorder="true" applyAlignment="true" applyProtection="true">
      <alignment horizontal="general" vertical="center" textRotation="0" wrapText="true" indent="0" shrinkToFit="false"/>
      <protection locked="true" hidden="false"/>
    </xf>
    <xf numFmtId="164" fontId="6" fillId="0" borderId="0" xfId="0" applyFont="true" applyBorder="true" applyAlignment="true" applyProtection="true">
      <alignment horizontal="left" vertical="center" textRotation="0" wrapText="true" indent="0" shrinkToFit="false"/>
      <protection locked="true" hidden="false"/>
    </xf>
    <xf numFmtId="164" fontId="42" fillId="0" borderId="0" xfId="0" applyFont="true" applyBorder="true" applyAlignment="true" applyProtection="true">
      <alignment horizontal="general" vertical="center" textRotation="0" wrapText="true" indent="0" shrinkToFit="false"/>
      <protection locked="true" hidden="false"/>
    </xf>
    <xf numFmtId="164" fontId="42" fillId="0" borderId="0" xfId="0" applyFont="true" applyBorder="true" applyAlignment="true" applyProtection="true">
      <alignment horizontal="center" vertical="center" textRotation="0" wrapText="true" indent="0" shrinkToFit="false"/>
      <protection locked="true" hidden="false"/>
    </xf>
    <xf numFmtId="165" fontId="51" fillId="0" borderId="0" xfId="0" applyFont="true" applyBorder="true" applyAlignment="true" applyProtection="true">
      <alignment horizontal="general" vertical="center" textRotation="0" wrapText="false" indent="0" shrinkToFit="false"/>
      <protection locked="true" hidden="false"/>
    </xf>
    <xf numFmtId="165" fontId="51" fillId="0" borderId="16" xfId="0" applyFont="true" applyBorder="true" applyAlignment="true" applyProtection="true">
      <alignment horizontal="left" vertical="center" textRotation="0" wrapText="false" indent="0" shrinkToFit="false"/>
      <protection locked="true" hidden="false"/>
    </xf>
    <xf numFmtId="164" fontId="63" fillId="0" borderId="28" xfId="0" applyFont="true" applyBorder="true" applyAlignment="true" applyProtection="true">
      <alignment horizontal="general" vertical="top" textRotation="0" wrapText="false" indent="0" shrinkToFit="false"/>
      <protection locked="true" hidden="false"/>
    </xf>
    <xf numFmtId="164" fontId="63" fillId="0" borderId="21" xfId="0" applyFont="true" applyBorder="true" applyAlignment="true" applyProtection="true">
      <alignment horizontal="general" vertical="top" textRotation="0" wrapText="false" indent="0" shrinkToFit="false"/>
      <protection locked="true" hidden="false"/>
    </xf>
    <xf numFmtId="164" fontId="6" fillId="0" borderId="12" xfId="0" applyFont="true" applyBorder="true" applyAlignment="true" applyProtection="true">
      <alignment horizontal="center" vertical="center" textRotation="0" wrapText="false" indent="0" shrinkToFit="false"/>
      <protection locked="true" hidden="false"/>
    </xf>
    <xf numFmtId="165" fontId="6" fillId="0" borderId="12" xfId="0" applyFont="true" applyBorder="true" applyAlignment="true" applyProtection="true">
      <alignment horizontal="left" vertical="center" textRotation="0" wrapText="true" indent="0" shrinkToFit="false"/>
      <protection locked="true" hidden="false"/>
    </xf>
    <xf numFmtId="165" fontId="6" fillId="9" borderId="0" xfId="0" applyFont="true" applyBorder="true" applyAlignment="true" applyProtection="true">
      <alignment horizontal="general" vertical="bottom" textRotation="0" wrapText="false" indent="0" shrinkToFit="false"/>
      <protection locked="true" hidden="false"/>
    </xf>
    <xf numFmtId="165" fontId="24" fillId="9" borderId="0" xfId="0" applyFont="true" applyBorder="true" applyAlignment="true" applyProtection="true">
      <alignment horizontal="general" vertical="bottom" textRotation="0" wrapText="false" indent="0" shrinkToFit="false"/>
      <protection locked="true" hidden="false"/>
    </xf>
    <xf numFmtId="165" fontId="0" fillId="9" borderId="0" xfId="0" applyFont="true" applyBorder="true" applyAlignment="true" applyProtection="true">
      <alignment horizontal="general" vertical="bottom" textRotation="0" wrapText="false" indent="0" shrinkToFit="false"/>
      <protection locked="true" hidden="false"/>
    </xf>
    <xf numFmtId="165" fontId="0" fillId="9" borderId="0" xfId="0" applyFont="true" applyBorder="true" applyAlignment="true" applyProtection="true">
      <alignment horizontal="center" vertical="bottom" textRotation="0" wrapText="false" indent="0" shrinkToFit="false"/>
      <protection locked="true" hidden="false"/>
    </xf>
    <xf numFmtId="165" fontId="35" fillId="9" borderId="0" xfId="0" applyFont="true" applyBorder="true" applyAlignment="true" applyProtection="true">
      <alignment horizontal="general" vertical="bottom" textRotation="0" wrapText="false" indent="0" shrinkToFit="false"/>
      <protection locked="true" hidden="false"/>
    </xf>
    <xf numFmtId="165" fontId="35" fillId="9" borderId="0" xfId="0" applyFont="true" applyBorder="true" applyAlignment="true" applyProtection="true">
      <alignment horizontal="center" vertical="bottom" textRotation="0" wrapText="false" indent="0" shrinkToFit="false"/>
      <protection locked="true" hidden="false"/>
    </xf>
    <xf numFmtId="165" fontId="66" fillId="0" borderId="0" xfId="0" applyFont="true" applyBorder="true" applyAlignment="true" applyProtection="true">
      <alignment horizontal="general" vertical="center" textRotation="0" wrapText="false" indent="0" shrinkToFit="false"/>
      <protection locked="true" hidden="false"/>
    </xf>
    <xf numFmtId="165" fontId="67" fillId="0" borderId="0" xfId="0" applyFont="true" applyBorder="true" applyAlignment="true" applyProtection="true">
      <alignment horizontal="general" vertical="center" textRotation="0" wrapText="false" indent="0" shrinkToFit="false"/>
      <protection locked="true" hidden="false"/>
    </xf>
    <xf numFmtId="165" fontId="68" fillId="9" borderId="0" xfId="0" applyFont="true" applyBorder="true" applyAlignment="true" applyProtection="true">
      <alignment horizontal="right" vertical="center" textRotation="0" wrapText="false" indent="0" shrinkToFit="false"/>
      <protection locked="true" hidden="false"/>
    </xf>
    <xf numFmtId="165" fontId="24" fillId="9" borderId="0" xfId="0" applyFont="true" applyBorder="true" applyAlignment="true" applyProtection="true">
      <alignment horizontal="general" vertical="center" textRotation="0" wrapText="true" indent="0" shrinkToFit="false"/>
      <protection locked="true" hidden="false"/>
    </xf>
    <xf numFmtId="165" fontId="32" fillId="9" borderId="0" xfId="0" applyFont="true" applyBorder="true" applyAlignment="true" applyProtection="true">
      <alignment horizontal="left" vertical="center" textRotation="0" wrapText="true" indent="0" shrinkToFit="false"/>
      <protection locked="true" hidden="false"/>
    </xf>
    <xf numFmtId="164" fontId="0" fillId="9" borderId="12" xfId="0" applyFont="true" applyBorder="true" applyAlignment="true" applyProtection="true">
      <alignment horizontal="center" vertical="center" textRotation="0" wrapText="true" indent="0" shrinkToFit="false"/>
      <protection locked="true" hidden="false"/>
    </xf>
    <xf numFmtId="165" fontId="0" fillId="9" borderId="12" xfId="0" applyFont="true" applyBorder="true" applyAlignment="true" applyProtection="true">
      <alignment horizontal="center" vertical="center" textRotation="0" wrapText="true" indent="0" shrinkToFit="false"/>
      <protection locked="true" hidden="false"/>
    </xf>
    <xf numFmtId="164" fontId="6" fillId="9" borderId="12" xfId="0" applyFont="true" applyBorder="true" applyAlignment="true" applyProtection="true">
      <alignment horizontal="center" vertical="center" textRotation="0" wrapText="true" indent="0" shrinkToFit="false"/>
      <protection locked="true" hidden="false"/>
    </xf>
    <xf numFmtId="165" fontId="48" fillId="9" borderId="0" xfId="0" applyFont="true" applyBorder="true" applyAlignment="true" applyProtection="true">
      <alignment horizontal="center" vertical="center" textRotation="0" wrapText="false" indent="0" shrinkToFit="false"/>
      <protection locked="true" hidden="false"/>
    </xf>
    <xf numFmtId="164" fontId="24" fillId="0" borderId="12" xfId="0" applyFont="true" applyBorder="true" applyAlignment="true" applyProtection="true">
      <alignment horizontal="center" vertical="center" textRotation="0" wrapText="false" indent="0" shrinkToFit="false"/>
      <protection locked="true" hidden="false"/>
    </xf>
    <xf numFmtId="165" fontId="24" fillId="0" borderId="12" xfId="0" applyFont="true" applyBorder="true" applyAlignment="true" applyProtection="true">
      <alignment horizontal="general" vertical="center" textRotation="0" wrapText="true" indent="0" shrinkToFit="false"/>
      <protection locked="true" hidden="false"/>
    </xf>
    <xf numFmtId="171" fontId="24" fillId="0" borderId="12" xfId="0" applyFont="true" applyBorder="true" applyAlignment="true" applyProtection="true">
      <alignment horizontal="left" vertical="center" textRotation="0" wrapText="true" indent="0" shrinkToFit="false"/>
      <protection locked="true" hidden="false"/>
    </xf>
    <xf numFmtId="165" fontId="69" fillId="9" borderId="0" xfId="0" applyFont="true" applyBorder="true" applyAlignment="true" applyProtection="true">
      <alignment horizontal="general" vertical="bottom" textRotation="0" wrapText="false" indent="0" shrinkToFit="false"/>
      <protection locked="true" hidden="false"/>
    </xf>
    <xf numFmtId="164" fontId="0" fillId="9" borderId="12" xfId="0" applyFont="true" applyBorder="true" applyAlignment="true" applyProtection="true">
      <alignment horizontal="center" vertical="center" textRotation="0" wrapText="false" indent="0" shrinkToFit="false"/>
      <protection locked="true" hidden="false"/>
    </xf>
    <xf numFmtId="171" fontId="0" fillId="9" borderId="12" xfId="0" applyFont="true" applyBorder="true" applyAlignment="true" applyProtection="true">
      <alignment horizontal="general" vertical="center" textRotation="0" wrapText="true" indent="0" shrinkToFit="false"/>
      <protection locked="true" hidden="false"/>
    </xf>
    <xf numFmtId="165" fontId="6" fillId="9" borderId="12" xfId="0" applyFont="true" applyBorder="true" applyAlignment="true" applyProtection="true">
      <alignment horizontal="general" vertical="center" textRotation="0" wrapText="true" indent="0" shrinkToFit="false"/>
      <protection locked="true" hidden="false"/>
    </xf>
    <xf numFmtId="171" fontId="0" fillId="9" borderId="12" xfId="0" applyFont="true" applyBorder="true" applyAlignment="true" applyProtection="true">
      <alignment horizontal="left" vertical="center" textRotation="0" wrapText="true" indent="1" shrinkToFit="false"/>
      <protection locked="true" hidden="false"/>
    </xf>
    <xf numFmtId="164" fontId="0" fillId="8" borderId="12" xfId="0" applyFont="true" applyBorder="true" applyAlignment="true" applyProtection="true">
      <alignment horizontal="left" vertical="center" textRotation="0" wrapText="true" indent="0" shrinkToFit="false"/>
      <protection locked="false" hidden="false"/>
    </xf>
    <xf numFmtId="165" fontId="24" fillId="0" borderId="12" xfId="0" applyFont="true" applyBorder="true" applyAlignment="true" applyProtection="true">
      <alignment horizontal="left" vertical="center" textRotation="0" wrapText="true" indent="1" shrinkToFit="false"/>
      <protection locked="true" hidden="false"/>
    </xf>
    <xf numFmtId="164" fontId="6" fillId="9" borderId="0" xfId="0" applyFont="true" applyBorder="true" applyAlignment="true" applyProtection="true">
      <alignment horizontal="center" vertical="center" textRotation="0" wrapText="true" indent="0" shrinkToFit="false"/>
      <protection locked="true" hidden="false"/>
    </xf>
    <xf numFmtId="165" fontId="6" fillId="9" borderId="17" xfId="0" applyFont="true" applyBorder="true" applyAlignment="true" applyProtection="true">
      <alignment horizontal="center" vertical="center" textRotation="0" wrapText="true" indent="0" shrinkToFit="false"/>
      <protection locked="true" hidden="false"/>
    </xf>
    <xf numFmtId="165" fontId="66" fillId="0" borderId="0" xfId="0" applyFont="true" applyBorder="true" applyAlignment="true" applyProtection="true">
      <alignment horizontal="general" vertical="center" textRotation="0" wrapText="true" indent="0" shrinkToFit="false"/>
      <protection locked="true" hidden="false"/>
    </xf>
    <xf numFmtId="171" fontId="0" fillId="9" borderId="12" xfId="0" applyFont="true" applyBorder="true" applyAlignment="true" applyProtection="true">
      <alignment horizontal="center" vertical="center" textRotation="0" wrapText="false" indent="0" shrinkToFit="false"/>
      <protection locked="true" hidden="false"/>
    </xf>
    <xf numFmtId="165" fontId="0" fillId="9" borderId="12" xfId="0" applyFont="true" applyBorder="true" applyAlignment="true" applyProtection="true">
      <alignment horizontal="left" vertical="center" textRotation="0" wrapText="true" indent="2" shrinkToFit="false"/>
      <protection locked="true" hidden="false"/>
    </xf>
    <xf numFmtId="164" fontId="0" fillId="0" borderId="12" xfId="0" applyFont="true" applyBorder="true" applyAlignment="true" applyProtection="true">
      <alignment horizontal="left" vertical="center" textRotation="0" wrapText="true" indent="0" shrinkToFit="false"/>
      <protection locked="true" hidden="false"/>
    </xf>
    <xf numFmtId="164" fontId="6" fillId="9" borderId="0" xfId="0" applyFont="true" applyBorder="true" applyAlignment="true" applyProtection="true">
      <alignment horizontal="general" vertical="center" textRotation="0" wrapText="true" indent="0" shrinkToFit="false"/>
      <protection locked="true" hidden="false"/>
    </xf>
    <xf numFmtId="165" fontId="6" fillId="9" borderId="17" xfId="0" applyFont="true" applyBorder="true" applyAlignment="true" applyProtection="true">
      <alignment horizontal="general" vertical="center" textRotation="0" wrapText="true" indent="0" shrinkToFit="false"/>
      <protection locked="true" hidden="false"/>
    </xf>
    <xf numFmtId="165" fontId="6" fillId="11" borderId="13" xfId="0" applyFont="true" applyBorder="true" applyAlignment="true" applyProtection="true">
      <alignment horizontal="center" vertical="bottom" textRotation="0" wrapText="false" indent="0" shrinkToFit="false"/>
      <protection locked="true" hidden="false"/>
    </xf>
    <xf numFmtId="165" fontId="68" fillId="11" borderId="10" xfId="0" applyFont="true" applyBorder="true" applyAlignment="true" applyProtection="true">
      <alignment horizontal="left" vertical="center" textRotation="0" wrapText="false" indent="0" shrinkToFit="false"/>
      <protection locked="true" hidden="false"/>
    </xf>
    <xf numFmtId="165" fontId="68" fillId="11" borderId="19" xfId="0" applyFont="true" applyBorder="true" applyAlignment="true" applyProtection="true">
      <alignment horizontal="left" vertical="center" textRotation="0" wrapText="false" indent="0" shrinkToFit="false"/>
      <protection locked="true" hidden="false"/>
    </xf>
    <xf numFmtId="164" fontId="24" fillId="9" borderId="12" xfId="0" applyFont="true" applyBorder="true" applyAlignment="true" applyProtection="true">
      <alignment horizontal="center" vertical="center" textRotation="0" wrapText="false" indent="0" shrinkToFit="false"/>
      <protection locked="true" hidden="false"/>
    </xf>
    <xf numFmtId="165" fontId="24" fillId="9" borderId="12" xfId="0" applyFont="true" applyBorder="true" applyAlignment="true" applyProtection="true">
      <alignment horizontal="general" vertical="center" textRotation="0" wrapText="true" indent="0" shrinkToFit="false"/>
      <protection locked="true" hidden="false"/>
    </xf>
    <xf numFmtId="165" fontId="24" fillId="9" borderId="12" xfId="0" applyFont="true" applyBorder="true" applyAlignment="true" applyProtection="true">
      <alignment horizontal="left" vertical="center" textRotation="0" wrapText="true" indent="1" shrinkToFit="false"/>
      <protection locked="true" hidden="false"/>
    </xf>
    <xf numFmtId="165" fontId="24" fillId="9" borderId="12" xfId="0" applyFont="true" applyBorder="true" applyAlignment="true" applyProtection="true">
      <alignment horizontal="left" vertical="center" textRotation="0" wrapText="true" indent="2" shrinkToFit="false"/>
      <protection locked="true" hidden="false"/>
    </xf>
    <xf numFmtId="164" fontId="24" fillId="0" borderId="12" xfId="0" applyFont="true" applyBorder="true" applyAlignment="true" applyProtection="true">
      <alignment horizontal="left" vertical="center" textRotation="0" wrapText="true" indent="0" shrinkToFit="false"/>
      <protection locked="true" hidden="false"/>
    </xf>
    <xf numFmtId="171" fontId="0" fillId="9" borderId="12" xfId="0" applyFont="true" applyBorder="true" applyAlignment="true" applyProtection="true">
      <alignment horizontal="left" vertical="center" textRotation="0" wrapText="true" indent="0" shrinkToFit="false"/>
      <protection locked="true" hidden="false"/>
    </xf>
    <xf numFmtId="164" fontId="0" fillId="5" borderId="12" xfId="0" applyFont="true" applyBorder="true" applyAlignment="true" applyProtection="true">
      <alignment horizontal="left" vertical="center" textRotation="0" wrapText="true" indent="0" shrinkToFit="false"/>
      <protection locked="false" hidden="false"/>
    </xf>
    <xf numFmtId="171" fontId="0" fillId="9" borderId="25" xfId="0" applyFont="true" applyBorder="true" applyAlignment="true" applyProtection="true">
      <alignment horizontal="left" vertical="center" textRotation="0" wrapText="true" indent="0" shrinkToFit="false"/>
      <protection locked="true" hidden="false"/>
    </xf>
    <xf numFmtId="171" fontId="6" fillId="9" borderId="12" xfId="0" applyFont="true" applyBorder="true" applyAlignment="true" applyProtection="true">
      <alignment horizontal="left" vertical="top" textRotation="0" wrapText="true" indent="0" shrinkToFit="false"/>
      <protection locked="true" hidden="false"/>
    </xf>
    <xf numFmtId="165" fontId="42" fillId="9" borderId="0" xfId="0" applyFont="true" applyBorder="true" applyAlignment="true" applyProtection="true">
      <alignment horizontal="center" vertical="center" textRotation="0" wrapText="true" indent="0" shrinkToFit="false"/>
      <protection locked="true" hidden="false"/>
    </xf>
    <xf numFmtId="164" fontId="0" fillId="8" borderId="12" xfId="0" applyFont="true" applyBorder="true" applyAlignment="true" applyProtection="true">
      <alignment horizontal="left" vertical="center" textRotation="0" wrapText="true" indent="1" shrinkToFit="false"/>
      <protection locked="false" hidden="false"/>
    </xf>
    <xf numFmtId="164" fontId="6" fillId="8" borderId="13" xfId="0" applyFont="true" applyBorder="true" applyAlignment="true" applyProtection="true">
      <alignment horizontal="left" vertical="center" textRotation="0" wrapText="true" indent="0" shrinkToFit="false"/>
      <protection locked="false" hidden="false"/>
    </xf>
    <xf numFmtId="165" fontId="70" fillId="9" borderId="0" xfId="0" applyFont="true" applyBorder="true" applyAlignment="true" applyProtection="true">
      <alignment horizontal="general" vertical="bottom" textRotation="0" wrapText="false" indent="0" shrinkToFit="false"/>
      <protection locked="true" hidden="false"/>
    </xf>
    <xf numFmtId="164" fontId="6" fillId="8" borderId="12" xfId="0" applyFont="true" applyBorder="true" applyAlignment="true" applyProtection="true">
      <alignment horizontal="left" vertical="center" textRotation="0" wrapText="true" indent="0" shrinkToFit="false"/>
      <protection locked="false" hidden="false"/>
    </xf>
    <xf numFmtId="164" fontId="6" fillId="5" borderId="12" xfId="0" applyFont="true" applyBorder="true" applyAlignment="true" applyProtection="true">
      <alignment horizontal="left" vertical="center" textRotation="0" wrapText="true" indent="0" shrinkToFit="false"/>
      <protection locked="false" hidden="false"/>
    </xf>
    <xf numFmtId="164" fontId="6" fillId="10" borderId="12" xfId="0" applyFont="true" applyBorder="true" applyAlignment="true" applyProtection="true">
      <alignment horizontal="left" vertical="center" textRotation="0" wrapText="true" indent="0" shrinkToFit="false"/>
      <protection locked="true" hidden="false"/>
    </xf>
    <xf numFmtId="165" fontId="0" fillId="9" borderId="13" xfId="0" applyFont="true" applyBorder="true" applyAlignment="true" applyProtection="true">
      <alignment horizontal="left" vertical="center" textRotation="0" wrapText="true" indent="1" shrinkToFit="false"/>
      <protection locked="true" hidden="false"/>
    </xf>
    <xf numFmtId="164" fontId="6" fillId="10" borderId="13" xfId="0" applyFont="true" applyBorder="true" applyAlignment="true" applyProtection="true">
      <alignment horizontal="left" vertical="center" textRotation="0" wrapText="true" indent="0" shrinkToFit="false"/>
      <protection locked="true" hidden="false"/>
    </xf>
    <xf numFmtId="165" fontId="0" fillId="9" borderId="12" xfId="0" applyFont="true" applyBorder="true" applyAlignment="true" applyProtection="true">
      <alignment horizontal="general" vertical="top" textRotation="0" wrapText="true" indent="0" shrinkToFit="false"/>
      <protection locked="true" hidden="false"/>
    </xf>
    <xf numFmtId="165" fontId="0" fillId="9" borderId="13" xfId="0" applyFont="true" applyBorder="true" applyAlignment="true" applyProtection="true">
      <alignment horizontal="left" vertical="center" textRotation="0" wrapText="true" indent="0" shrinkToFit="false"/>
      <protection locked="true" hidden="false"/>
    </xf>
    <xf numFmtId="171" fontId="0" fillId="9" borderId="18" xfId="0" applyFont="true" applyBorder="true" applyAlignment="true" applyProtection="true">
      <alignment horizontal="general" vertical="center" textRotation="0" wrapText="true" indent="0" shrinkToFit="false"/>
      <protection locked="true" hidden="false"/>
    </xf>
    <xf numFmtId="165" fontId="6" fillId="0" borderId="0" xfId="0" applyFont="true" applyBorder="true" applyAlignment="true" applyProtection="true">
      <alignment horizontal="general" vertical="top" textRotation="0" wrapText="true" indent="0" shrinkToFit="false"/>
      <protection locked="true" hidden="false"/>
    </xf>
    <xf numFmtId="165" fontId="52" fillId="0" borderId="0" xfId="0" applyFont="true" applyBorder="true" applyAlignment="true" applyProtection="true">
      <alignment horizontal="right" vertical="top" textRotation="0" wrapText="true" indent="0" shrinkToFit="false"/>
      <protection locked="true" hidden="false"/>
    </xf>
    <xf numFmtId="171" fontId="52" fillId="0" borderId="0" xfId="0" applyFont="true" applyBorder="true" applyAlignment="true" applyProtection="true">
      <alignment horizontal="left" vertical="top" textRotation="0" wrapText="true" indent="1" shrinkToFit="false"/>
      <protection locked="true" hidden="false"/>
    </xf>
    <xf numFmtId="165" fontId="71" fillId="9" borderId="0" xfId="0" applyFont="true" applyBorder="true" applyAlignment="true" applyProtection="true">
      <alignment horizontal="general" vertical="bottom" textRotation="0" wrapText="false" indent="0" shrinkToFit="false"/>
      <protection locked="true" hidden="false"/>
    </xf>
    <xf numFmtId="165" fontId="18" fillId="9" borderId="0" xfId="0" applyFont="true" applyBorder="true" applyAlignment="true" applyProtection="true">
      <alignment horizontal="right" vertical="center" textRotation="0" wrapText="false" indent="0" shrinkToFit="false"/>
      <protection locked="true" hidden="false"/>
    </xf>
    <xf numFmtId="165" fontId="20" fillId="9" borderId="0" xfId="0" applyFont="true" applyBorder="true" applyAlignment="true" applyProtection="true">
      <alignment horizontal="general" vertical="center" textRotation="0" wrapText="false" indent="0" shrinkToFit="false"/>
      <protection locked="true" hidden="false"/>
    </xf>
    <xf numFmtId="165" fontId="18" fillId="9" borderId="0" xfId="0" applyFont="true" applyBorder="true" applyAlignment="true" applyProtection="true">
      <alignment horizontal="right" vertical="top" textRotation="0" wrapText="false" indent="0" shrinkToFit="false"/>
      <protection locked="true" hidden="false"/>
    </xf>
    <xf numFmtId="165" fontId="20" fillId="9" borderId="0" xfId="0" applyFont="true" applyBorder="true" applyAlignment="true" applyProtection="true">
      <alignment horizontal="general" vertical="center" textRotation="0" wrapText="true" indent="0" shrinkToFit="false"/>
      <protection locked="true" hidden="false"/>
    </xf>
    <xf numFmtId="165" fontId="25" fillId="9" borderId="0" xfId="0" applyFont="true" applyBorder="true" applyAlignment="true" applyProtection="true">
      <alignment horizontal="right" vertical="center" textRotation="0" wrapText="true" indent="0" shrinkToFit="false"/>
      <protection locked="true" hidden="false"/>
    </xf>
    <xf numFmtId="165" fontId="17" fillId="0" borderId="0" xfId="0" applyFont="true" applyBorder="true" applyAlignment="true" applyProtection="true">
      <alignment horizontal="left" vertical="center" textRotation="0" wrapText="true" indent="3" shrinkToFit="false"/>
      <protection locked="true" hidden="false"/>
    </xf>
    <xf numFmtId="165" fontId="62" fillId="0" borderId="0" xfId="0" applyFont="true" applyBorder="true" applyAlignment="true" applyProtection="true">
      <alignment horizontal="center" vertical="center" textRotation="0" wrapText="true" indent="0" shrinkToFit="false"/>
      <protection locked="true" hidden="false"/>
    </xf>
    <xf numFmtId="165" fontId="72" fillId="9" borderId="0" xfId="0" applyFont="true" applyBorder="true" applyAlignment="true" applyProtection="true">
      <alignment horizontal="center" vertical="center" textRotation="0" wrapText="true" indent="0" shrinkToFit="false"/>
      <protection locked="true" hidden="false"/>
    </xf>
    <xf numFmtId="165" fontId="27" fillId="0" borderId="0" xfId="0" applyFont="true" applyBorder="true" applyAlignment="true" applyProtection="true">
      <alignment horizontal="left" vertical="center" textRotation="0" wrapText="true" indent="1" shrinkToFit="false"/>
      <protection locked="true" hidden="false"/>
    </xf>
    <xf numFmtId="165" fontId="6" fillId="0" borderId="0" xfId="0" applyFont="true" applyBorder="true" applyAlignment="true" applyProtection="true">
      <alignment horizontal="right" vertical="center" textRotation="0" wrapText="false" indent="0" shrinkToFit="false"/>
      <protection locked="true" hidden="false"/>
    </xf>
    <xf numFmtId="171" fontId="0" fillId="0" borderId="12" xfId="0" applyFont="true" applyBorder="true" applyAlignment="true" applyProtection="true">
      <alignment horizontal="center" vertical="center" textRotation="0" wrapText="true" indent="0" shrinkToFit="false"/>
      <protection locked="true" hidden="false"/>
    </xf>
    <xf numFmtId="165" fontId="0" fillId="0" borderId="25" xfId="0" applyFont="true" applyBorder="true" applyAlignment="true" applyProtection="true">
      <alignment horizontal="center" vertical="center" textRotation="0" wrapText="true" indent="0" shrinkToFit="false"/>
      <protection locked="true" hidden="false"/>
    </xf>
    <xf numFmtId="165" fontId="0" fillId="0" borderId="13" xfId="0" applyFont="true" applyBorder="true" applyAlignment="true" applyProtection="true">
      <alignment horizontal="center" vertical="center" textRotation="0" wrapText="true" indent="0" shrinkToFit="false"/>
      <protection locked="true" hidden="false"/>
    </xf>
    <xf numFmtId="165" fontId="0" fillId="0" borderId="19" xfId="0" applyFont="true" applyBorder="true" applyAlignment="true" applyProtection="true">
      <alignment horizontal="center" vertical="center" textRotation="0" wrapText="true" indent="0" shrinkToFit="false"/>
      <protection locked="true" hidden="false"/>
    </xf>
    <xf numFmtId="165" fontId="0" fillId="0" borderId="15" xfId="0" applyFont="true" applyBorder="true" applyAlignment="true" applyProtection="true">
      <alignment horizontal="center" vertical="center" textRotation="0" wrapText="true" indent="0" shrinkToFit="false"/>
      <protection locked="true" hidden="false"/>
    </xf>
    <xf numFmtId="165" fontId="0" fillId="0" borderId="18" xfId="0" applyFont="true" applyBorder="true" applyAlignment="true" applyProtection="true">
      <alignment horizontal="center" vertical="center" textRotation="0" wrapText="true" indent="0" shrinkToFit="false"/>
      <protection locked="true" hidden="false"/>
    </xf>
    <xf numFmtId="165" fontId="0" fillId="0" borderId="29" xfId="0" applyFont="true" applyBorder="true" applyAlignment="true" applyProtection="true">
      <alignment horizontal="center" vertical="center" textRotation="0" wrapText="true" indent="0" shrinkToFit="false"/>
      <protection locked="true" hidden="false"/>
    </xf>
    <xf numFmtId="165" fontId="48" fillId="9" borderId="0" xfId="0" applyFont="true" applyBorder="true" applyAlignment="true" applyProtection="true">
      <alignment horizontal="center" vertical="center" textRotation="0" wrapText="true" indent="0" shrinkToFit="false"/>
      <protection locked="true" hidden="false"/>
    </xf>
    <xf numFmtId="164" fontId="48" fillId="9" borderId="0" xfId="0" applyFont="true" applyBorder="true" applyAlignment="true" applyProtection="true">
      <alignment horizontal="center" vertical="center" textRotation="0" wrapText="true" indent="0" shrinkToFit="false"/>
      <protection locked="true" hidden="false"/>
    </xf>
    <xf numFmtId="165" fontId="73" fillId="9" borderId="0" xfId="0" applyFont="true" applyBorder="true" applyAlignment="true" applyProtection="true">
      <alignment horizontal="center" vertical="center" textRotation="0" wrapText="true" indent="0" shrinkToFit="false"/>
      <protection locked="true" hidden="false"/>
    </xf>
    <xf numFmtId="164" fontId="44" fillId="0" borderId="25" xfId="0" applyFont="true" applyBorder="true" applyAlignment="true" applyProtection="true">
      <alignment horizontal="left" vertical="center" textRotation="0" wrapText="true" indent="0" shrinkToFit="false"/>
      <protection locked="true" hidden="false"/>
    </xf>
    <xf numFmtId="164" fontId="44" fillId="0" borderId="12" xfId="0" applyFont="true" applyBorder="true" applyAlignment="true" applyProtection="true">
      <alignment horizontal="left" vertical="center" textRotation="0" wrapText="true" indent="0" shrinkToFit="false"/>
      <protection locked="true" hidden="false"/>
    </xf>
    <xf numFmtId="164" fontId="0" fillId="0" borderId="12" xfId="0" applyFont="true" applyBorder="true" applyAlignment="true" applyProtection="true">
      <alignment horizontal="general" vertical="top" textRotation="0" wrapText="true" indent="0" shrinkToFit="false"/>
      <protection locked="true" hidden="false"/>
    </xf>
    <xf numFmtId="164" fontId="0" fillId="0" borderId="12" xfId="0" applyFont="true" applyBorder="true" applyAlignment="true" applyProtection="true">
      <alignment horizontal="center" vertical="center" textRotation="0" wrapText="true" indent="0" shrinkToFit="false"/>
      <protection locked="true" hidden="false"/>
    </xf>
    <xf numFmtId="165" fontId="6" fillId="10" borderId="13" xfId="0" applyFont="true" applyBorder="true" applyAlignment="true" applyProtection="true">
      <alignment horizontal="left" vertical="center" textRotation="0" wrapText="true" indent="0" shrinkToFit="false"/>
      <protection locked="true" hidden="false"/>
    </xf>
    <xf numFmtId="164" fontId="48" fillId="9" borderId="12" xfId="0" applyFont="true" applyBorder="true" applyAlignment="true" applyProtection="true">
      <alignment horizontal="center" vertical="center" textRotation="0" wrapText="true" indent="0" shrinkToFit="false"/>
      <protection locked="true" hidden="false"/>
    </xf>
    <xf numFmtId="174" fontId="0" fillId="8" borderId="12" xfId="0" applyFont="true" applyBorder="true" applyAlignment="true" applyProtection="true">
      <alignment horizontal="right" vertical="center" textRotation="0" wrapText="true" indent="0" shrinkToFit="false"/>
      <protection locked="false" hidden="false"/>
    </xf>
    <xf numFmtId="176" fontId="0" fillId="8" borderId="12" xfId="0" applyFont="true" applyBorder="true" applyAlignment="true" applyProtection="true">
      <alignment horizontal="right" vertical="center" textRotation="0" wrapText="true" indent="0" shrinkToFit="false"/>
      <protection locked="false" hidden="false"/>
    </xf>
    <xf numFmtId="174" fontId="0" fillId="8" borderId="19" xfId="0" applyFont="true" applyBorder="true" applyAlignment="true" applyProtection="true">
      <alignment horizontal="right" vertical="center" textRotation="0" wrapText="true" indent="0" shrinkToFit="false"/>
      <protection locked="false" hidden="false"/>
    </xf>
    <xf numFmtId="165" fontId="0" fillId="5" borderId="12" xfId="0" applyFont="true" applyBorder="true" applyAlignment="true" applyProtection="true">
      <alignment horizontal="right" vertical="center" textRotation="0" wrapText="true" indent="0" shrinkToFit="false"/>
      <protection locked="false" hidden="false"/>
    </xf>
    <xf numFmtId="176" fontId="0" fillId="0" borderId="19" xfId="0" applyFont="true" applyBorder="true" applyAlignment="true" applyProtection="true">
      <alignment horizontal="right" vertical="center" textRotation="0" wrapText="true" indent="0" shrinkToFit="false"/>
      <protection locked="true" hidden="false"/>
    </xf>
    <xf numFmtId="165" fontId="0" fillId="0" borderId="12" xfId="0" applyFont="true" applyBorder="true" applyAlignment="true" applyProtection="true">
      <alignment horizontal="left" vertical="top" textRotation="0" wrapText="true" indent="0" shrinkToFit="false"/>
      <protection locked="true" hidden="false"/>
    </xf>
    <xf numFmtId="164" fontId="29" fillId="11" borderId="13" xfId="0" applyFont="true" applyBorder="true" applyAlignment="true" applyProtection="true">
      <alignment horizontal="center" vertical="center" textRotation="0" wrapText="false" indent="0" shrinkToFit="false"/>
      <protection locked="true" hidden="false"/>
    </xf>
    <xf numFmtId="171" fontId="51" fillId="11" borderId="10" xfId="0" applyFont="true" applyBorder="true" applyAlignment="true" applyProtection="true">
      <alignment horizontal="general" vertical="center" textRotation="0" wrapText="false" indent="0" shrinkToFit="false"/>
      <protection locked="true" hidden="false"/>
    </xf>
    <xf numFmtId="164" fontId="51" fillId="11" borderId="10" xfId="0" applyFont="true" applyBorder="true" applyAlignment="true" applyProtection="true">
      <alignment horizontal="general" vertical="center" textRotation="0" wrapText="false" indent="0" shrinkToFit="false"/>
      <protection locked="true" hidden="false"/>
    </xf>
    <xf numFmtId="164" fontId="68" fillId="11" borderId="10" xfId="0" applyFont="true" applyBorder="true" applyAlignment="true" applyProtection="true">
      <alignment horizontal="general" vertical="center" textRotation="0" wrapText="false" indent="0" shrinkToFit="false"/>
      <protection locked="true" hidden="false"/>
    </xf>
    <xf numFmtId="164" fontId="68" fillId="11" borderId="19" xfId="0" applyFont="true" applyBorder="true" applyAlignment="true" applyProtection="true">
      <alignment horizontal="general" vertical="center" textRotation="0" wrapText="false" indent="0" shrinkToFit="false"/>
      <protection locked="true" hidden="false"/>
    </xf>
    <xf numFmtId="164" fontId="0" fillId="0" borderId="13" xfId="0" applyFont="true" applyBorder="true" applyAlignment="true" applyProtection="true">
      <alignment horizontal="center" vertical="center" textRotation="0" wrapText="true" indent="0" shrinkToFit="false"/>
      <protection locked="true" hidden="false"/>
    </xf>
    <xf numFmtId="165" fontId="6" fillId="10" borderId="10" xfId="0" applyFont="true" applyBorder="true" applyAlignment="true" applyProtection="true">
      <alignment horizontal="left" vertical="center" textRotation="0" wrapText="true" indent="0" shrinkToFit="false"/>
      <protection locked="true" hidden="false"/>
    </xf>
    <xf numFmtId="165" fontId="42" fillId="9" borderId="12" xfId="0" applyFont="true" applyBorder="true" applyAlignment="true" applyProtection="true">
      <alignment horizontal="center" vertical="center" textRotation="0" wrapText="true" indent="0" shrinkToFit="false"/>
      <protection locked="true" hidden="false"/>
    </xf>
    <xf numFmtId="176" fontId="6" fillId="8" borderId="12" xfId="0" applyFont="true" applyBorder="true" applyAlignment="true" applyProtection="true">
      <alignment horizontal="right" vertical="center" textRotation="0" wrapText="true" indent="0" shrinkToFit="false"/>
      <protection locked="false" hidden="false"/>
    </xf>
    <xf numFmtId="165" fontId="6" fillId="0" borderId="14" xfId="0" applyFont="true" applyBorder="true" applyAlignment="true" applyProtection="true">
      <alignment horizontal="left" vertical="top" textRotation="0" wrapText="true" indent="1" shrinkToFit="false"/>
      <protection locked="true" hidden="false"/>
    </xf>
    <xf numFmtId="165" fontId="27" fillId="9" borderId="0" xfId="0" applyFont="true" applyBorder="true" applyAlignment="true" applyProtection="true">
      <alignment horizontal="right" vertical="center" textRotation="0" wrapText="false" indent="0" shrinkToFit="false"/>
      <protection locked="true" hidden="false"/>
    </xf>
    <xf numFmtId="165" fontId="27" fillId="9" borderId="0" xfId="0" applyFont="true" applyBorder="true" applyAlignment="true" applyProtection="true">
      <alignment horizontal="right" vertical="center" textRotation="0" wrapText="true" indent="0" shrinkToFit="false"/>
      <protection locked="true" hidden="false"/>
    </xf>
    <xf numFmtId="165" fontId="17" fillId="0" borderId="0" xfId="0" applyFont="true" applyBorder="true" applyAlignment="true" applyProtection="true">
      <alignment horizontal="center" vertical="center" textRotation="0" wrapText="true" indent="0" shrinkToFit="false"/>
      <protection locked="true" hidden="false"/>
    </xf>
    <xf numFmtId="174" fontId="27" fillId="0" borderId="0" xfId="0" applyFont="true" applyBorder="true" applyAlignment="true" applyProtection="true">
      <alignment horizontal="right" vertical="center" textRotation="0" wrapText="true" indent="0" shrinkToFit="false"/>
      <protection locked="true" hidden="false"/>
    </xf>
    <xf numFmtId="165" fontId="6" fillId="9" borderId="12" xfId="0" applyFont="true" applyBorder="true" applyAlignment="true" applyProtection="true">
      <alignment horizontal="center" vertical="center" textRotation="0" wrapText="true" indent="0" shrinkToFit="false"/>
      <protection locked="true" hidden="false"/>
    </xf>
    <xf numFmtId="164" fontId="48" fillId="9" borderId="10" xfId="0" applyFont="true" applyBorder="true" applyAlignment="true" applyProtection="true">
      <alignment horizontal="center" vertical="center" textRotation="0" wrapText="true" indent="0" shrinkToFit="false"/>
      <protection locked="true" hidden="false"/>
    </xf>
    <xf numFmtId="164" fontId="6" fillId="0" borderId="12" xfId="0" applyFont="true" applyBorder="true" applyAlignment="true" applyProtection="true">
      <alignment horizontal="left" vertical="center" textRotation="0" wrapText="true" indent="0" shrinkToFit="false"/>
      <protection locked="true" hidden="false"/>
    </xf>
    <xf numFmtId="165" fontId="42" fillId="9" borderId="17" xfId="0" applyFont="true" applyBorder="true" applyAlignment="true" applyProtection="true">
      <alignment horizontal="general" vertical="top" textRotation="0" wrapText="true" indent="0" shrinkToFit="false"/>
      <protection locked="true" hidden="false"/>
    </xf>
    <xf numFmtId="172" fontId="6" fillId="11" borderId="10" xfId="0" applyFont="true" applyBorder="true" applyAlignment="true" applyProtection="true">
      <alignment horizontal="center" vertical="center" textRotation="0" wrapText="true" indent="0" shrinkToFit="false"/>
      <protection locked="true" hidden="false"/>
    </xf>
    <xf numFmtId="172" fontId="61" fillId="11" borderId="10" xfId="0" applyFont="true" applyBorder="true" applyAlignment="true" applyProtection="true">
      <alignment horizontal="center" vertical="center" textRotation="0" wrapText="true" indent="0" shrinkToFit="false"/>
      <protection locked="true" hidden="false"/>
    </xf>
    <xf numFmtId="164" fontId="33" fillId="11" borderId="19" xfId="0" applyFont="true" applyBorder="true" applyAlignment="true" applyProtection="true">
      <alignment horizontal="left" vertical="center" textRotation="0" wrapText="true" indent="0" shrinkToFit="false"/>
      <protection locked="true" hidden="false"/>
    </xf>
    <xf numFmtId="164" fontId="24" fillId="0" borderId="0" xfId="0" applyFont="true" applyBorder="true" applyAlignment="true" applyProtection="true">
      <alignment horizontal="left" vertical="center" textRotation="0" wrapText="true" indent="0" shrinkToFit="false"/>
      <protection locked="true" hidden="false"/>
    </xf>
    <xf numFmtId="165" fontId="42" fillId="9" borderId="0" xfId="0" applyFont="true" applyBorder="true" applyAlignment="true" applyProtection="true">
      <alignment horizontal="general" vertical="top" textRotation="0" wrapText="true" indent="0" shrinkToFit="false"/>
      <protection locked="true" hidden="false"/>
    </xf>
    <xf numFmtId="165" fontId="24" fillId="9" borderId="18" xfId="0" applyFont="true" applyBorder="true" applyAlignment="true" applyProtection="true">
      <alignment horizontal="center" vertical="center" textRotation="0" wrapText="true" indent="0" shrinkToFit="false"/>
      <protection locked="true" hidden="false"/>
    </xf>
    <xf numFmtId="172" fontId="6" fillId="10" borderId="18" xfId="0" applyFont="true" applyBorder="true" applyAlignment="true" applyProtection="true">
      <alignment horizontal="left" vertical="center" textRotation="0" wrapText="true" indent="0" shrinkToFit="false"/>
      <protection locked="true" hidden="false"/>
    </xf>
    <xf numFmtId="172" fontId="6" fillId="10" borderId="12" xfId="0" applyFont="true" applyBorder="true" applyAlignment="true" applyProtection="true">
      <alignment horizontal="center" vertical="center" textRotation="0" wrapText="true" indent="0" shrinkToFit="false"/>
      <protection locked="true" hidden="false"/>
    </xf>
    <xf numFmtId="164" fontId="33" fillId="8" borderId="12" xfId="0" applyFont="true" applyBorder="true" applyAlignment="true" applyProtection="true">
      <alignment horizontal="left" vertical="center" textRotation="0" wrapText="true" indent="0" shrinkToFit="false"/>
      <protection locked="false" hidden="false"/>
    </xf>
    <xf numFmtId="164" fontId="29" fillId="11" borderId="10" xfId="0" applyFont="true" applyBorder="true" applyAlignment="true" applyProtection="true">
      <alignment horizontal="center" vertical="center" textRotation="0" wrapText="false" indent="0" shrinkToFit="false"/>
      <protection locked="true" hidden="false"/>
    </xf>
    <xf numFmtId="164" fontId="68" fillId="11" borderId="10" xfId="0" applyFont="true" applyBorder="true" applyAlignment="true" applyProtection="true">
      <alignment horizontal="left" vertical="center" textRotation="0" wrapText="false" indent="1" shrinkToFit="false"/>
      <protection locked="true" hidden="false"/>
    </xf>
    <xf numFmtId="164" fontId="68" fillId="11" borderId="19" xfId="0" applyFont="true" applyBorder="true" applyAlignment="true" applyProtection="true">
      <alignment horizontal="left" vertical="center" textRotation="0" wrapText="false" indent="1" shrinkToFit="false"/>
      <protection locked="true" hidden="false"/>
    </xf>
    <xf numFmtId="165" fontId="72" fillId="0" borderId="0" xfId="0" applyFont="true" applyBorder="true" applyAlignment="true" applyProtection="true">
      <alignment horizontal="center" vertical="center" textRotation="0" wrapText="true" indent="0" shrinkToFit="false"/>
      <protection locked="true" hidden="false"/>
    </xf>
    <xf numFmtId="165" fontId="52" fillId="0" borderId="0" xfId="0" applyFont="true" applyBorder="true" applyAlignment="true" applyProtection="true">
      <alignment horizontal="general" vertical="top" textRotation="0" wrapText="true" indent="0" shrinkToFit="false"/>
      <protection locked="true" hidden="false"/>
    </xf>
    <xf numFmtId="165" fontId="6" fillId="0" borderId="0" xfId="0" applyFont="true" applyBorder="true" applyAlignment="true" applyProtection="true">
      <alignment horizontal="right" vertical="top" textRotation="0" wrapText="true" indent="0" shrinkToFit="false"/>
      <protection locked="true" hidden="false"/>
    </xf>
    <xf numFmtId="171" fontId="52" fillId="0" borderId="0" xfId="0" applyFont="true" applyBorder="true" applyAlignment="true" applyProtection="true">
      <alignment horizontal="general" vertical="top" textRotation="0" wrapText="false" indent="0" shrinkToFit="false"/>
      <protection locked="true" hidden="false"/>
    </xf>
    <xf numFmtId="165" fontId="74" fillId="0" borderId="0" xfId="0" applyFont="true" applyBorder="true" applyAlignment="true" applyProtection="true">
      <alignment horizontal="general" vertical="center" textRotation="0" wrapText="true" indent="0" shrinkToFit="false"/>
      <protection locked="true" hidden="false"/>
    </xf>
    <xf numFmtId="165" fontId="22" fillId="0" borderId="0" xfId="0" applyFont="true" applyBorder="true" applyAlignment="true" applyProtection="true">
      <alignment horizontal="left" vertical="center" textRotation="0" wrapText="false" indent="1" shrinkToFit="false"/>
      <protection locked="true" hidden="false"/>
    </xf>
    <xf numFmtId="165" fontId="22" fillId="0" borderId="12" xfId="0" applyFont="true" applyBorder="true" applyAlignment="true" applyProtection="true">
      <alignment horizontal="center" vertical="center" textRotation="0" wrapText="false" indent="0" shrinkToFit="false"/>
      <protection locked="true" hidden="false"/>
    </xf>
    <xf numFmtId="165" fontId="22" fillId="0" borderId="0" xfId="0" applyFont="true" applyBorder="true" applyAlignment="true" applyProtection="true">
      <alignment horizontal="center" vertical="center" textRotation="0" wrapText="false" indent="0" shrinkToFit="false"/>
      <protection locked="true" hidden="false"/>
    </xf>
    <xf numFmtId="164" fontId="6" fillId="0" borderId="17" xfId="0" applyFont="true" applyBorder="true" applyAlignment="true" applyProtection="true">
      <alignment horizontal="general" vertical="top" textRotation="0" wrapText="false" indent="0" shrinkToFit="false"/>
      <protection locked="true" hidden="false"/>
    </xf>
    <xf numFmtId="171" fontId="6" fillId="9" borderId="12" xfId="0" applyFont="true" applyBorder="true" applyAlignment="true" applyProtection="true">
      <alignment horizontal="left" vertical="center" textRotation="0" wrapText="true" indent="0" shrinkToFit="false"/>
      <protection locked="true" hidden="false"/>
    </xf>
    <xf numFmtId="165" fontId="6" fillId="0" borderId="12" xfId="0" applyFont="true" applyBorder="true" applyAlignment="true" applyProtection="true">
      <alignment horizontal="general" vertical="center" textRotation="0" wrapText="true" indent="0" shrinkToFit="false"/>
      <protection locked="true" hidden="false"/>
    </xf>
    <xf numFmtId="165" fontId="6" fillId="0" borderId="12" xfId="0" applyFont="true" applyBorder="true" applyAlignment="true" applyProtection="true">
      <alignment horizontal="left" vertical="center" textRotation="0" wrapText="true" indent="6" shrinkToFit="false"/>
      <protection locked="true" hidden="false"/>
    </xf>
    <xf numFmtId="165" fontId="6" fillId="7" borderId="12" xfId="0" applyFont="true" applyBorder="true" applyAlignment="true" applyProtection="true">
      <alignment horizontal="left" vertical="center" textRotation="0" wrapText="true" indent="0" shrinkToFit="false"/>
      <protection locked="true" hidden="false"/>
    </xf>
    <xf numFmtId="171" fontId="6" fillId="7" borderId="12" xfId="0" applyFont="true" applyBorder="true" applyAlignment="true" applyProtection="true">
      <alignment horizontal="left" vertical="center" textRotation="0" wrapText="true" indent="0" shrinkToFit="false"/>
      <protection locked="true" hidden="false"/>
    </xf>
    <xf numFmtId="165" fontId="52" fillId="0" borderId="12" xfId="0" applyFont="true" applyBorder="true" applyAlignment="true" applyProtection="true">
      <alignment horizontal="general" vertical="top" textRotation="0" wrapText="true" indent="0" shrinkToFit="false"/>
      <protection locked="true" hidden="false"/>
    </xf>
    <xf numFmtId="165" fontId="47" fillId="9" borderId="0" xfId="0" applyFont="true" applyBorder="true" applyAlignment="true" applyProtection="true">
      <alignment horizontal="center" vertical="center" textRotation="0" wrapText="true" indent="0" shrinkToFit="false"/>
      <protection locked="true" hidden="false"/>
    </xf>
    <xf numFmtId="165" fontId="6" fillId="0" borderId="17" xfId="0" applyFont="true" applyBorder="true" applyAlignment="true" applyProtection="true">
      <alignment horizontal="general" vertical="center" textRotation="0" wrapText="true" indent="0" shrinkToFit="false"/>
      <protection locked="true" hidden="false"/>
    </xf>
    <xf numFmtId="165" fontId="6" fillId="9" borderId="12" xfId="0" applyFont="true" applyBorder="true" applyAlignment="true" applyProtection="true">
      <alignment horizontal="left" vertical="center" textRotation="0" wrapText="true" indent="1" shrinkToFit="false"/>
      <protection locked="true" hidden="false"/>
    </xf>
    <xf numFmtId="165" fontId="42" fillId="0" borderId="0" xfId="0" applyFont="true" applyBorder="true" applyAlignment="true" applyProtection="true">
      <alignment horizontal="general" vertical="center" textRotation="0" wrapText="true" indent="0" shrinkToFit="false"/>
      <protection locked="true" hidden="false"/>
    </xf>
    <xf numFmtId="165" fontId="6" fillId="9" borderId="12" xfId="0" applyFont="true" applyBorder="true" applyAlignment="true" applyProtection="true">
      <alignment horizontal="left" vertical="center" textRotation="0" wrapText="true" indent="2" shrinkToFit="false"/>
      <protection locked="true" hidden="false"/>
    </xf>
    <xf numFmtId="165" fontId="6" fillId="9" borderId="12" xfId="0" applyFont="true" applyBorder="true" applyAlignment="true" applyProtection="true">
      <alignment horizontal="left" vertical="center" textRotation="0" wrapText="true" indent="3" shrinkToFit="false"/>
      <protection locked="true" hidden="false"/>
    </xf>
    <xf numFmtId="171" fontId="22" fillId="0" borderId="12" xfId="0" applyFont="true" applyBorder="true" applyAlignment="true" applyProtection="true">
      <alignment horizontal="center" vertical="center" textRotation="0" wrapText="true" indent="0" shrinkToFit="false"/>
      <protection locked="true" hidden="false"/>
    </xf>
    <xf numFmtId="165" fontId="24" fillId="0" borderId="17" xfId="0" applyFont="true" applyBorder="true" applyAlignment="true" applyProtection="true">
      <alignment horizontal="center" vertical="center" textRotation="0" wrapText="true" indent="0" shrinkToFit="false"/>
      <protection locked="true" hidden="false"/>
    </xf>
    <xf numFmtId="165" fontId="6" fillId="9" borderId="12" xfId="0" applyFont="true" applyBorder="true" applyAlignment="true" applyProtection="true">
      <alignment horizontal="left" vertical="center" textRotation="0" wrapText="true" indent="4" shrinkToFit="false"/>
      <protection locked="true" hidden="false"/>
    </xf>
    <xf numFmtId="165" fontId="6" fillId="10" borderId="12" xfId="0" applyFont="true" applyBorder="true" applyAlignment="true" applyProtection="true">
      <alignment horizontal="left" vertical="center" textRotation="0" wrapText="true" indent="0" shrinkToFit="false"/>
      <protection locked="true" hidden="false"/>
    </xf>
    <xf numFmtId="165" fontId="24" fillId="0" borderId="17" xfId="0" applyFont="true" applyBorder="true" applyAlignment="true" applyProtection="true">
      <alignment horizontal="general" vertical="center" textRotation="0" wrapText="true" indent="0" shrinkToFit="false"/>
      <protection locked="true" hidden="false"/>
    </xf>
    <xf numFmtId="165" fontId="6" fillId="9" borderId="12" xfId="0" applyFont="true" applyBorder="true" applyAlignment="true" applyProtection="true">
      <alignment horizontal="left" vertical="center" textRotation="0" wrapText="true" indent="5" shrinkToFit="false"/>
      <protection locked="true" hidden="false"/>
    </xf>
    <xf numFmtId="165" fontId="6" fillId="10" borderId="12" xfId="0" applyFont="true" applyBorder="true" applyAlignment="true" applyProtection="true">
      <alignment horizontal="left" vertical="center" textRotation="0" wrapText="true" indent="6" shrinkToFit="false"/>
      <protection locked="true" hidden="false"/>
    </xf>
    <xf numFmtId="174" fontId="6" fillId="5" borderId="12" xfId="0" applyFont="true" applyBorder="true" applyAlignment="true" applyProtection="true">
      <alignment horizontal="right" vertical="center" textRotation="0" wrapText="true" indent="0" shrinkToFit="false"/>
      <protection locked="false" hidden="false"/>
    </xf>
    <xf numFmtId="174" fontId="6" fillId="0" borderId="12" xfId="0" applyFont="true" applyBorder="true" applyAlignment="true" applyProtection="true">
      <alignment horizontal="right" vertical="center" textRotation="0" wrapText="true" indent="0" shrinkToFit="false"/>
      <protection locked="true" hidden="false"/>
    </xf>
    <xf numFmtId="169" fontId="6" fillId="5" borderId="12" xfId="0" applyFont="true" applyBorder="true" applyAlignment="true" applyProtection="true">
      <alignment horizontal="right" vertical="center" textRotation="0" wrapText="true" indent="0" shrinkToFit="false"/>
      <protection locked="false" hidden="false"/>
    </xf>
    <xf numFmtId="173" fontId="0" fillId="8" borderId="12" xfId="0" applyFont="true" applyBorder="true" applyAlignment="true" applyProtection="true">
      <alignment horizontal="center" vertical="center" textRotation="0" wrapText="true" indent="0" shrinkToFit="false"/>
      <protection locked="false" hidden="false"/>
    </xf>
    <xf numFmtId="165" fontId="52" fillId="0" borderId="12" xfId="0" applyFont="true" applyBorder="true" applyAlignment="true" applyProtection="true">
      <alignment horizontal="left" vertical="top" textRotation="0" wrapText="true" indent="0" shrinkToFit="false"/>
      <protection locked="true" hidden="false"/>
    </xf>
    <xf numFmtId="174" fontId="24" fillId="0" borderId="12" xfId="0" applyFont="true" applyBorder="true" applyAlignment="true" applyProtection="true">
      <alignment horizontal="center" vertical="center" textRotation="0" wrapText="true" indent="0" shrinkToFit="false"/>
      <protection locked="true" hidden="false"/>
    </xf>
    <xf numFmtId="164" fontId="68" fillId="11" borderId="13" xfId="0" applyFont="true" applyBorder="true" applyAlignment="true" applyProtection="true">
      <alignment horizontal="left" vertical="center" textRotation="0" wrapText="false" indent="0" shrinkToFit="false"/>
      <protection locked="true" hidden="false"/>
    </xf>
    <xf numFmtId="164" fontId="51" fillId="11" borderId="10" xfId="0" applyFont="true" applyBorder="true" applyAlignment="true" applyProtection="true">
      <alignment horizontal="left" vertical="center" textRotation="0" wrapText="false" indent="6" shrinkToFit="false"/>
      <protection locked="true" hidden="false"/>
    </xf>
    <xf numFmtId="164" fontId="6" fillId="11" borderId="19" xfId="0" applyFont="true" applyBorder="true" applyAlignment="true" applyProtection="true">
      <alignment horizontal="center" vertical="center" textRotation="0" wrapText="true" indent="0" shrinkToFit="false"/>
      <protection locked="true" hidden="false"/>
    </xf>
    <xf numFmtId="164" fontId="51" fillId="11" borderId="10" xfId="0" applyFont="true" applyBorder="true" applyAlignment="true" applyProtection="true">
      <alignment horizontal="left" vertical="center" textRotation="0" wrapText="false" indent="5" shrinkToFit="false"/>
      <protection locked="true" hidden="false"/>
    </xf>
    <xf numFmtId="164" fontId="0" fillId="11" borderId="10" xfId="0" applyFont="true" applyBorder="true" applyAlignment="true" applyProtection="true">
      <alignment horizontal="center" vertical="center" textRotation="0" wrapText="true" indent="0" shrinkToFit="false"/>
      <protection locked="true" hidden="false"/>
    </xf>
    <xf numFmtId="164" fontId="0" fillId="11" borderId="19" xfId="0" applyFont="true" applyBorder="true" applyAlignment="true" applyProtection="true">
      <alignment horizontal="center" vertical="center" textRotation="0" wrapText="true" indent="0" shrinkToFit="false"/>
      <protection locked="true" hidden="false"/>
    </xf>
    <xf numFmtId="164" fontId="74" fillId="0" borderId="0" xfId="0" applyFont="true" applyBorder="true" applyAlignment="true" applyProtection="true">
      <alignment horizontal="general" vertical="top" textRotation="0" wrapText="false" indent="0" shrinkToFit="false"/>
      <protection locked="true" hidden="false"/>
    </xf>
    <xf numFmtId="164" fontId="51" fillId="11" borderId="10" xfId="0" applyFont="true" applyBorder="true" applyAlignment="true" applyProtection="true">
      <alignment horizontal="left" vertical="center" textRotation="0" wrapText="false" indent="4" shrinkToFit="false"/>
      <protection locked="true" hidden="false"/>
    </xf>
    <xf numFmtId="164" fontId="75" fillId="0" borderId="0" xfId="0" applyFont="true" applyBorder="true" applyAlignment="true" applyProtection="true">
      <alignment horizontal="general" vertical="top" textRotation="0" wrapText="false" indent="0" shrinkToFit="false"/>
      <protection locked="true" hidden="false"/>
    </xf>
    <xf numFmtId="164" fontId="76" fillId="0" borderId="14" xfId="0" applyFont="true" applyBorder="true" applyAlignment="true" applyProtection="true">
      <alignment horizontal="left" vertical="center" textRotation="0" wrapText="false" indent="0" shrinkToFit="false"/>
      <protection locked="true" hidden="false"/>
    </xf>
    <xf numFmtId="164" fontId="24" fillId="0" borderId="14" xfId="0" applyFont="true" applyBorder="true" applyAlignment="true" applyProtection="true">
      <alignment horizontal="left" vertical="center" textRotation="0" wrapText="false" indent="3" shrinkToFit="false"/>
      <protection locked="true" hidden="false"/>
    </xf>
    <xf numFmtId="164" fontId="24" fillId="0" borderId="14" xfId="0" applyFont="true" applyBorder="true" applyAlignment="true" applyProtection="true">
      <alignment horizontal="center" vertical="center" textRotation="0" wrapText="true" indent="0" shrinkToFit="false"/>
      <protection locked="true" hidden="false"/>
    </xf>
    <xf numFmtId="164" fontId="24" fillId="0" borderId="0" xfId="0" applyFont="true" applyBorder="true" applyAlignment="true" applyProtection="true">
      <alignment horizontal="left" vertical="center" textRotation="0" wrapText="false" indent="0" shrinkToFit="false"/>
      <protection locked="true" hidden="false"/>
    </xf>
    <xf numFmtId="164" fontId="76" fillId="0" borderId="0" xfId="0" applyFont="true" applyBorder="true" applyAlignment="true" applyProtection="true">
      <alignment horizontal="left" vertical="center" textRotation="0" wrapText="false" indent="0" shrinkToFit="false"/>
      <protection locked="true" hidden="false"/>
    </xf>
    <xf numFmtId="164" fontId="24" fillId="0" borderId="0" xfId="0" applyFont="true" applyBorder="true" applyAlignment="true" applyProtection="true">
      <alignment horizontal="left" vertical="center" textRotation="0" wrapText="false" indent="2" shrinkToFit="false"/>
      <protection locked="true" hidden="false"/>
    </xf>
    <xf numFmtId="164" fontId="24" fillId="0" borderId="0" xfId="0" applyFont="true" applyBorder="true" applyAlignment="true" applyProtection="true">
      <alignment horizontal="center" vertical="center" textRotation="0" wrapText="true" indent="0" shrinkToFit="false"/>
      <protection locked="true" hidden="false"/>
    </xf>
    <xf numFmtId="164" fontId="24" fillId="0" borderId="0" xfId="0" applyFont="true" applyBorder="true" applyAlignment="true" applyProtection="true">
      <alignment horizontal="left" vertical="center" textRotation="0" wrapText="false" indent="1" shrinkToFit="false"/>
      <protection locked="true" hidden="false"/>
    </xf>
    <xf numFmtId="174" fontId="22" fillId="0" borderId="12" xfId="0" applyFont="true" applyBorder="true" applyAlignment="true" applyProtection="true">
      <alignment horizontal="right" vertical="center" textRotation="0" wrapText="true" indent="0" shrinkToFit="false"/>
      <protection locked="true" hidden="false"/>
    </xf>
    <xf numFmtId="169" fontId="22" fillId="0" borderId="12" xfId="0" applyFont="true" applyBorder="true" applyAlignment="true" applyProtection="true">
      <alignment horizontal="right" vertical="center" textRotation="0" wrapText="true" indent="0" shrinkToFit="false"/>
      <protection locked="true" hidden="false"/>
    </xf>
    <xf numFmtId="173" fontId="22" fillId="0" borderId="12" xfId="0" applyFont="true" applyBorder="true" applyAlignment="true" applyProtection="true">
      <alignment horizontal="center" vertical="center" textRotation="0" wrapText="true" indent="0" shrinkToFit="false"/>
      <protection locked="true" hidden="false"/>
    </xf>
    <xf numFmtId="164" fontId="22" fillId="0" borderId="12" xfId="0" applyFont="true" applyBorder="true" applyAlignment="true" applyProtection="true">
      <alignment horizontal="center" vertical="center" textRotation="0" wrapText="true" indent="0" shrinkToFit="false"/>
      <protection locked="true" hidden="false"/>
    </xf>
    <xf numFmtId="164" fontId="22" fillId="0" borderId="12" xfId="0" applyFont="true" applyBorder="true" applyAlignment="true" applyProtection="true">
      <alignment horizontal="general" vertical="center" textRotation="0" wrapText="true" indent="0" shrinkToFit="false"/>
      <protection locked="true" hidden="false"/>
    </xf>
    <xf numFmtId="165" fontId="77" fillId="0" borderId="0" xfId="0" applyFont="true" applyBorder="true" applyAlignment="true" applyProtection="true">
      <alignment horizontal="general" vertical="center" textRotation="0" wrapText="true" indent="0" shrinkToFit="false"/>
      <protection locked="true" hidden="false"/>
    </xf>
    <xf numFmtId="165" fontId="74" fillId="9" borderId="0" xfId="0" applyFont="true" applyBorder="true" applyAlignment="true" applyProtection="true">
      <alignment horizontal="general" vertical="center" textRotation="0" wrapText="true" indent="0" shrinkToFit="false"/>
      <protection locked="true" hidden="false"/>
    </xf>
    <xf numFmtId="165" fontId="6" fillId="9" borderId="0" xfId="0" applyFont="true" applyBorder="true" applyAlignment="true" applyProtection="true">
      <alignment horizontal="left" vertical="center" textRotation="0" wrapText="true" indent="0" shrinkToFit="false"/>
      <protection locked="true" hidden="false"/>
    </xf>
    <xf numFmtId="165" fontId="29" fillId="9" borderId="0" xfId="0" applyFont="true" applyBorder="true" applyAlignment="true" applyProtection="true">
      <alignment horizontal="center" vertical="center" textRotation="0" wrapText="true" indent="0" shrinkToFit="false"/>
      <protection locked="true" hidden="false"/>
    </xf>
    <xf numFmtId="165" fontId="0" fillId="9" borderId="12" xfId="0" applyFont="true" applyBorder="true" applyAlignment="true" applyProtection="true">
      <alignment horizontal="right" vertical="center" textRotation="0" wrapText="true" indent="1" shrinkToFit="false"/>
      <protection locked="true" hidden="false"/>
    </xf>
    <xf numFmtId="165" fontId="0" fillId="0" borderId="10" xfId="0" applyFont="true" applyBorder="true" applyAlignment="true" applyProtection="true">
      <alignment horizontal="general" vertical="center" textRotation="0" wrapText="false" indent="0" shrinkToFit="false"/>
      <protection locked="true" hidden="false"/>
    </xf>
    <xf numFmtId="171" fontId="6" fillId="7" borderId="12" xfId="0" applyFont="true" applyBorder="true" applyAlignment="true" applyProtection="true">
      <alignment horizontal="left" vertical="center" textRotation="0" wrapText="true" indent="1" shrinkToFit="false"/>
      <protection locked="true" hidden="false"/>
    </xf>
    <xf numFmtId="165" fontId="78" fillId="0" borderId="0" xfId="0" applyFont="true" applyBorder="true" applyAlignment="true" applyProtection="true">
      <alignment horizontal="general" vertical="center" textRotation="0" wrapText="false" indent="0" shrinkToFit="false"/>
      <protection locked="true" hidden="false"/>
    </xf>
    <xf numFmtId="173" fontId="6" fillId="7" borderId="12" xfId="0" applyFont="true" applyBorder="true" applyAlignment="true" applyProtection="true">
      <alignment horizontal="left" vertical="center" textRotation="0" wrapText="true" indent="1" shrinkToFit="false"/>
      <protection locked="true" hidden="false"/>
    </xf>
    <xf numFmtId="165" fontId="6" fillId="9" borderId="21" xfId="0" applyFont="true" applyBorder="true" applyAlignment="true" applyProtection="true">
      <alignment horizontal="general" vertical="center" textRotation="0" wrapText="true" indent="0" shrinkToFit="false"/>
      <protection locked="true" hidden="false"/>
    </xf>
    <xf numFmtId="165" fontId="42" fillId="0" borderId="21" xfId="0" applyFont="true" applyBorder="true" applyAlignment="true" applyProtection="true">
      <alignment horizontal="center" vertical="center" textRotation="0" wrapText="true" indent="0" shrinkToFit="false"/>
      <protection locked="true" hidden="false"/>
    </xf>
    <xf numFmtId="165" fontId="6" fillId="9" borderId="12" xfId="0" applyFont="true" applyBorder="true" applyAlignment="true" applyProtection="true">
      <alignment horizontal="left" vertical="center" textRotation="0" wrapText="true" indent="0" shrinkToFit="false"/>
      <protection locked="true" hidden="false"/>
    </xf>
    <xf numFmtId="165" fontId="6" fillId="0" borderId="25" xfId="0" applyFont="true" applyBorder="true" applyAlignment="true" applyProtection="true">
      <alignment horizontal="general" vertical="center" textRotation="0" wrapText="true" indent="0" shrinkToFit="false"/>
      <protection locked="true" hidden="false"/>
    </xf>
    <xf numFmtId="164" fontId="51" fillId="11" borderId="12" xfId="0" applyFont="true" applyBorder="true" applyAlignment="true" applyProtection="true">
      <alignment horizontal="center" vertical="center" textRotation="90" wrapText="true" indent="0" shrinkToFit="false"/>
      <protection locked="true" hidden="false"/>
    </xf>
    <xf numFmtId="165" fontId="6" fillId="0" borderId="30" xfId="0" applyFont="true" applyBorder="true" applyAlignment="true" applyProtection="true">
      <alignment horizontal="general" vertical="center" textRotation="0" wrapText="true" indent="0" shrinkToFit="false"/>
      <protection locked="true" hidden="false"/>
    </xf>
    <xf numFmtId="165" fontId="6" fillId="0" borderId="18" xfId="0" applyFont="true" applyBorder="true" applyAlignment="true" applyProtection="true">
      <alignment horizontal="general" vertical="center" textRotation="0" wrapText="true" indent="0" shrinkToFit="false"/>
      <protection locked="true" hidden="false"/>
    </xf>
    <xf numFmtId="164" fontId="44" fillId="0" borderId="0" xfId="0" applyFont="true" applyBorder="true" applyAlignment="true" applyProtection="true">
      <alignment horizontal="general" vertical="center" textRotation="0" wrapText="true" indent="0" shrinkToFit="false"/>
      <protection locked="true" hidden="false"/>
    </xf>
    <xf numFmtId="165" fontId="79" fillId="9" borderId="0" xfId="0" applyFont="true" applyBorder="true" applyAlignment="true" applyProtection="true">
      <alignment horizontal="general" vertical="center" textRotation="0" wrapText="true" indent="0" shrinkToFit="false"/>
      <protection locked="true" hidden="false"/>
    </xf>
    <xf numFmtId="165" fontId="75" fillId="9" borderId="0" xfId="0" applyFont="true" applyBorder="true" applyAlignment="true" applyProtection="true">
      <alignment horizontal="general" vertical="center" textRotation="0" wrapText="true" indent="0" shrinkToFit="false"/>
      <protection locked="true" hidden="false"/>
    </xf>
    <xf numFmtId="164" fontId="73" fillId="9" borderId="14" xfId="0" applyFont="true" applyBorder="true" applyAlignment="true" applyProtection="true">
      <alignment horizontal="left" vertical="center" textRotation="0" wrapText="true" indent="0" shrinkToFit="false"/>
      <protection locked="true" hidden="false"/>
    </xf>
    <xf numFmtId="164" fontId="73" fillId="9" borderId="14" xfId="0" applyFont="true" applyBorder="true" applyAlignment="true" applyProtection="true">
      <alignment horizontal="center" vertical="center" textRotation="0" wrapText="true" indent="0" shrinkToFit="false"/>
      <protection locked="true" hidden="false"/>
    </xf>
    <xf numFmtId="171" fontId="24" fillId="9" borderId="14" xfId="0" applyFont="true" applyBorder="true" applyAlignment="true" applyProtection="true">
      <alignment horizontal="center" vertical="center" textRotation="0" wrapText="true" indent="0" shrinkToFit="false"/>
      <protection locked="true" hidden="false"/>
    </xf>
    <xf numFmtId="171" fontId="73" fillId="9" borderId="14" xfId="0" applyFont="true" applyBorder="true" applyAlignment="true" applyProtection="true">
      <alignment horizontal="center" vertical="center" textRotation="0" wrapText="true" indent="0" shrinkToFit="false"/>
      <protection locked="true" hidden="false"/>
    </xf>
    <xf numFmtId="174" fontId="6" fillId="0" borderId="25" xfId="0" applyFont="true" applyBorder="true" applyAlignment="true" applyProtection="true">
      <alignment horizontal="right" vertical="center" textRotation="0" wrapText="true" indent="0" shrinkToFit="false"/>
      <protection locked="true" hidden="false"/>
    </xf>
    <xf numFmtId="174" fontId="6" fillId="0" borderId="18" xfId="0" applyFont="true" applyBorder="true" applyAlignment="true" applyProtection="true">
      <alignment horizontal="right" vertical="center" textRotation="0" wrapText="true" indent="0" shrinkToFit="false"/>
      <protection locked="true" hidden="false"/>
    </xf>
    <xf numFmtId="165" fontId="6" fillId="0" borderId="0" xfId="0" applyFont="true" applyBorder="true" applyAlignment="true" applyProtection="true">
      <alignment horizontal="left" vertical="top" textRotation="0" wrapText="true" indent="0" shrinkToFit="false"/>
      <protection locked="true" hidden="false"/>
    </xf>
    <xf numFmtId="165" fontId="6" fillId="0" borderId="12" xfId="0" applyFont="true" applyBorder="true" applyAlignment="true" applyProtection="true">
      <alignment horizontal="center" vertical="center" textRotation="0" wrapText="false" indent="0" shrinkToFit="false"/>
      <protection locked="true" hidden="false"/>
    </xf>
    <xf numFmtId="165" fontId="6" fillId="0" borderId="0" xfId="0" applyFont="true" applyBorder="true" applyAlignment="true" applyProtection="true">
      <alignment horizontal="center" vertical="center" textRotation="0" wrapText="false" indent="0" shrinkToFit="false"/>
      <protection locked="true" hidden="false"/>
    </xf>
    <xf numFmtId="165" fontId="44" fillId="0" borderId="0" xfId="0" applyFont="true" applyBorder="true" applyAlignment="true" applyProtection="true">
      <alignment horizontal="left" vertical="center" textRotation="0" wrapText="false" indent="1" shrinkToFit="false"/>
      <protection locked="true" hidden="false"/>
    </xf>
    <xf numFmtId="165" fontId="44" fillId="0" borderId="0" xfId="0" applyFont="true" applyBorder="true" applyAlignment="true" applyProtection="true">
      <alignment horizontal="center" vertical="center" textRotation="0" wrapText="false" indent="0" shrinkToFit="false"/>
      <protection locked="true" hidden="false"/>
    </xf>
    <xf numFmtId="165" fontId="44" fillId="0" borderId="0" xfId="0" applyFont="true" applyBorder="true" applyAlignment="true" applyProtection="true">
      <alignment horizontal="left" vertical="center" textRotation="0" wrapText="true" indent="0" shrinkToFit="false"/>
      <protection locked="true" hidden="false"/>
    </xf>
    <xf numFmtId="164" fontId="44" fillId="0" borderId="0" xfId="0" applyFont="true" applyBorder="true" applyAlignment="true" applyProtection="true">
      <alignment horizontal="left" vertical="center" textRotation="0" wrapText="false" indent="0" shrinkToFit="false"/>
      <protection locked="true" hidden="false"/>
    </xf>
    <xf numFmtId="164" fontId="6" fillId="0" borderId="12" xfId="0" applyFont="true" applyBorder="true" applyAlignment="true" applyProtection="true">
      <alignment horizontal="general" vertical="center" textRotation="0" wrapText="true" indent="0" shrinkToFit="false"/>
      <protection locked="true" hidden="false"/>
    </xf>
    <xf numFmtId="164" fontId="6" fillId="0" borderId="0" xfId="0" applyFont="true" applyBorder="true" applyAlignment="true" applyProtection="true">
      <alignment horizontal="left" vertical="center" textRotation="0" wrapText="false" indent="0" shrinkToFit="false"/>
      <protection locked="true" hidden="false"/>
    </xf>
    <xf numFmtId="169" fontId="6" fillId="0" borderId="12" xfId="0" applyFont="true" applyBorder="true" applyAlignment="true" applyProtection="true">
      <alignment horizontal="right" vertical="center" textRotation="0" wrapText="true" indent="0" shrinkToFit="false"/>
      <protection locked="true" hidden="false"/>
    </xf>
    <xf numFmtId="165" fontId="24" fillId="0" borderId="12" xfId="0" applyFont="true" applyBorder="true" applyAlignment="true" applyProtection="true">
      <alignment horizontal="left" vertical="center" textRotation="0" wrapText="true" indent="4" shrinkToFit="false"/>
      <protection locked="true" hidden="false"/>
    </xf>
    <xf numFmtId="165" fontId="24" fillId="0" borderId="12" xfId="0" applyFont="true" applyBorder="true" applyAlignment="true" applyProtection="true">
      <alignment horizontal="left" vertical="center" textRotation="0" wrapText="true" indent="6" shrinkToFit="false"/>
      <protection locked="true" hidden="false"/>
    </xf>
    <xf numFmtId="165" fontId="24" fillId="0" borderId="12" xfId="0" applyFont="true" applyBorder="true" applyAlignment="true" applyProtection="true">
      <alignment horizontal="left" vertical="center" textRotation="0" wrapText="true" indent="0" shrinkToFit="false"/>
      <protection locked="true" hidden="false"/>
    </xf>
    <xf numFmtId="165" fontId="24" fillId="0" borderId="12" xfId="0" applyFont="true" applyBorder="true" applyAlignment="true" applyProtection="true">
      <alignment horizontal="general" vertical="top" textRotation="0" wrapText="true" indent="0" shrinkToFit="false"/>
      <protection locked="true" hidden="false"/>
    </xf>
    <xf numFmtId="164" fontId="76" fillId="0" borderId="13" xfId="0" applyFont="true" applyBorder="true" applyAlignment="true" applyProtection="true">
      <alignment horizontal="left" vertical="center" textRotation="0" wrapText="false" indent="0" shrinkToFit="false"/>
      <protection locked="true" hidden="false"/>
    </xf>
    <xf numFmtId="164" fontId="24" fillId="0" borderId="10" xfId="0" applyFont="true" applyBorder="true" applyAlignment="true" applyProtection="true">
      <alignment horizontal="left" vertical="center" textRotation="0" wrapText="false" indent="4" shrinkToFit="false"/>
      <protection locked="true" hidden="false"/>
    </xf>
    <xf numFmtId="164" fontId="24" fillId="0" borderId="10" xfId="0" applyFont="true" applyBorder="true" applyAlignment="true" applyProtection="true">
      <alignment horizontal="center" vertical="center" textRotation="0" wrapText="true" indent="0" shrinkToFit="false"/>
      <protection locked="true" hidden="false"/>
    </xf>
    <xf numFmtId="164" fontId="24" fillId="0" borderId="19" xfId="0" applyFont="true" applyBorder="true" applyAlignment="true" applyProtection="true">
      <alignment horizontal="center" vertical="center" textRotation="0" wrapText="true" indent="0" shrinkToFit="false"/>
      <protection locked="true" hidden="false"/>
    </xf>
    <xf numFmtId="164" fontId="24" fillId="0" borderId="0" xfId="0" applyFont="true" applyBorder="true" applyAlignment="true" applyProtection="true">
      <alignment horizontal="general" vertical="center" textRotation="0" wrapText="true" indent="0" shrinkToFit="false"/>
      <protection locked="true" hidden="false"/>
    </xf>
    <xf numFmtId="165" fontId="22" fillId="0" borderId="0" xfId="0" applyFont="true" applyBorder="true" applyAlignment="true" applyProtection="true">
      <alignment horizontal="general" vertical="top" textRotation="0" wrapText="true" indent="0" shrinkToFit="false"/>
      <protection locked="true" hidden="false"/>
    </xf>
    <xf numFmtId="171" fontId="6" fillId="9" borderId="25" xfId="0" applyFont="true" applyBorder="true" applyAlignment="true" applyProtection="true">
      <alignment horizontal="left" vertical="center" textRotation="0" wrapText="true" indent="0" shrinkToFit="false"/>
      <protection locked="true" hidden="false"/>
    </xf>
    <xf numFmtId="165" fontId="6" fillId="9" borderId="25" xfId="0" applyFont="true" applyBorder="true" applyAlignment="true" applyProtection="true">
      <alignment horizontal="left" vertical="center" textRotation="0" wrapText="true" indent="2" shrinkToFit="false"/>
      <protection locked="true" hidden="false"/>
    </xf>
    <xf numFmtId="165" fontId="6" fillId="0" borderId="25" xfId="0" applyFont="true" applyBorder="true" applyAlignment="true" applyProtection="true">
      <alignment horizontal="left" vertical="center" textRotation="0" wrapText="true" indent="6" shrinkToFit="false"/>
      <protection locked="true" hidden="false"/>
    </xf>
    <xf numFmtId="165" fontId="6" fillId="7" borderId="25" xfId="0" applyFont="true" applyBorder="true" applyAlignment="true" applyProtection="true">
      <alignment horizontal="left" vertical="center" textRotation="0" wrapText="true" indent="0" shrinkToFit="false"/>
      <protection locked="true" hidden="false"/>
    </xf>
    <xf numFmtId="171" fontId="6" fillId="7" borderId="25" xfId="0" applyFont="true" applyBorder="true" applyAlignment="true" applyProtection="true">
      <alignment horizontal="left" vertical="center" textRotation="0" wrapText="true" indent="0" shrinkToFit="false"/>
      <protection locked="true" hidden="false"/>
    </xf>
    <xf numFmtId="165" fontId="52" fillId="0" borderId="19" xfId="0" applyFont="true" applyBorder="true" applyAlignment="true" applyProtection="true">
      <alignment horizontal="general" vertical="top" textRotation="0" wrapText="true" indent="0" shrinkToFit="false"/>
      <protection locked="true" hidden="false"/>
    </xf>
    <xf numFmtId="165" fontId="24" fillId="0" borderId="19" xfId="0" applyFont="true" applyBorder="true" applyAlignment="true" applyProtection="true">
      <alignment horizontal="general" vertical="top" textRotation="0" wrapText="true" indent="0" shrinkToFit="false"/>
      <protection locked="true" hidden="false"/>
    </xf>
    <xf numFmtId="171" fontId="6" fillId="9" borderId="18" xfId="0" applyFont="true" applyBorder="true" applyAlignment="true" applyProtection="true">
      <alignment horizontal="left" vertical="center" textRotation="0" wrapText="true" indent="0" shrinkToFit="false"/>
      <protection locked="true" hidden="false"/>
    </xf>
    <xf numFmtId="165" fontId="6" fillId="10" borderId="18" xfId="0" applyFont="true" applyBorder="true" applyAlignment="true" applyProtection="true">
      <alignment horizontal="left" vertical="center" textRotation="0" wrapText="true" indent="6" shrinkToFit="false"/>
      <protection locked="true" hidden="false"/>
    </xf>
    <xf numFmtId="165" fontId="6" fillId="0" borderId="18" xfId="0" applyFont="true" applyBorder="true" applyAlignment="true" applyProtection="true">
      <alignment horizontal="left" vertical="center" textRotation="0" wrapText="true" indent="6" shrinkToFit="false"/>
      <protection locked="true" hidden="false"/>
    </xf>
    <xf numFmtId="174" fontId="6" fillId="5" borderId="18" xfId="0" applyFont="true" applyBorder="true" applyAlignment="true" applyProtection="true">
      <alignment horizontal="right" vertical="center" textRotation="0" wrapText="true" indent="0" shrinkToFit="false"/>
      <protection locked="false" hidden="false"/>
    </xf>
    <xf numFmtId="169" fontId="6" fillId="5" borderId="18" xfId="0" applyFont="true" applyBorder="true" applyAlignment="true" applyProtection="true">
      <alignment horizontal="right" vertical="center" textRotation="0" wrapText="true" indent="0" shrinkToFit="false"/>
      <protection locked="false" hidden="false"/>
    </xf>
    <xf numFmtId="173" fontId="0" fillId="8" borderId="18" xfId="0" applyFont="true" applyBorder="true" applyAlignment="true" applyProtection="true">
      <alignment horizontal="center" vertical="center" textRotation="0" wrapText="true" indent="0" shrinkToFit="false"/>
      <protection locked="false" hidden="false"/>
    </xf>
    <xf numFmtId="169" fontId="6" fillId="5" borderId="13" xfId="0" applyFont="true" applyBorder="true" applyAlignment="true" applyProtection="true">
      <alignment horizontal="right" vertical="center" textRotation="0" wrapText="true" indent="0" shrinkToFit="false"/>
      <protection locked="false" hidden="false"/>
    </xf>
    <xf numFmtId="174" fontId="6" fillId="5" borderId="19" xfId="0" applyFont="true" applyBorder="true" applyAlignment="true" applyProtection="true">
      <alignment horizontal="right" vertical="center" textRotation="0" wrapText="true" indent="0" shrinkToFit="false"/>
      <protection locked="false" hidden="false"/>
    </xf>
    <xf numFmtId="165" fontId="52" fillId="0" borderId="25" xfId="0" applyFont="true" applyBorder="true" applyAlignment="true" applyProtection="true">
      <alignment horizontal="general" vertical="top" textRotation="0" wrapText="true" indent="0" shrinkToFit="false"/>
      <protection locked="true" hidden="false"/>
    </xf>
    <xf numFmtId="165" fontId="6" fillId="5" borderId="12" xfId="0" applyFont="true" applyBorder="true" applyAlignment="true" applyProtection="true">
      <alignment horizontal="left" vertical="center" textRotation="0" wrapText="true" indent="7" shrinkToFit="false"/>
      <protection locked="false" hidden="false"/>
    </xf>
    <xf numFmtId="174" fontId="24" fillId="0" borderId="13" xfId="0" applyFont="true" applyBorder="true" applyAlignment="true" applyProtection="true">
      <alignment horizontal="center" vertical="center" textRotation="0" wrapText="true" indent="0" shrinkToFit="false"/>
      <protection locked="true" hidden="false"/>
    </xf>
    <xf numFmtId="174" fontId="6" fillId="0" borderId="19" xfId="0" applyFont="true" applyBorder="true" applyAlignment="true" applyProtection="true">
      <alignment horizontal="right" vertical="center" textRotation="0" wrapText="true" indent="0" shrinkToFit="false"/>
      <protection locked="true" hidden="false"/>
    </xf>
    <xf numFmtId="165" fontId="6" fillId="11" borderId="10" xfId="0" applyFont="true" applyBorder="true" applyAlignment="true" applyProtection="true">
      <alignment horizontal="left" vertical="center" textRotation="0" wrapText="true" indent="6" shrinkToFit="false"/>
      <protection locked="true" hidden="false"/>
    </xf>
    <xf numFmtId="174" fontId="6" fillId="11" borderId="10" xfId="0" applyFont="true" applyBorder="true" applyAlignment="true" applyProtection="true">
      <alignment horizontal="right" vertical="center" textRotation="0" wrapText="true" indent="0" shrinkToFit="false"/>
      <protection locked="true" hidden="false"/>
    </xf>
    <xf numFmtId="174" fontId="24" fillId="11" borderId="10" xfId="0" applyFont="true" applyBorder="true" applyAlignment="true" applyProtection="true">
      <alignment horizontal="center" vertical="center" textRotation="0" wrapText="true" indent="0" shrinkToFit="false"/>
      <protection locked="true" hidden="false"/>
    </xf>
    <xf numFmtId="174" fontId="6" fillId="11" borderId="19" xfId="0" applyFont="true" applyBorder="true" applyAlignment="true" applyProtection="true">
      <alignment horizontal="right" vertical="center" textRotation="0" wrapText="true" indent="0" shrinkToFit="false"/>
      <protection locked="true" hidden="false"/>
    </xf>
    <xf numFmtId="164" fontId="6" fillId="11" borderId="21" xfId="0" applyFont="true" applyBorder="true" applyAlignment="true" applyProtection="true">
      <alignment horizontal="center" vertical="center" textRotation="0" wrapText="true" indent="0" shrinkToFit="false"/>
      <protection locked="true" hidden="false"/>
    </xf>
    <xf numFmtId="165" fontId="6" fillId="7" borderId="19" xfId="0" applyFont="true" applyBorder="true" applyAlignment="true" applyProtection="true">
      <alignment horizontal="left" vertical="center" textRotation="0" wrapText="true" indent="0" shrinkToFit="false"/>
      <protection locked="true" hidden="false"/>
    </xf>
    <xf numFmtId="165" fontId="45" fillId="9" borderId="0" xfId="0" applyFont="true" applyBorder="true" applyAlignment="true" applyProtection="true">
      <alignment horizontal="center" vertical="center" textRotation="0" wrapText="true" indent="0" shrinkToFit="false"/>
      <protection locked="true" hidden="false"/>
    </xf>
    <xf numFmtId="165" fontId="24" fillId="0" borderId="19" xfId="0" applyFont="true" applyBorder="true" applyAlignment="true" applyProtection="true">
      <alignment horizontal="left" vertical="center" textRotation="0" wrapText="true" indent="0" shrinkToFit="false"/>
      <protection locked="true" hidden="false"/>
    </xf>
    <xf numFmtId="165" fontId="24" fillId="0" borderId="12" xfId="0" applyFont="true" applyBorder="true" applyAlignment="true" applyProtection="true">
      <alignment horizontal="left" vertical="center" textRotation="0" wrapText="true" indent="5" shrinkToFit="false"/>
      <protection locked="true" hidden="false"/>
    </xf>
    <xf numFmtId="165" fontId="24" fillId="0" borderId="17" xfId="0" applyFont="true" applyBorder="true" applyAlignment="true" applyProtection="true">
      <alignment horizontal="center" vertical="top" textRotation="0" wrapText="true" indent="0" shrinkToFit="false"/>
      <protection locked="true" hidden="false"/>
    </xf>
    <xf numFmtId="164" fontId="6" fillId="8" borderId="12" xfId="0" applyFont="true" applyBorder="true" applyAlignment="true" applyProtection="true">
      <alignment horizontal="left" vertical="center" textRotation="0" wrapText="true" indent="6" shrinkToFit="false"/>
      <protection locked="false" hidden="false"/>
    </xf>
    <xf numFmtId="165" fontId="42" fillId="0" borderId="12" xfId="0" applyFont="true" applyBorder="true" applyAlignment="true" applyProtection="true">
      <alignment horizontal="center" vertical="center" textRotation="0" wrapText="true" indent="0" shrinkToFit="false"/>
      <protection locked="true" hidden="false"/>
    </xf>
    <xf numFmtId="165" fontId="6" fillId="0" borderId="12" xfId="0" applyFont="true" applyBorder="true" applyAlignment="true" applyProtection="true">
      <alignment horizontal="left" vertical="center" textRotation="0" wrapText="true" indent="4" shrinkToFit="false"/>
      <protection locked="true" hidden="false"/>
    </xf>
    <xf numFmtId="169" fontId="6" fillId="11" borderId="19" xfId="0" applyFont="true" applyBorder="true" applyAlignment="true" applyProtection="true">
      <alignment horizontal="right" vertical="center" textRotation="0" wrapText="true" indent="0" shrinkToFit="false"/>
      <protection locked="true" hidden="false"/>
    </xf>
    <xf numFmtId="164" fontId="51" fillId="11" borderId="13" xfId="0" applyFont="true" applyBorder="true" applyAlignment="true" applyProtection="true">
      <alignment horizontal="left" vertical="center" textRotation="0" wrapText="false" indent="0" shrinkToFit="false"/>
      <protection locked="true" hidden="false"/>
    </xf>
    <xf numFmtId="169" fontId="6" fillId="11" borderId="10" xfId="0" applyFont="true" applyBorder="true" applyAlignment="true" applyProtection="true">
      <alignment horizontal="right" vertical="center" textRotation="0" wrapText="true" indent="0" shrinkToFit="false"/>
      <protection locked="true" hidden="false"/>
    </xf>
    <xf numFmtId="174" fontId="6" fillId="0" borderId="30" xfId="0" applyFont="true" applyBorder="true" applyAlignment="true" applyProtection="true">
      <alignment horizontal="right" vertical="center" textRotation="0" wrapText="true" indent="0" shrinkToFit="false"/>
      <protection locked="true" hidden="false"/>
    </xf>
    <xf numFmtId="164" fontId="51" fillId="11" borderId="13" xfId="0" applyFont="true" applyBorder="true" applyAlignment="true" applyProtection="true">
      <alignment horizontal="left" vertical="center" textRotation="0" wrapText="false" indent="1" shrinkToFit="false"/>
      <protection locked="true" hidden="false"/>
    </xf>
    <xf numFmtId="174" fontId="24" fillId="11" borderId="19" xfId="0" applyFont="true" applyBorder="true" applyAlignment="true" applyProtection="true">
      <alignment horizontal="center" vertical="center" textRotation="0" wrapText="true" indent="0" shrinkToFit="false"/>
      <protection locked="true" hidden="false"/>
    </xf>
    <xf numFmtId="164" fontId="51" fillId="11" borderId="13" xfId="0" applyFont="true" applyBorder="true" applyAlignment="true" applyProtection="true">
      <alignment horizontal="general" vertical="center" textRotation="0" wrapText="true" indent="0" shrinkToFit="false"/>
      <protection locked="true" hidden="false"/>
    </xf>
    <xf numFmtId="164" fontId="51" fillId="11" borderId="10" xfId="0" applyFont="true" applyBorder="true" applyAlignment="true" applyProtection="true">
      <alignment horizontal="general" vertical="center" textRotation="0" wrapText="true" indent="0" shrinkToFit="false"/>
      <protection locked="true" hidden="false"/>
    </xf>
    <xf numFmtId="164" fontId="24" fillId="0" borderId="17" xfId="0" applyFont="true" applyBorder="true" applyAlignment="true" applyProtection="true">
      <alignment horizontal="general" vertical="top" textRotation="0" wrapText="false" indent="0" shrinkToFit="false"/>
      <protection locked="true" hidden="false"/>
    </xf>
    <xf numFmtId="165" fontId="80" fillId="0" borderId="0" xfId="0" applyFont="true" applyBorder="true" applyAlignment="true" applyProtection="true">
      <alignment horizontal="center" vertical="center" textRotation="0" wrapText="true" indent="0" shrinkToFit="false"/>
      <protection locked="true" hidden="false"/>
    </xf>
    <xf numFmtId="164" fontId="24" fillId="0" borderId="0" xfId="0" applyFont="true" applyBorder="true" applyAlignment="true" applyProtection="true">
      <alignment horizontal="left" vertical="center" textRotation="0" wrapText="true" indent="1" shrinkToFit="false"/>
      <protection locked="true" hidden="false"/>
    </xf>
    <xf numFmtId="165" fontId="24" fillId="0" borderId="0" xfId="0" applyFont="true" applyBorder="true" applyAlignment="true" applyProtection="true">
      <alignment horizontal="left" vertical="center" textRotation="0" wrapText="true" indent="4" shrinkToFit="false"/>
      <protection locked="true" hidden="false"/>
    </xf>
    <xf numFmtId="165" fontId="24" fillId="0" borderId="17" xfId="0" applyFont="true" applyBorder="true" applyAlignment="true" applyProtection="true">
      <alignment horizontal="left" vertical="center" textRotation="0" wrapText="true" indent="1" shrinkToFit="false"/>
      <protection locked="true" hidden="false"/>
    </xf>
    <xf numFmtId="174" fontId="24" fillId="0" borderId="12" xfId="0" applyFont="true" applyBorder="true" applyAlignment="true" applyProtection="true">
      <alignment horizontal="right" vertical="center" textRotation="0" wrapText="true" indent="0" shrinkToFit="false"/>
      <protection locked="true" hidden="false"/>
    </xf>
    <xf numFmtId="169" fontId="24" fillId="0" borderId="12" xfId="0" applyFont="true" applyBorder="true" applyAlignment="true" applyProtection="true">
      <alignment horizontal="right" vertical="center" textRotation="0" wrapText="true" indent="0" shrinkToFit="false"/>
      <protection locked="true" hidden="false"/>
    </xf>
    <xf numFmtId="173" fontId="24" fillId="0" borderId="12" xfId="0" applyFont="true" applyBorder="true" applyAlignment="true" applyProtection="true">
      <alignment horizontal="center" vertical="center" textRotation="0" wrapText="true" indent="0" shrinkToFit="false"/>
      <protection locked="true" hidden="false"/>
    </xf>
    <xf numFmtId="164" fontId="24" fillId="0" borderId="12" xfId="0" applyFont="true" applyBorder="true" applyAlignment="true" applyProtection="true">
      <alignment horizontal="center" vertical="center" textRotation="0" wrapText="true" indent="0" shrinkToFit="false"/>
      <protection locked="true" hidden="false"/>
    </xf>
    <xf numFmtId="165" fontId="22" fillId="0" borderId="0" xfId="0" applyFont="true" applyBorder="true" applyAlignment="true" applyProtection="true">
      <alignment horizontal="left" vertical="center" textRotation="0" wrapText="false" indent="0" shrinkToFit="false"/>
      <protection locked="true" hidden="false"/>
    </xf>
    <xf numFmtId="164" fontId="22" fillId="0" borderId="0" xfId="0" applyFont="true" applyBorder="true" applyAlignment="true" applyProtection="true">
      <alignment horizontal="left" vertical="center" textRotation="0" wrapText="false" indent="0" shrinkToFit="false"/>
      <protection locked="true" hidden="false"/>
    </xf>
    <xf numFmtId="165" fontId="77" fillId="0" borderId="0" xfId="0" applyFont="true" applyBorder="true" applyAlignment="true" applyProtection="true">
      <alignment horizontal="left" vertical="center" textRotation="0" wrapText="false" indent="0" shrinkToFit="false"/>
      <protection locked="true" hidden="false"/>
    </xf>
    <xf numFmtId="165" fontId="24" fillId="0" borderId="0" xfId="0" applyFont="true" applyBorder="true" applyAlignment="true" applyProtection="true">
      <alignment horizontal="left" vertical="center" textRotation="0" wrapText="false" indent="0" shrinkToFit="false"/>
      <protection locked="true" hidden="false"/>
    </xf>
    <xf numFmtId="165" fontId="77" fillId="9" borderId="0" xfId="0" applyFont="true" applyBorder="true" applyAlignment="true" applyProtection="true">
      <alignment horizontal="general" vertical="center" textRotation="0" wrapText="true" indent="0" shrinkToFit="false"/>
      <protection locked="true" hidden="false"/>
    </xf>
    <xf numFmtId="165" fontId="0" fillId="9" borderId="19" xfId="0" applyFont="true" applyBorder="true" applyAlignment="true" applyProtection="true">
      <alignment horizontal="center" vertical="center" textRotation="0" wrapText="true" indent="0" shrinkToFit="false"/>
      <protection locked="true" hidden="false"/>
    </xf>
    <xf numFmtId="165" fontId="6" fillId="9" borderId="13" xfId="0" applyFont="true" applyBorder="true" applyAlignment="true" applyProtection="true">
      <alignment horizontal="center" vertical="center" textRotation="0" wrapText="true" indent="0" shrinkToFit="false"/>
      <protection locked="true" hidden="false"/>
    </xf>
    <xf numFmtId="165" fontId="0" fillId="9" borderId="25" xfId="0" applyFont="true" applyBorder="true" applyAlignment="true" applyProtection="true">
      <alignment horizontal="center" vertical="center" textRotation="0" wrapText="true" indent="0" shrinkToFit="false"/>
      <protection locked="true" hidden="false"/>
    </xf>
    <xf numFmtId="171" fontId="6" fillId="7" borderId="12" xfId="0" applyFont="true" applyBorder="true" applyAlignment="true" applyProtection="true">
      <alignment horizontal="center" vertical="center" textRotation="0" wrapText="true" indent="0" shrinkToFit="false"/>
      <protection locked="true" hidden="false"/>
    </xf>
    <xf numFmtId="165" fontId="6" fillId="8" borderId="12" xfId="0" applyFont="true" applyBorder="true" applyAlignment="true" applyProtection="true">
      <alignment horizontal="center" vertical="center" textRotation="0" wrapText="true" indent="0" shrinkToFit="false"/>
      <protection locked="false" hidden="false"/>
    </xf>
    <xf numFmtId="165" fontId="6" fillId="9" borderId="18" xfId="0" applyFont="true" applyBorder="true" applyAlignment="true" applyProtection="true">
      <alignment horizontal="center" vertical="center" textRotation="0" wrapText="true" indent="0" shrinkToFit="false"/>
      <protection locked="true" hidden="false"/>
    </xf>
    <xf numFmtId="165" fontId="6" fillId="0" borderId="12" xfId="0" applyFont="true" applyBorder="true" applyAlignment="true" applyProtection="true">
      <alignment horizontal="left" vertical="center" textRotation="0" wrapText="true" indent="1" shrinkToFit="false"/>
      <protection locked="true" hidden="false"/>
    </xf>
    <xf numFmtId="164" fontId="6" fillId="11" borderId="13" xfId="0" applyFont="true" applyBorder="true" applyAlignment="true" applyProtection="true">
      <alignment horizontal="center" vertical="center" textRotation="0" wrapText="true" indent="0" shrinkToFit="false"/>
      <protection locked="true" hidden="false"/>
    </xf>
    <xf numFmtId="164" fontId="44" fillId="0" borderId="17" xfId="0" applyFont="true" applyBorder="true" applyAlignment="true" applyProtection="true">
      <alignment horizontal="general" vertical="top" textRotation="0" wrapText="false" indent="0" shrinkToFit="false"/>
      <protection locked="true" hidden="false"/>
    </xf>
    <xf numFmtId="165" fontId="22" fillId="0" borderId="13" xfId="0" applyFont="true" applyBorder="true" applyAlignment="true" applyProtection="true">
      <alignment horizontal="center" vertical="center" textRotation="0" wrapText="false" indent="0" shrinkToFit="false"/>
      <protection locked="true" hidden="false"/>
    </xf>
    <xf numFmtId="165" fontId="6" fillId="5" borderId="12" xfId="0" applyFont="true" applyBorder="true" applyAlignment="true" applyProtection="true">
      <alignment horizontal="left" vertical="center" textRotation="0" wrapText="true" indent="0" shrinkToFit="false"/>
      <protection locked="false" hidden="false"/>
    </xf>
    <xf numFmtId="164" fontId="6" fillId="5" borderId="12" xfId="0" applyFont="true" applyBorder="true" applyAlignment="true" applyProtection="true">
      <alignment horizontal="left" vertical="center" textRotation="0" wrapText="true" indent="6" shrinkToFit="false"/>
      <protection locked="false" hidden="false"/>
    </xf>
    <xf numFmtId="174" fontId="6" fillId="0" borderId="22" xfId="0" applyFont="true" applyBorder="true" applyAlignment="true" applyProtection="true">
      <alignment horizontal="right" vertical="center" textRotation="0" wrapText="true" indent="0" shrinkToFit="false"/>
      <protection locked="true" hidden="false"/>
    </xf>
    <xf numFmtId="171" fontId="52" fillId="0" borderId="12" xfId="0" applyFont="true" applyBorder="true" applyAlignment="true" applyProtection="true">
      <alignment horizontal="left" vertical="top" textRotation="0" wrapText="true" indent="0" shrinkToFit="false"/>
      <protection locked="true" hidden="false"/>
    </xf>
    <xf numFmtId="174" fontId="6" fillId="0" borderId="28" xfId="0" applyFont="true" applyBorder="true" applyAlignment="true" applyProtection="true">
      <alignment horizontal="right" vertical="center" textRotation="0" wrapText="true" indent="0" shrinkToFit="false"/>
      <protection locked="true" hidden="false"/>
    </xf>
    <xf numFmtId="164" fontId="0" fillId="11" borderId="29" xfId="0" applyFont="true" applyBorder="true" applyAlignment="true" applyProtection="true">
      <alignment horizontal="center" vertical="center" textRotation="0" wrapText="true" indent="0" shrinkToFit="false"/>
      <protection locked="true" hidden="false"/>
    </xf>
    <xf numFmtId="164" fontId="51" fillId="11" borderId="10" xfId="0" applyFont="true" applyBorder="true" applyAlignment="true" applyProtection="true">
      <alignment horizontal="left" vertical="center" textRotation="0" wrapText="false" indent="3" shrinkToFit="false"/>
      <protection locked="true" hidden="false"/>
    </xf>
    <xf numFmtId="165" fontId="81" fillId="0" borderId="0" xfId="0" applyFont="true" applyBorder="true" applyAlignment="true" applyProtection="true">
      <alignment horizontal="general" vertical="center" textRotation="0" wrapText="true" indent="0" shrinkToFit="false"/>
      <protection locked="true" hidden="false"/>
    </xf>
    <xf numFmtId="165" fontId="6" fillId="7" borderId="10" xfId="0" applyFont="true" applyBorder="true" applyAlignment="true" applyProtection="true">
      <alignment horizontal="left" vertical="center" textRotation="0" wrapText="true" indent="0" shrinkToFit="false"/>
      <protection locked="true" hidden="false"/>
    </xf>
    <xf numFmtId="171" fontId="6" fillId="7" borderId="19" xfId="0" applyFont="true" applyBorder="true" applyAlignment="true" applyProtection="true">
      <alignment horizontal="left" vertical="center" textRotation="0" wrapText="true" indent="0" shrinkToFit="false"/>
      <protection locked="true" hidden="false"/>
    </xf>
    <xf numFmtId="165" fontId="24" fillId="0" borderId="10" xfId="0" applyFont="true" applyBorder="true" applyAlignment="true" applyProtection="true">
      <alignment horizontal="left"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6" shrinkToFit="false"/>
      <protection locked="false" hidden="false"/>
    </xf>
    <xf numFmtId="164" fontId="6" fillId="5" borderId="25" xfId="0" applyFont="true" applyBorder="true" applyAlignment="true" applyProtection="true">
      <alignment horizontal="left" vertical="center" textRotation="0" wrapText="true" indent="6" shrinkToFit="false"/>
      <protection locked="false" hidden="false"/>
    </xf>
    <xf numFmtId="174" fontId="6" fillId="8" borderId="12" xfId="0" applyFont="true" applyBorder="true" applyAlignment="true" applyProtection="true">
      <alignment horizontal="left" vertical="center" textRotation="0" wrapText="true" indent="1" shrinkToFit="false"/>
      <protection locked="false" hidden="false"/>
    </xf>
    <xf numFmtId="165" fontId="6" fillId="0" borderId="0" xfId="0" applyFont="true" applyBorder="true" applyAlignment="true" applyProtection="true">
      <alignment horizontal="left" vertical="center" textRotation="0" wrapText="false" indent="0" shrinkToFit="false"/>
      <protection locked="true" hidden="false"/>
    </xf>
    <xf numFmtId="165" fontId="0" fillId="9" borderId="10" xfId="0" applyFont="true" applyBorder="true" applyAlignment="true" applyProtection="true">
      <alignment horizontal="center" vertical="center" textRotation="0" wrapText="true" indent="0" shrinkToFit="false"/>
      <protection locked="true" hidden="false"/>
    </xf>
    <xf numFmtId="165" fontId="0" fillId="9" borderId="15" xfId="0" applyFont="true" applyBorder="true" applyAlignment="true" applyProtection="true">
      <alignment horizontal="center" vertical="center" textRotation="0" wrapText="true" indent="0" shrinkToFit="false"/>
      <protection locked="true" hidden="false"/>
    </xf>
    <xf numFmtId="165" fontId="6" fillId="8" borderId="19" xfId="0" applyFont="true" applyBorder="true" applyAlignment="true" applyProtection="true">
      <alignment horizontal="center" vertical="center" textRotation="0" wrapText="true" indent="0" shrinkToFit="false"/>
      <protection locked="false" hidden="false"/>
    </xf>
    <xf numFmtId="165" fontId="6" fillId="9" borderId="29" xfId="0" applyFont="true" applyBorder="true" applyAlignment="true" applyProtection="true">
      <alignment horizontal="center" vertical="center" textRotation="0" wrapText="true" indent="0" shrinkToFit="false"/>
      <protection locked="true" hidden="false"/>
    </xf>
    <xf numFmtId="165" fontId="80" fillId="0" borderId="0" xfId="0" applyFont="true" applyBorder="true" applyAlignment="true" applyProtection="true">
      <alignment horizontal="general" vertical="center" textRotation="0" wrapText="true" indent="0" shrinkToFit="false"/>
      <protection locked="true" hidden="false"/>
    </xf>
    <xf numFmtId="165" fontId="80" fillId="9" borderId="0" xfId="0" applyFont="true" applyBorder="true" applyAlignment="true" applyProtection="true">
      <alignment horizontal="center" vertical="center" textRotation="0" wrapText="true" indent="0" shrinkToFit="false"/>
      <protection locked="true" hidden="false"/>
    </xf>
    <xf numFmtId="165" fontId="24" fillId="9" borderId="12" xfId="0" applyFont="true" applyBorder="true" applyAlignment="true" applyProtection="true">
      <alignment horizontal="left" vertical="center" textRotation="0" wrapText="true" indent="3" shrinkToFit="false"/>
      <protection locked="true" hidden="false"/>
    </xf>
    <xf numFmtId="174" fontId="6" fillId="8" borderId="12" xfId="0" applyFont="true" applyBorder="true" applyAlignment="true" applyProtection="true">
      <alignment horizontal="center" vertical="center" textRotation="0" wrapText="true" indent="0" shrinkToFit="false"/>
      <protection locked="false" hidden="false"/>
    </xf>
    <xf numFmtId="164" fontId="6" fillId="10" borderId="19" xfId="0" applyFont="true" applyBorder="true" applyAlignment="true" applyProtection="true">
      <alignment horizontal="center" vertical="center" textRotation="0" wrapText="true" indent="0" shrinkToFit="false"/>
      <protection locked="true" hidden="false"/>
    </xf>
    <xf numFmtId="164" fontId="51" fillId="11" borderId="21" xfId="0" applyFont="true" applyBorder="true" applyAlignment="true" applyProtection="true">
      <alignment horizontal="left" vertical="center" textRotation="0" wrapText="false" indent="0" shrinkToFit="false"/>
      <protection locked="true" hidden="false"/>
    </xf>
    <xf numFmtId="164" fontId="6" fillId="9" borderId="12" xfId="44" applyFont="true" applyBorder="true" applyAlignment="true" applyProtection="true">
      <alignment horizontal="center" vertical="center" textRotation="0" wrapText="true" indent="0" shrinkToFit="false"/>
      <protection locked="true" hidden="false"/>
    </xf>
    <xf numFmtId="164" fontId="21" fillId="0" borderId="0" xfId="0" applyFont="true" applyBorder="true" applyAlignment="true" applyProtection="true">
      <alignment horizontal="center" vertical="center" textRotation="0" wrapText="true" indent="0" shrinkToFit="false"/>
      <protection locked="true" hidden="false"/>
    </xf>
    <xf numFmtId="165" fontId="49" fillId="0" borderId="0" xfId="0" applyFont="true" applyBorder="true" applyAlignment="true" applyProtection="true">
      <alignment horizontal="general" vertical="center" textRotation="0" wrapText="true" indent="0" shrinkToFit="false"/>
      <protection locked="true" hidden="false"/>
    </xf>
    <xf numFmtId="171" fontId="6" fillId="0" borderId="31" xfId="0" applyFont="true" applyBorder="true" applyAlignment="true" applyProtection="true">
      <alignment horizontal="center" vertical="center" textRotation="0" wrapText="true" indent="0" shrinkToFit="false"/>
      <protection locked="true" hidden="false"/>
    </xf>
    <xf numFmtId="165" fontId="6" fillId="8" borderId="12" xfId="0" applyFont="true" applyBorder="true" applyAlignment="true" applyProtection="true">
      <alignment horizontal="left" vertical="center" textRotation="0" wrapText="true" indent="2" shrinkToFit="false"/>
      <protection locked="false" hidden="false"/>
    </xf>
    <xf numFmtId="165" fontId="82" fillId="0" borderId="0" xfId="0" applyFont="true" applyBorder="true" applyAlignment="true" applyProtection="true">
      <alignment horizontal="general" vertical="center" textRotation="0" wrapText="true" indent="0" shrinkToFit="false"/>
      <protection locked="true" hidden="false"/>
    </xf>
    <xf numFmtId="165" fontId="24" fillId="0" borderId="31" xfId="0" applyFont="true" applyBorder="true" applyAlignment="true" applyProtection="true">
      <alignment horizontal="center" vertical="center" textRotation="0" wrapText="true" indent="0" shrinkToFit="false"/>
      <protection locked="true" hidden="false"/>
    </xf>
    <xf numFmtId="165" fontId="24" fillId="0" borderId="12" xfId="0" applyFont="true" applyBorder="true" applyAlignment="true" applyProtection="true">
      <alignment horizontal="left" vertical="center" textRotation="0" wrapText="true" indent="2" shrinkToFit="false"/>
      <protection locked="true" hidden="false"/>
    </xf>
    <xf numFmtId="165" fontId="6" fillId="0" borderId="12" xfId="0" applyFont="true" applyBorder="true" applyAlignment="true" applyProtection="true">
      <alignment horizontal="left" vertical="center" textRotation="0" wrapText="true" indent="3" shrinkToFit="false"/>
      <protection locked="true" hidden="false"/>
    </xf>
    <xf numFmtId="164" fontId="6" fillId="8" borderId="12" xfId="0" applyFont="true" applyBorder="true" applyAlignment="true" applyProtection="true">
      <alignment horizontal="center" vertical="center" textRotation="0" wrapText="true" indent="0" shrinkToFit="false"/>
      <protection locked="false" hidden="false"/>
    </xf>
    <xf numFmtId="164" fontId="6" fillId="0" borderId="0" xfId="0" applyFont="true" applyBorder="true" applyAlignment="true" applyProtection="true">
      <alignment horizontal="center" vertical="top" textRotation="0" wrapText="true" indent="0" shrinkToFit="false"/>
      <protection locked="true" hidden="false"/>
    </xf>
    <xf numFmtId="165" fontId="6" fillId="0" borderId="19" xfId="0" applyFont="true" applyBorder="true" applyAlignment="true" applyProtection="true">
      <alignment horizontal="general" vertical="top" textRotation="0" wrapText="true" indent="0" shrinkToFit="false"/>
      <protection locked="true" hidden="false"/>
    </xf>
    <xf numFmtId="170" fontId="6" fillId="5" borderId="12" xfId="0" applyFont="true" applyBorder="true" applyAlignment="true" applyProtection="true">
      <alignment horizontal="right" vertical="center" textRotation="0" wrapText="true" indent="0" shrinkToFit="false"/>
      <protection locked="false" hidden="false"/>
    </xf>
    <xf numFmtId="165" fontId="6" fillId="0" borderId="15" xfId="0" applyFont="true" applyBorder="true" applyAlignment="true" applyProtection="true">
      <alignment horizontal="general" vertical="center" textRotation="0" wrapText="true" indent="0" shrinkToFit="false"/>
      <protection locked="true" hidden="false"/>
    </xf>
    <xf numFmtId="165" fontId="6" fillId="0" borderId="21" xfId="0" applyFont="true" applyBorder="true" applyAlignment="true" applyProtection="true">
      <alignment horizontal="left" vertical="center" textRotation="0" wrapText="true" indent="1" shrinkToFit="false"/>
      <protection locked="true" hidden="false"/>
    </xf>
    <xf numFmtId="165" fontId="6" fillId="0" borderId="0" xfId="0" applyFont="true" applyBorder="true" applyAlignment="true" applyProtection="true">
      <alignment horizontal="left" vertical="center" textRotation="0" wrapText="true" indent="3" shrinkToFit="false"/>
      <protection locked="true" hidden="false"/>
    </xf>
    <xf numFmtId="165" fontId="76" fillId="9" borderId="0" xfId="0" applyFont="true" applyBorder="true" applyAlignment="true" applyProtection="true">
      <alignment horizontal="right" vertical="center" textRotation="0" wrapText="false" indent="0" shrinkToFit="false"/>
      <protection locked="true" hidden="false"/>
    </xf>
    <xf numFmtId="165" fontId="6" fillId="0" borderId="13" xfId="0" applyFont="true" applyBorder="true" applyAlignment="true" applyProtection="true">
      <alignment horizontal="general" vertical="center" textRotation="0" wrapText="true" indent="0" shrinkToFit="false"/>
      <protection locked="true" hidden="false"/>
    </xf>
    <xf numFmtId="165" fontId="6" fillId="0" borderId="19" xfId="0" applyFont="true" applyBorder="true" applyAlignment="true" applyProtection="true">
      <alignment horizontal="right" vertical="center" textRotation="0" wrapText="true" indent="1" shrinkToFit="false"/>
      <protection locked="true" hidden="false"/>
    </xf>
    <xf numFmtId="171" fontId="6" fillId="7" borderId="13" xfId="0" applyFont="true" applyBorder="true" applyAlignment="true" applyProtection="true">
      <alignment horizontal="left" vertical="top" textRotation="0" wrapText="true" indent="0" shrinkToFit="false"/>
      <protection locked="true" hidden="false"/>
    </xf>
    <xf numFmtId="165" fontId="6" fillId="0" borderId="13" xfId="0" applyFont="true" applyBorder="true" applyAlignment="true" applyProtection="true">
      <alignment horizontal="right" vertical="center" textRotation="0" wrapText="true" indent="0" shrinkToFit="false"/>
      <protection locked="true" hidden="false"/>
    </xf>
    <xf numFmtId="165" fontId="6" fillId="0" borderId="10" xfId="0" applyFont="true" applyBorder="true" applyAlignment="true" applyProtection="true">
      <alignment horizontal="right" vertical="center" textRotation="0" wrapText="true" indent="1" shrinkToFit="false"/>
      <protection locked="true" hidden="false"/>
    </xf>
    <xf numFmtId="171" fontId="6" fillId="0" borderId="12" xfId="0" applyFont="true" applyBorder="true" applyAlignment="true" applyProtection="true">
      <alignment horizontal="left" vertical="center" textRotation="0" wrapText="true" indent="0" shrinkToFit="false"/>
      <protection locked="true" hidden="false"/>
    </xf>
    <xf numFmtId="174" fontId="6" fillId="8" borderId="12" xfId="0" applyFont="true" applyBorder="true" applyAlignment="true" applyProtection="true">
      <alignment horizontal="right" vertical="center" textRotation="0" wrapText="true" indent="0" shrinkToFit="false"/>
      <protection locked="false" hidden="false"/>
    </xf>
    <xf numFmtId="174" fontId="6" fillId="7" borderId="12" xfId="0" applyFont="true" applyBorder="true" applyAlignment="true" applyProtection="true">
      <alignment horizontal="right" vertical="center" textRotation="0" wrapText="true" indent="0" shrinkToFit="false"/>
      <protection locked="true" hidden="false"/>
    </xf>
    <xf numFmtId="164" fontId="21" fillId="4" borderId="0" xfId="0" applyFont="true" applyBorder="true" applyAlignment="true" applyProtection="true">
      <alignment horizontal="center" vertical="center" textRotation="90" wrapText="true" indent="0" shrinkToFit="false"/>
      <protection locked="true" hidden="false"/>
    </xf>
    <xf numFmtId="171" fontId="44" fillId="0" borderId="0" xfId="0" applyFont="true" applyBorder="true" applyAlignment="true" applyProtection="true">
      <alignment horizontal="center" vertical="center" textRotation="0" wrapText="true" indent="0" shrinkToFit="false"/>
      <protection locked="true" hidden="false"/>
    </xf>
    <xf numFmtId="164" fontId="44" fillId="0" borderId="0" xfId="0" applyFont="true" applyBorder="true" applyAlignment="true" applyProtection="true">
      <alignment horizontal="center" vertical="center" textRotation="0" wrapText="true" indent="0" shrinkToFit="false"/>
      <protection locked="true" hidden="false"/>
    </xf>
    <xf numFmtId="164" fontId="44" fillId="0" borderId="31" xfId="0" applyFont="true" applyBorder="true" applyAlignment="true" applyProtection="true">
      <alignment horizontal="center" vertical="center" textRotation="0" wrapText="true" indent="0" shrinkToFit="false"/>
      <protection locked="true" hidden="false"/>
    </xf>
    <xf numFmtId="165" fontId="44" fillId="0" borderId="12" xfId="0" applyFont="true" applyBorder="true" applyAlignment="true" applyProtection="true">
      <alignment horizontal="left" vertical="center" textRotation="0" wrapText="true" indent="2" shrinkToFit="false"/>
      <protection locked="true" hidden="false"/>
    </xf>
    <xf numFmtId="165" fontId="44" fillId="0" borderId="12" xfId="0" applyFont="true" applyBorder="true" applyAlignment="true" applyProtection="true">
      <alignment horizontal="center" vertical="center" textRotation="0" wrapText="true" indent="0" shrinkToFit="false"/>
      <protection locked="true" hidden="false"/>
    </xf>
    <xf numFmtId="165" fontId="44" fillId="0" borderId="12" xfId="0" applyFont="true" applyBorder="true" applyAlignment="true" applyProtection="true">
      <alignment horizontal="general" vertical="center" textRotation="0" wrapText="true" indent="0" shrinkToFit="false"/>
      <protection locked="true" hidden="false"/>
    </xf>
    <xf numFmtId="165" fontId="83" fillId="0" borderId="0" xfId="0" applyFont="true" applyBorder="true" applyAlignment="true" applyProtection="true">
      <alignment horizontal="general" vertical="center" textRotation="0" wrapText="true" indent="0" shrinkToFit="false"/>
      <protection locked="true" hidden="false"/>
    </xf>
    <xf numFmtId="165" fontId="44" fillId="0" borderId="31" xfId="0" applyFont="true" applyBorder="true" applyAlignment="true" applyProtection="true">
      <alignment horizontal="center" vertical="center" textRotation="0" wrapText="true" indent="0" shrinkToFit="false"/>
      <protection locked="true" hidden="false"/>
    </xf>
    <xf numFmtId="165" fontId="44" fillId="0" borderId="12" xfId="0" applyFont="true" applyBorder="true" applyAlignment="true" applyProtection="true">
      <alignment horizontal="left" vertical="center" textRotation="0" wrapText="true" indent="3" shrinkToFit="false"/>
      <protection locked="true" hidden="false"/>
    </xf>
    <xf numFmtId="174" fontId="44" fillId="0" borderId="12" xfId="0" applyFont="true" applyBorder="true" applyAlignment="true" applyProtection="true">
      <alignment horizontal="right" vertical="center" textRotation="0" wrapText="true" indent="0" shrinkToFit="false"/>
      <protection locked="true" hidden="false"/>
    </xf>
    <xf numFmtId="164" fontId="6" fillId="11" borderId="13" xfId="0" applyFont="true" applyBorder="true" applyAlignment="true" applyProtection="true">
      <alignment horizontal="general" vertical="center" textRotation="0" wrapText="true" indent="0" shrinkToFit="false"/>
      <protection locked="true" hidden="false"/>
    </xf>
    <xf numFmtId="165" fontId="6" fillId="11" borderId="10" xfId="0" applyFont="true" applyBorder="true" applyAlignment="true" applyProtection="true">
      <alignment horizontal="general" vertical="center" textRotation="0" wrapText="true" indent="0" shrinkToFit="false"/>
      <protection locked="true" hidden="false"/>
    </xf>
    <xf numFmtId="165" fontId="22" fillId="11" borderId="19" xfId="0" applyFont="true" applyBorder="true" applyAlignment="true" applyProtection="true">
      <alignment horizontal="general" vertical="center" textRotation="0" wrapText="true" indent="0" shrinkToFit="false"/>
      <protection locked="true" hidden="false"/>
    </xf>
    <xf numFmtId="171" fontId="6" fillId="0" borderId="12" xfId="0" applyFont="true" applyBorder="true" applyAlignment="true" applyProtection="true">
      <alignment horizontal="left" vertical="center" textRotation="0" wrapText="true" indent="2" shrinkToFit="false"/>
      <protection locked="true" hidden="false"/>
    </xf>
    <xf numFmtId="172" fontId="6" fillId="0" borderId="0" xfId="0" applyFont="true" applyBorder="true" applyAlignment="true" applyProtection="true">
      <alignment horizontal="center" vertical="center" textRotation="0" wrapText="true" indent="0" shrinkToFit="false"/>
      <protection locked="true" hidden="false"/>
    </xf>
    <xf numFmtId="164" fontId="21" fillId="4" borderId="0" xfId="0" applyFont="true" applyBorder="true" applyAlignment="true" applyProtection="true">
      <alignment horizontal="center" vertical="center" textRotation="0" wrapText="true" indent="0" shrinkToFit="false"/>
      <protection locked="true" hidden="false"/>
    </xf>
    <xf numFmtId="164" fontId="29" fillId="0" borderId="0" xfId="0" applyFont="true" applyBorder="true" applyAlignment="true" applyProtection="true">
      <alignment horizontal="center" vertical="center" textRotation="0" wrapText="false" indent="0" shrinkToFit="false"/>
      <protection locked="true" hidden="false"/>
    </xf>
    <xf numFmtId="170" fontId="6" fillId="8" borderId="12" xfId="0" applyFont="true" applyBorder="true" applyAlignment="true" applyProtection="true">
      <alignment horizontal="right" vertical="center" textRotation="0" wrapText="true" indent="0" shrinkToFit="false"/>
      <protection locked="false" hidden="false"/>
    </xf>
    <xf numFmtId="164" fontId="21" fillId="0" borderId="0" xfId="0" applyFont="true" applyBorder="true" applyAlignment="true" applyProtection="true">
      <alignment horizontal="left" vertical="center" textRotation="0" wrapText="true" indent="0" shrinkToFit="false"/>
      <protection locked="true" hidden="false"/>
    </xf>
    <xf numFmtId="165" fontId="49" fillId="0" borderId="0" xfId="0" applyFont="true" applyBorder="true" applyAlignment="true" applyProtection="true">
      <alignment horizontal="left" vertical="center" textRotation="0" wrapText="true" indent="0" shrinkToFit="false"/>
      <protection locked="true" hidden="false"/>
    </xf>
    <xf numFmtId="174" fontId="6" fillId="7" borderId="25" xfId="0" applyFont="true" applyBorder="true" applyAlignment="true" applyProtection="true">
      <alignment horizontal="right" vertical="center" textRotation="0" wrapText="true" indent="0" shrinkToFit="false"/>
      <protection locked="true" hidden="false"/>
    </xf>
    <xf numFmtId="165" fontId="24" fillId="0" borderId="12" xfId="0" applyFont="true" applyBorder="true" applyAlignment="true" applyProtection="true">
      <alignment horizontal="left" vertical="center" textRotation="0" wrapText="true" indent="3" shrinkToFit="false"/>
      <protection locked="true" hidden="false"/>
    </xf>
    <xf numFmtId="164" fontId="24" fillId="0" borderId="12" xfId="0" applyFont="true" applyBorder="true" applyAlignment="true" applyProtection="true">
      <alignment horizontal="general" vertical="center" textRotation="0" wrapText="true" indent="0" shrinkToFit="false"/>
      <protection locked="true" hidden="false"/>
    </xf>
    <xf numFmtId="165" fontId="24" fillId="0" borderId="25" xfId="0" applyFont="true" applyBorder="true" applyAlignment="true" applyProtection="true">
      <alignment horizontal="general" vertical="top" textRotation="0" wrapText="true" indent="0" shrinkToFit="false"/>
      <protection locked="true" hidden="false"/>
    </xf>
    <xf numFmtId="171" fontId="6" fillId="0" borderId="13" xfId="0" applyFont="true" applyBorder="true" applyAlignment="true" applyProtection="true">
      <alignment horizontal="left" vertical="center" textRotation="0" wrapText="true" indent="2" shrinkToFit="false"/>
      <protection locked="true" hidden="false"/>
    </xf>
    <xf numFmtId="174" fontId="6" fillId="8" borderId="19" xfId="0" applyFont="true" applyBorder="true" applyAlignment="true" applyProtection="true">
      <alignment horizontal="right" vertical="center" textRotation="0" wrapText="true" indent="0" shrinkToFit="false"/>
      <protection locked="false" hidden="false"/>
    </xf>
    <xf numFmtId="171" fontId="6" fillId="0" borderId="13" xfId="0" applyFont="true" applyBorder="true" applyAlignment="true" applyProtection="true">
      <alignment horizontal="left" vertical="center" textRotation="0" wrapText="true" indent="1" shrinkToFit="false"/>
      <protection locked="true" hidden="false"/>
    </xf>
    <xf numFmtId="171" fontId="6" fillId="0" borderId="13" xfId="0" applyFont="true" applyBorder="true" applyAlignment="true" applyProtection="true">
      <alignment horizontal="left" vertical="center" textRotation="0" wrapText="true" indent="0" shrinkToFit="false"/>
      <protection locked="true" hidden="false"/>
    </xf>
    <xf numFmtId="164" fontId="33" fillId="8" borderId="19" xfId="0" applyFont="true" applyBorder="true" applyAlignment="true" applyProtection="true">
      <alignment horizontal="left" vertical="center" textRotation="0" wrapText="true" indent="0" shrinkToFit="false"/>
      <protection locked="false" hidden="false"/>
    </xf>
    <xf numFmtId="170" fontId="6" fillId="8" borderId="19" xfId="0" applyFont="true" applyBorder="true" applyAlignment="true" applyProtection="true">
      <alignment horizontal="right" vertical="center" textRotation="0" wrapText="true" indent="0" shrinkToFit="false"/>
      <protection locked="false" hidden="false"/>
    </xf>
    <xf numFmtId="170" fontId="6" fillId="7" borderId="19" xfId="0" applyFont="true" applyBorder="true" applyAlignment="true" applyProtection="true">
      <alignment horizontal="right" vertical="center" textRotation="0" wrapText="true" indent="0" shrinkToFit="false"/>
      <protection locked="true" hidden="false"/>
    </xf>
    <xf numFmtId="170" fontId="6" fillId="7" borderId="12" xfId="0" applyFont="true" applyBorder="true" applyAlignment="true" applyProtection="true">
      <alignment horizontal="right" vertical="center" textRotation="0" wrapText="true" indent="0" shrinkToFit="false"/>
      <protection locked="true" hidden="false"/>
    </xf>
    <xf numFmtId="174" fontId="6" fillId="8" borderId="29" xfId="0" applyFont="true" applyBorder="true" applyAlignment="true" applyProtection="true">
      <alignment horizontal="right" vertical="center" textRotation="0" wrapText="true" indent="0" shrinkToFit="false"/>
      <protection locked="false" hidden="false"/>
    </xf>
    <xf numFmtId="174" fontId="6" fillId="8" borderId="18" xfId="0" applyFont="true" applyBorder="true" applyAlignment="true" applyProtection="true">
      <alignment horizontal="right" vertical="center" textRotation="0" wrapText="true" indent="0" shrinkToFit="false"/>
      <protection locked="false" hidden="false"/>
    </xf>
    <xf numFmtId="165" fontId="24" fillId="0" borderId="30" xfId="0" applyFont="true" applyBorder="true" applyAlignment="true" applyProtection="true">
      <alignment horizontal="left" vertical="center" textRotation="0" wrapText="true" indent="1" shrinkToFit="false"/>
      <protection locked="true" hidden="false"/>
    </xf>
    <xf numFmtId="165" fontId="24" fillId="0" borderId="30" xfId="0" applyFont="true" applyBorder="true" applyAlignment="true" applyProtection="true">
      <alignment horizontal="center" vertical="center" textRotation="0" wrapText="true" indent="0" shrinkToFit="false"/>
      <protection locked="true" hidden="false"/>
    </xf>
    <xf numFmtId="165" fontId="24" fillId="0" borderId="25" xfId="0" applyFont="true" applyBorder="true" applyAlignment="true" applyProtection="true">
      <alignment horizontal="general" vertical="center" textRotation="0" wrapText="true" indent="0" shrinkToFit="false"/>
      <protection locked="true" hidden="false"/>
    </xf>
    <xf numFmtId="164" fontId="6" fillId="11" borderId="22" xfId="0" applyFont="true" applyBorder="true" applyAlignment="true" applyProtection="true">
      <alignment horizontal="general" vertical="center" textRotation="0" wrapText="true" indent="0" shrinkToFit="false"/>
      <protection locked="true" hidden="false"/>
    </xf>
    <xf numFmtId="164" fontId="51" fillId="11" borderId="14" xfId="0" applyFont="true" applyBorder="true" applyAlignment="true" applyProtection="true">
      <alignment horizontal="left" vertical="center" textRotation="0" wrapText="false" indent="1" shrinkToFit="false"/>
      <protection locked="true" hidden="false"/>
    </xf>
    <xf numFmtId="165" fontId="6" fillId="0" borderId="18" xfId="0" applyFont="true" applyBorder="true" applyAlignment="true" applyProtection="true">
      <alignment horizontal="general" vertical="top" textRotation="0" wrapText="true" indent="0" shrinkToFit="false"/>
      <protection locked="true" hidden="false"/>
    </xf>
    <xf numFmtId="165" fontId="6" fillId="0" borderId="15" xfId="0" applyFont="true" applyBorder="true" applyAlignment="true" applyProtection="true">
      <alignment horizontal="center" vertical="center" textRotation="0" wrapText="true" indent="0" shrinkToFit="false"/>
      <protection locked="true" hidden="false"/>
    </xf>
    <xf numFmtId="170" fontId="6" fillId="8" borderId="25" xfId="0" applyFont="true" applyBorder="true" applyAlignment="true" applyProtection="true">
      <alignment horizontal="right" vertical="center" textRotation="0" wrapText="true" indent="0" shrinkToFit="false"/>
      <protection locked="false" hidden="false"/>
    </xf>
    <xf numFmtId="165" fontId="24" fillId="0" borderId="18" xfId="0" applyFont="true" applyBorder="true" applyAlignment="true" applyProtection="true">
      <alignment horizontal="left" vertical="center" textRotation="0" wrapText="true" indent="1" shrinkToFit="false"/>
      <protection locked="true" hidden="false"/>
    </xf>
    <xf numFmtId="165" fontId="24" fillId="0" borderId="25" xfId="0" applyFont="true" applyBorder="true" applyAlignment="true" applyProtection="true">
      <alignment horizontal="center" vertical="center" textRotation="0" wrapText="true" indent="0" shrinkToFit="false"/>
      <protection locked="true" hidden="false"/>
    </xf>
    <xf numFmtId="165" fontId="24" fillId="0" borderId="25" xfId="0" applyFont="true" applyBorder="true" applyAlignment="true" applyProtection="true">
      <alignment horizontal="left" vertical="center" textRotation="0" wrapText="true" indent="1" shrinkToFit="false"/>
      <protection locked="true" hidden="false"/>
    </xf>
    <xf numFmtId="164" fontId="33" fillId="5" borderId="12" xfId="0" applyFont="true" applyBorder="true" applyAlignment="true" applyProtection="true">
      <alignment horizontal="left" vertical="center" textRotation="0" wrapText="true" indent="0" shrinkToFit="false"/>
      <protection locked="false" hidden="false"/>
    </xf>
    <xf numFmtId="165" fontId="21" fillId="0" borderId="0" xfId="0" applyFont="true" applyBorder="true" applyAlignment="true" applyProtection="true">
      <alignment horizontal="general" vertical="center" textRotation="0" wrapText="true" indent="0" shrinkToFit="false"/>
      <protection locked="true" hidden="false"/>
    </xf>
    <xf numFmtId="165" fontId="6" fillId="0" borderId="14" xfId="0" applyFont="true" applyBorder="true" applyAlignment="true" applyProtection="true">
      <alignment horizontal="general" vertical="center" textRotation="0" wrapText="true" indent="0" shrinkToFit="false"/>
      <protection locked="true" hidden="false"/>
    </xf>
    <xf numFmtId="165" fontId="6" fillId="0" borderId="21" xfId="0" applyFont="true" applyBorder="true" applyAlignment="true" applyProtection="true">
      <alignment horizontal="general" vertical="center" textRotation="0" wrapText="true" indent="0" shrinkToFit="false"/>
      <protection locked="true" hidden="false"/>
    </xf>
    <xf numFmtId="165" fontId="29" fillId="0" borderId="0" xfId="0" applyFont="true" applyBorder="true" applyAlignment="true" applyProtection="true">
      <alignment horizontal="center" vertical="center" textRotation="0" wrapText="true" indent="0" shrinkToFit="false"/>
      <protection locked="true" hidden="false"/>
    </xf>
    <xf numFmtId="165" fontId="44" fillId="0" borderId="0" xfId="0" applyFont="true" applyBorder="true" applyAlignment="true" applyProtection="true">
      <alignment horizontal="center" vertical="center" textRotation="0" wrapText="true" indent="0" shrinkToFit="false"/>
      <protection locked="true" hidden="false"/>
    </xf>
    <xf numFmtId="165" fontId="84" fillId="0" borderId="0" xfId="0" applyFont="true" applyBorder="true" applyAlignment="true" applyProtection="true">
      <alignment horizontal="center" vertical="center" textRotation="0" wrapText="true" indent="0" shrinkToFit="false"/>
      <protection locked="true" hidden="false"/>
    </xf>
    <xf numFmtId="165" fontId="85" fillId="9" borderId="0" xfId="0" applyFont="true" applyBorder="true" applyAlignment="true" applyProtection="true">
      <alignment horizontal="right" vertical="center" textRotation="0" wrapText="false" indent="0" shrinkToFit="false"/>
      <protection locked="true" hidden="false"/>
    </xf>
    <xf numFmtId="165" fontId="86" fillId="0" borderId="0" xfId="0" applyFont="true" applyBorder="true" applyAlignment="true" applyProtection="true">
      <alignment horizontal="general" vertical="center" textRotation="0" wrapText="true" indent="0" shrinkToFit="false"/>
      <protection locked="true" hidden="false"/>
    </xf>
    <xf numFmtId="177" fontId="29" fillId="0" borderId="0" xfId="0" applyFont="true" applyBorder="true" applyAlignment="true" applyProtection="true">
      <alignment horizontal="center" vertical="center" textRotation="0" wrapText="true" indent="0" shrinkToFit="false"/>
      <protection locked="true" hidden="false"/>
    </xf>
    <xf numFmtId="165" fontId="0" fillId="0" borderId="0" xfId="0" applyFont="true" applyBorder="true" applyAlignment="true" applyProtection="true">
      <alignment horizontal="general" vertical="top" textRotation="0" wrapText="false" indent="0" shrinkToFit="false"/>
      <protection locked="true" hidden="false"/>
    </xf>
    <xf numFmtId="165" fontId="0" fillId="0" borderId="12" xfId="0" applyFont="true" applyBorder="true" applyAlignment="true" applyProtection="true">
      <alignment horizontal="right" vertical="center" textRotation="0" wrapText="true" indent="1" shrinkToFit="false"/>
      <protection locked="true" hidden="false"/>
    </xf>
    <xf numFmtId="171" fontId="0" fillId="7" borderId="12" xfId="0" applyFont="true" applyBorder="true" applyAlignment="true" applyProtection="true">
      <alignment horizontal="left" vertical="center" textRotation="0" wrapText="true" indent="1" shrinkToFit="false"/>
      <protection locked="true" hidden="false"/>
    </xf>
    <xf numFmtId="165" fontId="6" fillId="0" borderId="19" xfId="0" applyFont="true" applyBorder="true" applyAlignment="true" applyProtection="true">
      <alignment horizontal="left" vertical="center" textRotation="0" wrapText="true" indent="1" shrinkToFit="false"/>
      <protection locked="true" hidden="false"/>
    </xf>
    <xf numFmtId="164" fontId="24" fillId="0" borderId="16" xfId="0" applyFont="true" applyBorder="true" applyAlignment="true" applyProtection="true">
      <alignment horizontal="general" vertical="top" textRotation="0" wrapText="false" indent="0" shrinkToFit="false"/>
      <protection locked="true" hidden="false"/>
    </xf>
    <xf numFmtId="165" fontId="22" fillId="0" borderId="0" xfId="0" applyFont="true" applyBorder="true" applyAlignment="true" applyProtection="true">
      <alignment horizontal="center" vertical="top" textRotation="0" wrapText="false" indent="0" shrinkToFit="false"/>
      <protection locked="true" hidden="false"/>
    </xf>
    <xf numFmtId="165" fontId="22" fillId="0" borderId="0" xfId="0" applyFont="true" applyBorder="true" applyAlignment="true" applyProtection="true">
      <alignment horizontal="general" vertical="top" textRotation="0" wrapText="false" indent="0" shrinkToFit="false"/>
      <protection locked="true" hidden="false"/>
    </xf>
    <xf numFmtId="165" fontId="50" fillId="0" borderId="0" xfId="0" applyFont="true" applyBorder="true" applyAlignment="true" applyProtection="true">
      <alignment horizontal="general" vertical="top" textRotation="0" wrapText="false" indent="0" shrinkToFit="false"/>
      <protection locked="true" hidden="false"/>
    </xf>
    <xf numFmtId="165" fontId="14" fillId="0" borderId="0" xfId="0" applyFont="true" applyBorder="true" applyAlignment="true" applyProtection="true">
      <alignment horizontal="general" vertical="top" textRotation="0" wrapText="false" indent="0" shrinkToFit="false"/>
      <protection locked="true" hidden="false"/>
    </xf>
    <xf numFmtId="165" fontId="6" fillId="0" borderId="18" xfId="0" applyFont="true" applyBorder="true" applyAlignment="true" applyProtection="true">
      <alignment horizontal="left" vertical="center" textRotation="0" wrapText="true" indent="0" shrinkToFit="false"/>
      <protection locked="true" hidden="false"/>
    </xf>
    <xf numFmtId="178" fontId="6" fillId="0" borderId="18" xfId="0" applyFont="true" applyBorder="true" applyAlignment="true" applyProtection="true">
      <alignment horizontal="center" vertical="center" textRotation="0" wrapText="true" indent="0" shrinkToFit="false"/>
      <protection locked="true" hidden="false"/>
    </xf>
    <xf numFmtId="165" fontId="24" fillId="0" borderId="16" xfId="0" applyFont="true" applyBorder="true" applyAlignment="true" applyProtection="true">
      <alignment horizontal="general" vertical="center" textRotation="0" wrapText="true" indent="0" shrinkToFit="false"/>
      <protection locked="true" hidden="false"/>
    </xf>
    <xf numFmtId="165" fontId="51" fillId="0" borderId="12" xfId="0" applyFont="true" applyBorder="true" applyAlignment="true" applyProtection="true">
      <alignment horizontal="left" vertical="center" textRotation="0" wrapText="false" indent="1" shrinkToFit="false"/>
      <protection locked="true" hidden="false"/>
    </xf>
    <xf numFmtId="165" fontId="24" fillId="0" borderId="18" xfId="0" applyFont="true" applyBorder="true" applyAlignment="true" applyProtection="true">
      <alignment horizontal="general" vertical="center" textRotation="0" wrapText="true" indent="0" shrinkToFit="false"/>
      <protection locked="true" hidden="false"/>
    </xf>
    <xf numFmtId="178" fontId="24" fillId="0" borderId="18" xfId="0" applyFont="true" applyBorder="true" applyAlignment="true" applyProtection="true">
      <alignment horizontal="center" vertical="center" textRotation="0" wrapText="true" indent="0" shrinkToFit="false"/>
      <protection locked="true" hidden="false"/>
    </xf>
    <xf numFmtId="165" fontId="24" fillId="0" borderId="0" xfId="0" applyFont="true" applyBorder="true" applyAlignment="true" applyProtection="true">
      <alignment horizontal="center" vertical="top" textRotation="0" wrapText="false" indent="0" shrinkToFit="false"/>
      <protection locked="true" hidden="false"/>
    </xf>
    <xf numFmtId="164" fontId="24" fillId="0" borderId="13" xfId="0" applyFont="true" applyBorder="true" applyAlignment="true" applyProtection="true">
      <alignment horizontal="left" vertical="center" textRotation="0" wrapText="false" indent="0" shrinkToFit="false"/>
      <protection locked="true" hidden="false"/>
    </xf>
    <xf numFmtId="164" fontId="24" fillId="0" borderId="10" xfId="0" applyFont="true" applyBorder="true" applyAlignment="true" applyProtection="true">
      <alignment horizontal="left" vertical="center" textRotation="0" wrapText="false" indent="1" shrinkToFit="false"/>
      <protection locked="true" hidden="false"/>
    </xf>
    <xf numFmtId="164" fontId="24" fillId="0" borderId="10" xfId="0" applyFont="true" applyBorder="true" applyAlignment="true" applyProtection="true">
      <alignment horizontal="left" vertical="center" textRotation="0" wrapText="false" indent="0" shrinkToFit="false"/>
      <protection locked="true" hidden="false"/>
    </xf>
    <xf numFmtId="164" fontId="24" fillId="0" borderId="19" xfId="0" applyFont="true" applyBorder="true" applyAlignment="true" applyProtection="true">
      <alignment horizontal="left" vertical="center" textRotation="0" wrapText="false" indent="1" shrinkToFit="false"/>
      <protection locked="true" hidden="false"/>
    </xf>
    <xf numFmtId="165" fontId="24" fillId="0" borderId="12" xfId="0" applyFont="true" applyBorder="true" applyAlignment="true" applyProtection="true">
      <alignment horizontal="left" vertical="center" textRotation="0" wrapText="false" indent="1" shrinkToFit="false"/>
      <protection locked="true" hidden="false"/>
    </xf>
    <xf numFmtId="164" fontId="51" fillId="0" borderId="14" xfId="0" applyFont="true" applyBorder="true" applyAlignment="true" applyProtection="true">
      <alignment horizontal="right" vertical="center" textRotation="0" wrapText="false" indent="0" shrinkToFit="false"/>
      <protection locked="true" hidden="false"/>
    </xf>
    <xf numFmtId="165" fontId="52" fillId="0" borderId="0" xfId="0" applyFont="true" applyBorder="true" applyAlignment="true" applyProtection="true">
      <alignment horizontal="left" vertical="top" textRotation="0" wrapText="true" indent="0" shrinkToFit="false"/>
      <protection locked="true" hidden="false"/>
    </xf>
    <xf numFmtId="165" fontId="22" fillId="12" borderId="12" xfId="0" applyFont="true" applyBorder="true" applyAlignment="true" applyProtection="true">
      <alignment horizontal="left" vertical="center" textRotation="0" wrapText="true" indent="0" shrinkToFit="false"/>
      <protection locked="true" hidden="false"/>
    </xf>
    <xf numFmtId="165" fontId="6" fillId="13" borderId="12" xfId="45" applyFont="true" applyBorder="true" applyAlignment="true" applyProtection="true">
      <alignment horizontal="general" vertical="center" textRotation="0" wrapText="false" indent="0" shrinkToFit="false"/>
      <protection locked="true" hidden="false"/>
    </xf>
    <xf numFmtId="164" fontId="0" fillId="14" borderId="12" xfId="0" applyFont="true" applyBorder="true" applyAlignment="true" applyProtection="true">
      <alignment horizontal="center" vertical="center" textRotation="0" wrapText="true" indent="0" shrinkToFit="false"/>
      <protection locked="true" hidden="false"/>
    </xf>
    <xf numFmtId="164" fontId="87" fillId="0" borderId="25" xfId="0" applyFont="true" applyBorder="true" applyAlignment="true" applyProtection="true">
      <alignment horizontal="center" vertical="center" textRotation="0" wrapText="true" indent="0" shrinkToFit="false"/>
      <protection locked="true" hidden="false"/>
    </xf>
    <xf numFmtId="164" fontId="87" fillId="0" borderId="12" xfId="0" applyFont="true" applyBorder="true" applyAlignment="true" applyProtection="true">
      <alignment horizontal="center" vertical="center" textRotation="0" wrapText="true" indent="0" shrinkToFit="false"/>
      <protection locked="true" hidden="false"/>
    </xf>
    <xf numFmtId="165" fontId="24" fillId="0" borderId="13" xfId="0" applyFont="true" applyBorder="true" applyAlignment="true" applyProtection="true">
      <alignment horizontal="general" vertical="center" textRotation="0" wrapText="true" indent="0" shrinkToFit="false"/>
      <protection locked="true" hidden="false"/>
    </xf>
    <xf numFmtId="165" fontId="6" fillId="0" borderId="14" xfId="0" applyFont="true" applyBorder="true" applyAlignment="true" applyProtection="true">
      <alignment horizontal="right" vertical="center" textRotation="0" wrapText="true" indent="1" shrinkToFit="false"/>
      <protection locked="true" hidden="false"/>
    </xf>
    <xf numFmtId="165" fontId="21" fillId="0" borderId="0" xfId="0" applyFont="true" applyBorder="true" applyAlignment="true" applyProtection="true">
      <alignment horizontal="center" vertical="center" textRotation="0" wrapText="true" indent="0" shrinkToFit="false"/>
      <protection locked="true" hidden="false"/>
    </xf>
    <xf numFmtId="164" fontId="6" fillId="0" borderId="31" xfId="0" applyFont="true" applyBorder="true" applyAlignment="true" applyProtection="true">
      <alignment horizontal="center" vertical="center" textRotation="0" wrapText="true" indent="0" shrinkToFit="false"/>
      <protection locked="true" hidden="false"/>
    </xf>
    <xf numFmtId="164" fontId="33" fillId="8" borderId="13" xfId="0" applyFont="true" applyBorder="true" applyAlignment="true" applyProtection="true">
      <alignment horizontal="left" vertical="center" textRotation="0" wrapText="true" indent="0" shrinkToFit="false"/>
      <protection locked="false" hidden="false"/>
    </xf>
    <xf numFmtId="164" fontId="6" fillId="0" borderId="32" xfId="0" applyFont="true" applyBorder="true" applyAlignment="true" applyProtection="true">
      <alignment horizontal="center" vertical="center" textRotation="0" wrapText="true" indent="0" shrinkToFit="false"/>
      <protection locked="true" hidden="false"/>
    </xf>
    <xf numFmtId="174" fontId="6" fillId="8" borderId="22" xfId="0" applyFont="true" applyBorder="true" applyAlignment="true" applyProtection="true">
      <alignment horizontal="right" vertical="center" textRotation="0" wrapText="true" indent="0" shrinkToFit="false"/>
      <protection locked="false" hidden="false"/>
    </xf>
    <xf numFmtId="174" fontId="6" fillId="8" borderId="25" xfId="0" applyFont="true" applyBorder="true" applyAlignment="true" applyProtection="true">
      <alignment horizontal="right" vertical="center" textRotation="0" wrapText="true" indent="0" shrinkToFit="false"/>
      <protection locked="false" hidden="false"/>
    </xf>
    <xf numFmtId="165" fontId="22" fillId="11" borderId="10" xfId="0" applyFont="true" applyBorder="true" applyAlignment="true" applyProtection="true">
      <alignment horizontal="general" vertical="center" textRotation="0" wrapText="true" indent="0" shrinkToFit="false"/>
      <protection locked="true" hidden="false"/>
    </xf>
    <xf numFmtId="164" fontId="6" fillId="0" borderId="33" xfId="0" applyFont="true" applyBorder="true" applyAlignment="true" applyProtection="true">
      <alignment horizontal="center" vertical="center" textRotation="0" wrapText="true" indent="0" shrinkToFit="false"/>
      <protection locked="true" hidden="false"/>
    </xf>
    <xf numFmtId="165" fontId="6" fillId="0" borderId="10" xfId="0" applyFont="true" applyBorder="true" applyAlignment="true" applyProtection="true">
      <alignment horizontal="center" vertical="center" textRotation="0" wrapText="true" indent="0" shrinkToFit="false"/>
      <protection locked="true" hidden="false"/>
    </xf>
    <xf numFmtId="174" fontId="6" fillId="8" borderId="13" xfId="0" applyFont="true" applyBorder="true" applyAlignment="true" applyProtection="true">
      <alignment horizontal="right" vertical="center" textRotation="0" wrapText="true" indent="0" shrinkToFit="false"/>
      <protection locked="false" hidden="false"/>
    </xf>
    <xf numFmtId="164" fontId="6" fillId="0" borderId="34" xfId="0" applyFont="true" applyBorder="true" applyAlignment="true" applyProtection="true">
      <alignment horizontal="center" vertical="center" textRotation="0" wrapText="true" indent="0" shrinkToFit="false"/>
      <protection locked="true" hidden="false"/>
    </xf>
    <xf numFmtId="176" fontId="6" fillId="8" borderId="13" xfId="0" applyFont="true" applyBorder="true" applyAlignment="true" applyProtection="true">
      <alignment horizontal="right" vertical="center" textRotation="0" wrapText="true" indent="0" shrinkToFit="false"/>
      <protection locked="false" hidden="false"/>
    </xf>
    <xf numFmtId="165" fontId="6" fillId="0" borderId="0" xfId="0" applyFont="true" applyBorder="true" applyAlignment="true" applyProtection="true">
      <alignment horizontal="left" vertical="center" textRotation="0" wrapText="true" indent="2" shrinkToFit="false"/>
      <protection locked="true" hidden="false"/>
    </xf>
    <xf numFmtId="164" fontId="88" fillId="0" borderId="0" xfId="0" applyFont="true" applyBorder="true" applyAlignment="true" applyProtection="true">
      <alignment horizontal="center" vertical="center" textRotation="0" wrapText="true" indent="0" shrinkToFit="false"/>
      <protection locked="true" hidden="false"/>
    </xf>
    <xf numFmtId="165" fontId="6" fillId="0" borderId="12" xfId="0" applyFont="true" applyBorder="true" applyAlignment="true" applyProtection="true">
      <alignment horizontal="general" vertical="top" textRotation="0" wrapText="true" indent="0" shrinkToFit="false"/>
      <protection locked="true" hidden="false"/>
    </xf>
    <xf numFmtId="165" fontId="6" fillId="9" borderId="0" xfId="0" applyFont="true" applyBorder="true" applyAlignment="true" applyProtection="true">
      <alignment horizontal="right" vertical="center" textRotation="0" wrapText="true" indent="0" shrinkToFit="false"/>
      <protection locked="true" hidden="false"/>
    </xf>
    <xf numFmtId="165" fontId="6" fillId="9" borderId="0" xfId="0" applyFont="true" applyBorder="true" applyAlignment="true" applyProtection="true">
      <alignment horizontal="right" vertical="center" textRotation="0" wrapText="false" indent="0" shrinkToFit="false"/>
      <protection locked="true" hidden="false"/>
    </xf>
    <xf numFmtId="165" fontId="6" fillId="9" borderId="12" xfId="0" applyFont="true" applyBorder="true" applyAlignment="true" applyProtection="true">
      <alignment horizontal="center" vertical="center" textRotation="0" wrapText="false" indent="0" shrinkToFit="false"/>
      <protection locked="true" hidden="false"/>
    </xf>
    <xf numFmtId="165" fontId="0" fillId="0" borderId="12" xfId="0" applyFont="true" applyBorder="true" applyAlignment="true" applyProtection="true">
      <alignment horizontal="left" vertical="center" textRotation="0" wrapText="true" indent="0" shrinkToFit="false"/>
      <protection locked="true" hidden="false"/>
    </xf>
    <xf numFmtId="165" fontId="6" fillId="11" borderId="13" xfId="0" applyFont="true" applyBorder="true" applyAlignment="true" applyProtection="true">
      <alignment horizontal="general" vertical="center" textRotation="0" wrapText="true" indent="0" shrinkToFit="false"/>
      <protection locked="true" hidden="false"/>
    </xf>
    <xf numFmtId="164" fontId="89" fillId="11" borderId="19" xfId="0" applyFont="true" applyBorder="true" applyAlignment="true" applyProtection="true">
      <alignment horizontal="center" vertical="top" textRotation="0" wrapText="false" indent="0" shrinkToFit="false"/>
      <protection locked="true" hidden="false"/>
    </xf>
    <xf numFmtId="164" fontId="51" fillId="0" borderId="14" xfId="0" applyFont="true" applyBorder="true" applyAlignment="true" applyProtection="true">
      <alignment horizontal="left" vertical="center" textRotation="0" wrapText="false" indent="0" shrinkToFit="false"/>
      <protection locked="true" hidden="false"/>
    </xf>
    <xf numFmtId="164" fontId="51" fillId="0" borderId="14" xfId="0" applyFont="true" applyBorder="true" applyAlignment="true" applyProtection="true">
      <alignment horizontal="left" vertical="center" textRotation="0" wrapText="false" indent="2" shrinkToFit="false"/>
      <protection locked="true" hidden="false"/>
    </xf>
    <xf numFmtId="164" fontId="89" fillId="0" borderId="14" xfId="0" applyFont="true" applyBorder="true" applyAlignment="true" applyProtection="true">
      <alignment horizontal="center" vertical="top" textRotation="0" wrapText="false" indent="0" shrinkToFit="false"/>
      <protection locked="true" hidden="false"/>
    </xf>
    <xf numFmtId="165" fontId="24" fillId="0" borderId="19" xfId="0" applyFont="true" applyBorder="true" applyAlignment="true" applyProtection="true">
      <alignment horizontal="right" vertical="center" textRotation="0" wrapText="true" indent="1" shrinkToFit="false"/>
      <protection locked="true" hidden="false"/>
    </xf>
    <xf numFmtId="171" fontId="24" fillId="0" borderId="13" xfId="0" applyFont="true" applyBorder="true" applyAlignment="true" applyProtection="true">
      <alignment horizontal="left" vertical="top" textRotation="0" wrapText="true" indent="0" shrinkToFit="false"/>
      <protection locked="true" hidden="false"/>
    </xf>
    <xf numFmtId="164" fontId="51" fillId="11" borderId="14" xfId="0" applyFont="true" applyBorder="true" applyAlignment="true" applyProtection="true">
      <alignment horizontal="left" vertical="center" textRotation="0" wrapText="false" indent="2" shrinkToFit="false"/>
      <protection locked="true" hidden="false"/>
    </xf>
    <xf numFmtId="164" fontId="0" fillId="0" borderId="12" xfId="0" applyFont="true" applyBorder="true" applyAlignment="true" applyProtection="true">
      <alignment horizontal="left" vertical="center" textRotation="0" wrapText="true" indent="2" shrinkToFit="false"/>
      <protection locked="true" hidden="false"/>
    </xf>
    <xf numFmtId="165" fontId="6" fillId="0" borderId="25" xfId="0" applyFont="true" applyBorder="true" applyAlignment="true" applyProtection="true">
      <alignment horizontal="left" vertical="center" textRotation="0" wrapText="true" indent="1" shrinkToFit="false"/>
      <protection locked="true" hidden="false"/>
    </xf>
    <xf numFmtId="164" fontId="0" fillId="0" borderId="12" xfId="0" applyFont="true" applyBorder="true" applyAlignment="true" applyProtection="true">
      <alignment horizontal="general" vertical="center" textRotation="0" wrapText="true" indent="0" shrinkToFit="false"/>
      <protection locked="true" hidden="false"/>
    </xf>
    <xf numFmtId="165" fontId="24" fillId="0" borderId="21" xfId="0" applyFont="true" applyBorder="true" applyAlignment="true" applyProtection="true">
      <alignment horizontal="general" vertical="center" textRotation="0" wrapText="true" indent="0" shrinkToFit="false"/>
      <protection locked="true" hidden="false"/>
    </xf>
    <xf numFmtId="171" fontId="6" fillId="7" borderId="12" xfId="0" applyFont="true" applyBorder="true" applyAlignment="true" applyProtection="true">
      <alignment horizontal="left" vertical="top" textRotation="0" wrapText="true" indent="0" shrinkToFit="false"/>
      <protection locked="true" hidden="false"/>
    </xf>
    <xf numFmtId="164" fontId="6" fillId="15" borderId="0" xfId="0" applyFont="true" applyBorder="true" applyAlignment="true" applyProtection="true">
      <alignment horizontal="center" vertical="center" textRotation="90" wrapText="true" indent="0" shrinkToFit="false"/>
      <protection locked="true" hidden="false"/>
    </xf>
    <xf numFmtId="164" fontId="33" fillId="5" borderId="13" xfId="0" applyFont="true" applyBorder="true" applyAlignment="true" applyProtection="true">
      <alignment horizontal="left" vertical="center" textRotation="0" wrapText="true" indent="0" shrinkToFit="false"/>
      <protection locked="false" hidden="false"/>
    </xf>
    <xf numFmtId="165" fontId="86" fillId="0" borderId="16" xfId="0" applyFont="true" applyBorder="true" applyAlignment="true" applyProtection="true">
      <alignment horizontal="general" vertical="center" textRotation="0" wrapText="true" indent="0" shrinkToFit="false"/>
      <protection locked="true" hidden="false"/>
    </xf>
    <xf numFmtId="176" fontId="6" fillId="5" borderId="13" xfId="0" applyFont="true" applyBorder="true" applyAlignment="true" applyProtection="true">
      <alignment horizontal="right" vertical="center" textRotation="0" wrapText="true" indent="0" shrinkToFit="false"/>
      <protection locked="false" hidden="false"/>
    </xf>
    <xf numFmtId="174" fontId="6" fillId="5" borderId="13" xfId="0" applyFont="true" applyBorder="true" applyAlignment="true" applyProtection="true">
      <alignment horizontal="right" vertical="center" textRotation="0" wrapText="true" indent="0" shrinkToFit="false"/>
      <protection locked="false" hidden="false"/>
    </xf>
    <xf numFmtId="174" fontId="6" fillId="5" borderId="12" xfId="0" applyFont="true" applyBorder="true" applyAlignment="true" applyProtection="true">
      <alignment horizontal="left" vertical="center" textRotation="0" wrapText="true" indent="0" shrinkToFit="false"/>
      <protection locked="false" hidden="false"/>
    </xf>
    <xf numFmtId="174" fontId="6" fillId="5" borderId="13" xfId="0" applyFont="true" applyBorder="true" applyAlignment="true" applyProtection="true">
      <alignment horizontal="left" vertical="center" textRotation="0" wrapText="true" indent="0" shrinkToFit="false"/>
      <protection locked="false" hidden="false"/>
    </xf>
    <xf numFmtId="164" fontId="6" fillId="5" borderId="13" xfId="0" applyFont="true" applyBorder="true" applyAlignment="true" applyProtection="true">
      <alignment horizontal="left" vertical="center" textRotation="0" wrapText="true" indent="0" shrinkToFit="false"/>
      <protection locked="false" hidden="false"/>
    </xf>
    <xf numFmtId="165" fontId="6" fillId="0" borderId="0" xfId="0" applyFont="true" applyBorder="true" applyAlignment="true" applyProtection="true">
      <alignment horizontal="general" vertical="top" textRotation="0" wrapText="false" indent="0" shrinkToFit="false"/>
      <protection locked="true" hidden="false"/>
    </xf>
    <xf numFmtId="164" fontId="33" fillId="0" borderId="12" xfId="0" applyFont="true" applyBorder="true" applyAlignment="true" applyProtection="true">
      <alignment horizontal="left" vertical="center" textRotation="0" wrapText="true" indent="0" shrinkToFit="false"/>
      <protection locked="true" hidden="false"/>
    </xf>
    <xf numFmtId="164" fontId="6" fillId="0" borderId="35" xfId="0" applyFont="true" applyBorder="true" applyAlignment="true" applyProtection="true">
      <alignment horizontal="center" vertical="center" textRotation="0" wrapText="true" indent="0" shrinkToFit="false"/>
      <protection locked="true" hidden="false"/>
    </xf>
    <xf numFmtId="165" fontId="6" fillId="0" borderId="35" xfId="0" applyFont="true" applyBorder="true" applyAlignment="true" applyProtection="true">
      <alignment horizontal="left" vertical="center" textRotation="0" wrapText="true" indent="0" shrinkToFit="false"/>
      <protection locked="true" hidden="false"/>
    </xf>
    <xf numFmtId="174" fontId="6" fillId="0" borderId="36" xfId="0" applyFont="true" applyBorder="true" applyAlignment="true" applyProtection="true">
      <alignment horizontal="center" vertical="center" textRotation="0" wrapText="true" indent="0" shrinkToFit="false"/>
      <protection locked="true" hidden="false"/>
    </xf>
    <xf numFmtId="164" fontId="33" fillId="0" borderId="28" xfId="0" applyFont="true" applyBorder="true" applyAlignment="true" applyProtection="true">
      <alignment horizontal="left" vertical="center" textRotation="0" wrapText="true" indent="0" shrinkToFit="false"/>
      <protection locked="true" hidden="false"/>
    </xf>
    <xf numFmtId="164" fontId="6" fillId="0" borderId="37" xfId="0" applyFont="true" applyBorder="true" applyAlignment="true" applyProtection="true">
      <alignment horizontal="center" vertical="center" textRotation="0" wrapText="true" indent="0" shrinkToFit="false"/>
      <protection locked="true" hidden="false"/>
    </xf>
    <xf numFmtId="165" fontId="6" fillId="0" borderId="38" xfId="0" applyFont="true" applyBorder="true" applyAlignment="true" applyProtection="true">
      <alignment horizontal="left" vertical="center" textRotation="0" wrapText="true" indent="1" shrinkToFit="false"/>
      <protection locked="true" hidden="false"/>
    </xf>
    <xf numFmtId="174" fontId="6" fillId="8" borderId="37" xfId="0" applyFont="true" applyBorder="true" applyAlignment="true" applyProtection="true">
      <alignment horizontal="right" vertical="center" textRotation="0" wrapText="true" indent="0" shrinkToFit="false"/>
      <protection locked="false" hidden="false"/>
    </xf>
    <xf numFmtId="164" fontId="33" fillId="0" borderId="13" xfId="0" applyFont="true" applyBorder="true" applyAlignment="true" applyProtection="true">
      <alignment horizontal="left" vertical="center" textRotation="0" wrapText="true" indent="0" shrinkToFit="false"/>
      <protection locked="true" hidden="false"/>
    </xf>
    <xf numFmtId="174" fontId="6" fillId="0" borderId="25" xfId="0" applyFont="true" applyBorder="true" applyAlignment="true" applyProtection="true">
      <alignment horizontal="center" vertical="center" textRotation="0" wrapText="true" indent="0" shrinkToFit="false"/>
      <protection locked="true" hidden="false"/>
    </xf>
    <xf numFmtId="174" fontId="6" fillId="8" borderId="39" xfId="0" applyFont="true" applyBorder="true" applyAlignment="true" applyProtection="true">
      <alignment horizontal="right" vertical="center" textRotation="0" wrapText="true" indent="0" shrinkToFit="false"/>
      <protection locked="false" hidden="false"/>
    </xf>
    <xf numFmtId="165" fontId="6" fillId="0" borderId="38" xfId="0" applyFont="true" applyBorder="true" applyAlignment="true" applyProtection="true">
      <alignment horizontal="left" vertical="center" textRotation="0" wrapText="true" indent="0" shrinkToFit="false"/>
      <protection locked="true" hidden="false"/>
    </xf>
    <xf numFmtId="164" fontId="33" fillId="0" borderId="10" xfId="0" applyFont="true" applyBorder="true" applyAlignment="true" applyProtection="true">
      <alignment horizontal="left" vertical="center" textRotation="0" wrapText="true" indent="0" shrinkToFit="false"/>
      <protection locked="true" hidden="false"/>
    </xf>
    <xf numFmtId="165" fontId="6" fillId="0" borderId="37" xfId="0" applyFont="true" applyBorder="true" applyAlignment="true" applyProtection="true">
      <alignment horizontal="left" vertical="center" textRotation="0" wrapText="true" indent="1" shrinkToFit="false"/>
      <protection locked="true" hidden="false"/>
    </xf>
    <xf numFmtId="174" fontId="6" fillId="0" borderId="35" xfId="0" applyFont="true" applyBorder="true" applyAlignment="true" applyProtection="true">
      <alignment horizontal="center" vertical="center" textRotation="0" wrapText="true" indent="0" shrinkToFit="false"/>
      <protection locked="true" hidden="false"/>
    </xf>
    <xf numFmtId="165" fontId="6" fillId="0" borderId="37" xfId="0" applyFont="true" applyBorder="true" applyAlignment="true" applyProtection="true">
      <alignment horizontal="left" vertical="center" textRotation="0" wrapText="true" indent="0" shrinkToFit="false"/>
      <protection locked="true" hidden="false"/>
    </xf>
    <xf numFmtId="165" fontId="6" fillId="0" borderId="37" xfId="0" applyFont="true" applyBorder="true" applyAlignment="true" applyProtection="true">
      <alignment horizontal="left" vertical="center" textRotation="0" wrapText="true" indent="2" shrinkToFit="false"/>
      <protection locked="true" hidden="false"/>
    </xf>
    <xf numFmtId="174" fontId="6" fillId="0" borderId="37" xfId="0" applyFont="true" applyBorder="true" applyAlignment="true" applyProtection="true">
      <alignment horizontal="center" vertical="center" textRotation="0" wrapText="true" indent="0" shrinkToFit="false"/>
      <protection locked="true" hidden="false"/>
    </xf>
    <xf numFmtId="164" fontId="6" fillId="0" borderId="40" xfId="0" applyFont="true" applyBorder="true" applyAlignment="true" applyProtection="true">
      <alignment horizontal="center" vertical="center" textRotation="0" wrapText="true" indent="0" shrinkToFit="false"/>
      <protection locked="true" hidden="false"/>
    </xf>
    <xf numFmtId="165" fontId="6" fillId="0" borderId="39" xfId="0" applyFont="true" applyBorder="true" applyAlignment="true" applyProtection="true">
      <alignment horizontal="left" vertical="center" textRotation="0" wrapText="true" indent="0" shrinkToFit="false"/>
      <protection locked="true" hidden="false"/>
    </xf>
    <xf numFmtId="174" fontId="6" fillId="0" borderId="39" xfId="0" applyFont="true" applyBorder="true" applyAlignment="true" applyProtection="true">
      <alignment horizontal="center" vertical="center" textRotation="0" wrapText="true" indent="0" shrinkToFit="false"/>
      <protection locked="true" hidden="false"/>
    </xf>
    <xf numFmtId="164" fontId="33" fillId="0" borderId="22" xfId="0" applyFont="true" applyBorder="true" applyAlignment="true" applyProtection="true">
      <alignment horizontal="left" vertical="center" textRotation="0" wrapText="true" indent="0" shrinkToFit="false"/>
      <protection locked="true" hidden="false"/>
    </xf>
    <xf numFmtId="164" fontId="6" fillId="0" borderId="38" xfId="0" applyFont="true" applyBorder="true" applyAlignment="true" applyProtection="true">
      <alignment horizontal="center" vertical="center" textRotation="0" wrapText="true" indent="0" shrinkToFit="false"/>
      <protection locked="true" hidden="false"/>
    </xf>
    <xf numFmtId="174" fontId="6" fillId="8" borderId="38" xfId="0" applyFont="true" applyBorder="true" applyAlignment="true" applyProtection="true">
      <alignment horizontal="right" vertical="center" textRotation="0" wrapText="true" indent="0" shrinkToFit="false"/>
      <protection locked="false" hidden="false"/>
    </xf>
    <xf numFmtId="174" fontId="6" fillId="0" borderId="38" xfId="0" applyFont="true" applyBorder="true" applyAlignment="true" applyProtection="true">
      <alignment horizontal="center" vertical="center" textRotation="0" wrapText="true" indent="0" shrinkToFit="false"/>
      <protection locked="true" hidden="false"/>
    </xf>
    <xf numFmtId="174" fontId="6" fillId="8" borderId="40" xfId="0" applyFont="true" applyBorder="true" applyAlignment="true" applyProtection="true">
      <alignment horizontal="right" vertical="center" textRotation="0" wrapText="true" indent="0" shrinkToFit="false"/>
      <protection locked="false" hidden="false"/>
    </xf>
    <xf numFmtId="171" fontId="0" fillId="0" borderId="13" xfId="0" applyFont="true" applyBorder="true" applyAlignment="true" applyProtection="true">
      <alignment horizontal="center" vertical="center" textRotation="0" wrapText="false" indent="0" shrinkToFit="false"/>
      <protection locked="true" hidden="false"/>
    </xf>
    <xf numFmtId="173" fontId="0" fillId="5" borderId="12" xfId="0" applyFont="true" applyBorder="true" applyAlignment="true" applyProtection="true">
      <alignment horizontal="left" vertical="center" textRotation="0" wrapText="true" indent="1" shrinkToFit="false"/>
      <protection locked="false" hidden="false"/>
    </xf>
    <xf numFmtId="171" fontId="6" fillId="7" borderId="12" xfId="0" applyFont="true" applyBorder="true" applyAlignment="true" applyProtection="true">
      <alignment horizontal="left" vertical="top" textRotation="0" wrapText="true" indent="1" shrinkToFit="false"/>
      <protection locked="true" hidden="false"/>
    </xf>
    <xf numFmtId="164" fontId="0" fillId="0" borderId="13" xfId="0" applyFont="true" applyBorder="true" applyAlignment="true" applyProtection="true">
      <alignment horizontal="center" vertical="center" textRotation="0" wrapText="false" indent="0" shrinkToFit="false"/>
      <protection locked="true" hidden="false"/>
    </xf>
    <xf numFmtId="165" fontId="6" fillId="11" borderId="14" xfId="0" applyFont="true" applyBorder="true" applyAlignment="true" applyProtection="true">
      <alignment horizontal="general" vertical="center" textRotation="0" wrapText="true" indent="0" shrinkToFit="false"/>
      <protection locked="true" hidden="false"/>
    </xf>
    <xf numFmtId="165" fontId="6" fillId="0" borderId="19" xfId="0" applyFont="true" applyBorder="true" applyAlignment="true" applyProtection="true">
      <alignment horizontal="general" vertical="center" textRotation="0" wrapText="true" indent="0" shrinkToFit="false"/>
      <protection locked="true" hidden="false"/>
    </xf>
    <xf numFmtId="165" fontId="6" fillId="11" borderId="21" xfId="0" applyFont="true" applyBorder="true" applyAlignment="true" applyProtection="true">
      <alignment horizontal="general" vertical="center" textRotation="0" wrapText="true" indent="0" shrinkToFit="false"/>
      <protection locked="true" hidden="false"/>
    </xf>
    <xf numFmtId="164" fontId="90" fillId="0" borderId="0" xfId="0" applyFont="true" applyBorder="true" applyAlignment="true" applyProtection="true">
      <alignment horizontal="center" vertical="center" textRotation="0" wrapText="true" indent="0" shrinkToFit="false"/>
      <protection locked="true" hidden="false"/>
    </xf>
    <xf numFmtId="165" fontId="6" fillId="9" borderId="25" xfId="0" applyFont="true" applyBorder="true" applyAlignment="true" applyProtection="true">
      <alignment horizontal="center" vertical="center" textRotation="0" wrapText="true" indent="0" shrinkToFit="false"/>
      <protection locked="true" hidden="false"/>
    </xf>
    <xf numFmtId="165" fontId="0" fillId="9" borderId="22" xfId="0" applyFont="true" applyBorder="true" applyAlignment="true" applyProtection="true">
      <alignment horizontal="center" vertical="center" textRotation="0" wrapText="true" indent="0" shrinkToFit="false"/>
      <protection locked="true" hidden="false"/>
    </xf>
    <xf numFmtId="165" fontId="0" fillId="0" borderId="12" xfId="0" applyFont="true" applyBorder="true" applyAlignment="true" applyProtection="true">
      <alignment horizontal="left" vertical="center" textRotation="0" wrapText="true" indent="1" shrinkToFit="false"/>
      <protection locked="true" hidden="false"/>
    </xf>
    <xf numFmtId="164" fontId="6" fillId="0" borderId="12" xfId="0" applyFont="true" applyBorder="true" applyAlignment="true" applyProtection="true">
      <alignment horizontal="center" vertical="top" textRotation="0" wrapText="true" indent="0" shrinkToFit="false"/>
      <protection locked="true" hidden="false"/>
    </xf>
    <xf numFmtId="165" fontId="0" fillId="7" borderId="12" xfId="0" applyFont="true" applyBorder="true" applyAlignment="true" applyProtection="true">
      <alignment horizontal="left" vertical="top" textRotation="0" wrapText="true" indent="1" shrinkToFit="false"/>
      <protection locked="true" hidden="false"/>
    </xf>
    <xf numFmtId="164" fontId="6" fillId="10" borderId="12" xfId="0" applyFont="true" applyBorder="true" applyAlignment="true" applyProtection="true">
      <alignment horizontal="center" vertical="top" textRotation="0" wrapText="true" indent="0" shrinkToFit="false"/>
      <protection locked="true" hidden="false"/>
    </xf>
    <xf numFmtId="173" fontId="0" fillId="8" borderId="12" xfId="0" applyFont="true" applyBorder="true" applyAlignment="true" applyProtection="true">
      <alignment horizontal="center" vertical="top" textRotation="0" wrapText="true" indent="0" shrinkToFit="false"/>
      <protection locked="false" hidden="false"/>
    </xf>
    <xf numFmtId="173" fontId="0" fillId="5" borderId="12" xfId="0" applyFont="true" applyBorder="true" applyAlignment="true" applyProtection="true">
      <alignment horizontal="center" vertical="top" textRotation="0" wrapText="true" indent="0" shrinkToFit="false"/>
      <protection locked="false" hidden="false"/>
    </xf>
    <xf numFmtId="164" fontId="6" fillId="10" borderId="12" xfId="0" applyFont="true" applyBorder="true" applyAlignment="true" applyProtection="true">
      <alignment horizontal="left" vertical="top" textRotation="0" wrapText="true" indent="0" shrinkToFit="false"/>
      <protection locked="true" hidden="false"/>
    </xf>
    <xf numFmtId="164" fontId="6" fillId="8" borderId="12" xfId="0" applyFont="true" applyBorder="true" applyAlignment="true" applyProtection="true">
      <alignment horizontal="left" vertical="top" textRotation="0" wrapText="true" indent="0" shrinkToFit="false"/>
      <protection locked="false" hidden="false"/>
    </xf>
    <xf numFmtId="164" fontId="0" fillId="7" borderId="12" xfId="0" applyFont="true" applyBorder="true" applyAlignment="true" applyProtection="true">
      <alignment horizontal="center" vertical="top" textRotation="0" wrapText="true" indent="0" shrinkToFit="false"/>
      <protection locked="true" hidden="false"/>
    </xf>
    <xf numFmtId="171" fontId="6" fillId="7" borderId="12" xfId="0" applyFont="true" applyBorder="true" applyAlignment="true" applyProtection="true">
      <alignment horizontal="center" vertical="top" textRotation="0" wrapText="true" indent="0" shrinkToFit="false"/>
      <protection locked="true" hidden="false"/>
    </xf>
    <xf numFmtId="165" fontId="6" fillId="5" borderId="12" xfId="0" applyFont="true" applyBorder="true" applyAlignment="true" applyProtection="true">
      <alignment horizontal="left" vertical="top" textRotation="0" wrapText="true" indent="0" shrinkToFit="false"/>
      <protection locked="false" hidden="false"/>
    </xf>
    <xf numFmtId="164" fontId="6" fillId="9" borderId="25" xfId="0" applyFont="true" applyBorder="true" applyAlignment="true" applyProtection="true">
      <alignment horizontal="left" vertical="center" textRotation="0" wrapText="true" indent="1" shrinkToFit="false"/>
      <protection locked="true" hidden="false"/>
    </xf>
    <xf numFmtId="165" fontId="6" fillId="11" borderId="29" xfId="0" applyFont="true" applyBorder="true" applyAlignment="true" applyProtection="true">
      <alignment horizontal="general" vertical="center" textRotation="0" wrapText="true" indent="0" shrinkToFit="false"/>
      <protection locked="true" hidden="false"/>
    </xf>
    <xf numFmtId="165" fontId="6" fillId="9" borderId="9" xfId="0" applyFont="true" applyBorder="true" applyAlignment="true" applyProtection="true">
      <alignment horizontal="general" vertical="center" textRotation="0" wrapText="true" indent="0" shrinkToFit="false"/>
      <protection locked="true" hidden="false"/>
    </xf>
    <xf numFmtId="164" fontId="68" fillId="0" borderId="9" xfId="0" applyFont="true" applyBorder="true" applyAlignment="true" applyProtection="true">
      <alignment horizontal="general" vertical="top" textRotation="0" wrapText="false" indent="0" shrinkToFit="false"/>
      <protection locked="true" hidden="false"/>
    </xf>
    <xf numFmtId="165" fontId="29" fillId="9" borderId="9" xfId="0" applyFont="true" applyBorder="true" applyAlignment="true" applyProtection="true">
      <alignment horizontal="center" vertical="bottom" textRotation="0" wrapText="true" indent="0" shrinkToFit="false"/>
      <protection locked="true" hidden="false"/>
    </xf>
    <xf numFmtId="165" fontId="6" fillId="0" borderId="6" xfId="0" applyFont="true" applyBorder="true" applyAlignment="true" applyProtection="true">
      <alignment horizontal="center" vertical="center" textRotation="0" wrapText="false" indent="0" shrinkToFit="false"/>
      <protection locked="true" hidden="false"/>
    </xf>
    <xf numFmtId="165" fontId="6" fillId="0" borderId="3" xfId="0" applyFont="true" applyBorder="true" applyAlignment="true" applyProtection="true">
      <alignment horizontal="general" vertical="center" textRotation="0" wrapText="true" indent="0" shrinkToFit="false"/>
      <protection locked="true" hidden="false"/>
    </xf>
    <xf numFmtId="171" fontId="91" fillId="0" borderId="41" xfId="0" applyFont="true" applyBorder="true" applyAlignment="true" applyProtection="true">
      <alignment horizontal="left" vertical="center" textRotation="0" wrapText="false" indent="1" shrinkToFit="false"/>
      <protection locked="true" hidden="false"/>
    </xf>
    <xf numFmtId="165" fontId="91" fillId="0" borderId="42" xfId="0" applyFont="true" applyBorder="true" applyAlignment="true" applyProtection="true">
      <alignment horizontal="left" vertical="center" textRotation="0" wrapText="false" indent="1" shrinkToFit="false"/>
      <protection locked="true" hidden="false"/>
    </xf>
    <xf numFmtId="165" fontId="0" fillId="0" borderId="42" xfId="0" applyFont="true" applyBorder="true" applyAlignment="true" applyProtection="true">
      <alignment horizontal="left" vertical="center" textRotation="0" wrapText="true" indent="0" shrinkToFit="false"/>
      <protection locked="true" hidden="false"/>
    </xf>
    <xf numFmtId="165" fontId="6" fillId="0" borderId="42" xfId="0" applyFont="true" applyBorder="true" applyAlignment="true" applyProtection="true">
      <alignment horizontal="general" vertical="center" textRotation="0" wrapText="true" indent="0" shrinkToFit="false"/>
      <protection locked="true" hidden="false"/>
    </xf>
    <xf numFmtId="165" fontId="6" fillId="0" borderId="43" xfId="0" applyFont="true" applyBorder="true" applyAlignment="true" applyProtection="true">
      <alignment horizontal="general" vertical="center" textRotation="0" wrapText="true" indent="0" shrinkToFit="false"/>
      <protection locked="true" hidden="false"/>
    </xf>
    <xf numFmtId="165" fontId="6" fillId="0" borderId="44" xfId="0" applyFont="true" applyBorder="true" applyAlignment="true" applyProtection="true">
      <alignment horizontal="general" vertical="center" textRotation="0" wrapText="true" indent="0" shrinkToFit="false"/>
      <protection locked="true" hidden="false"/>
    </xf>
    <xf numFmtId="165" fontId="6" fillId="0" borderId="16" xfId="0" applyFont="true" applyBorder="true" applyAlignment="true" applyProtection="true">
      <alignment horizontal="general" vertical="center" textRotation="0" wrapText="true" indent="0" shrinkToFit="false"/>
      <protection locked="true" hidden="false"/>
    </xf>
    <xf numFmtId="164" fontId="6" fillId="7" borderId="45" xfId="0" applyFont="true" applyBorder="true" applyAlignment="true" applyProtection="true">
      <alignment horizontal="center" vertical="center" textRotation="0" wrapText="true" indent="0" shrinkToFit="false"/>
      <protection locked="true" hidden="false"/>
    </xf>
    <xf numFmtId="164" fontId="6" fillId="0" borderId="19" xfId="0" applyFont="true" applyBorder="true" applyAlignment="true" applyProtection="true">
      <alignment horizontal="center" vertical="center" textRotation="0" wrapText="true" indent="0" shrinkToFit="false"/>
      <protection locked="true" hidden="false"/>
    </xf>
    <xf numFmtId="164" fontId="22" fillId="0" borderId="19" xfId="0" applyFont="true" applyBorder="true" applyAlignment="true" applyProtection="true">
      <alignment horizontal="center" vertical="center" textRotation="0" wrapText="true" indent="0" shrinkToFit="false"/>
      <protection locked="true" hidden="false"/>
    </xf>
    <xf numFmtId="164" fontId="22" fillId="0" borderId="19" xfId="0" applyFont="true" applyBorder="true" applyAlignment="true" applyProtection="true">
      <alignment horizontal="left" vertical="center" textRotation="0" wrapText="true" indent="0" shrinkToFit="false"/>
      <protection locked="true" hidden="false"/>
    </xf>
    <xf numFmtId="164" fontId="22" fillId="0" borderId="13" xfId="0" applyFont="true" applyBorder="true" applyAlignment="true" applyProtection="true">
      <alignment horizontal="center" vertical="center" textRotation="0" wrapText="true" indent="0" shrinkToFit="false"/>
      <protection locked="true" hidden="false"/>
    </xf>
    <xf numFmtId="164" fontId="53" fillId="0" borderId="27" xfId="0" applyFont="true" applyBorder="true" applyAlignment="true" applyProtection="true">
      <alignment horizontal="left" vertical="center" textRotation="0" wrapText="false" indent="1" shrinkToFit="false"/>
      <protection locked="true" hidden="false"/>
    </xf>
    <xf numFmtId="164" fontId="53" fillId="0" borderId="27" xfId="0" applyFont="true" applyBorder="true" applyAlignment="true" applyProtection="true">
      <alignment horizontal="center" vertical="center" textRotation="0" wrapText="false" indent="0" shrinkToFit="false"/>
      <protection locked="true" hidden="false"/>
    </xf>
    <xf numFmtId="176" fontId="22" fillId="0" borderId="12" xfId="0" applyFont="true" applyBorder="true" applyAlignment="true" applyProtection="true">
      <alignment horizontal="center" vertical="center" textRotation="0" wrapText="true" indent="0" shrinkToFit="false"/>
      <protection locked="true" hidden="false"/>
    </xf>
    <xf numFmtId="164" fontId="92" fillId="0" borderId="19" xfId="0" applyFont="true" applyBorder="true" applyAlignment="true" applyProtection="true">
      <alignment horizontal="center" vertical="center" textRotation="0" wrapText="true" indent="0" shrinkToFit="false"/>
      <protection locked="true" hidden="false"/>
    </xf>
    <xf numFmtId="165" fontId="53" fillId="0" borderId="12" xfId="0" applyFont="true" applyBorder="true" applyAlignment="true" applyProtection="true">
      <alignment horizontal="center" vertical="center" textRotation="0" wrapText="false" indent="0" shrinkToFit="false"/>
      <protection locked="true" hidden="false"/>
    </xf>
    <xf numFmtId="164" fontId="22" fillId="0" borderId="12" xfId="0" applyFont="true" applyBorder="true" applyAlignment="true" applyProtection="true">
      <alignment horizontal="left" vertical="center" textRotation="0" wrapText="true" indent="1" shrinkToFit="false"/>
      <protection locked="true" hidden="false"/>
    </xf>
    <xf numFmtId="164" fontId="53" fillId="0" borderId="13" xfId="0" applyFont="true" applyBorder="true" applyAlignment="true" applyProtection="true">
      <alignment horizontal="left" vertical="center" textRotation="0" wrapText="false" indent="1" shrinkToFit="false"/>
      <protection locked="true" hidden="false"/>
    </xf>
    <xf numFmtId="164" fontId="53" fillId="0" borderId="10" xfId="0" applyFont="true" applyBorder="true" applyAlignment="true" applyProtection="true">
      <alignment horizontal="left" vertical="center" textRotation="0" wrapText="false" indent="1" shrinkToFit="false"/>
      <protection locked="true" hidden="false"/>
    </xf>
    <xf numFmtId="164" fontId="53" fillId="0" borderId="10" xfId="0" applyFont="true" applyBorder="true" applyAlignment="true" applyProtection="true">
      <alignment horizontal="general" vertical="top" textRotation="0" wrapText="true" indent="0" shrinkToFit="false"/>
      <protection locked="true" hidden="false"/>
    </xf>
    <xf numFmtId="164" fontId="53" fillId="0" borderId="19" xfId="0" applyFont="true" applyBorder="true" applyAlignment="true" applyProtection="true">
      <alignment horizontal="general" vertical="top" textRotation="0" wrapText="true" indent="0" shrinkToFit="false"/>
      <protection locked="true" hidden="false"/>
    </xf>
    <xf numFmtId="164" fontId="92" fillId="0" borderId="0" xfId="0" applyFont="true" applyBorder="true" applyAlignment="true" applyProtection="true">
      <alignment horizontal="center" vertical="top" textRotation="0" wrapText="true" indent="0" shrinkToFit="false"/>
      <protection locked="true" hidden="false"/>
    </xf>
    <xf numFmtId="165" fontId="53" fillId="0" borderId="12" xfId="0" applyFont="true" applyBorder="true" applyAlignment="true" applyProtection="true">
      <alignment horizontal="left" vertical="center" textRotation="0" wrapText="true" indent="1" shrinkToFit="false"/>
      <protection locked="true" hidden="false"/>
    </xf>
    <xf numFmtId="174" fontId="22" fillId="0" borderId="37" xfId="0" applyFont="true" applyBorder="true" applyAlignment="true" applyProtection="true">
      <alignment horizontal="right" vertical="center" textRotation="0" wrapText="true" indent="0" shrinkToFit="false"/>
      <protection locked="true" hidden="false"/>
    </xf>
    <xf numFmtId="164" fontId="22" fillId="0" borderId="10" xfId="0" applyFont="true" applyBorder="true" applyAlignment="true" applyProtection="true">
      <alignment horizontal="left" vertical="center" textRotation="0" wrapText="false" indent="1" shrinkToFit="false"/>
      <protection locked="true" hidden="false"/>
    </xf>
    <xf numFmtId="164" fontId="53" fillId="0" borderId="46" xfId="0" applyFont="true" applyBorder="true" applyAlignment="true" applyProtection="true">
      <alignment horizontal="general" vertical="top" textRotation="0" wrapText="true" indent="0" shrinkToFit="false"/>
      <protection locked="true" hidden="false"/>
    </xf>
    <xf numFmtId="164" fontId="53" fillId="0" borderId="46" xfId="0" applyFont="true" applyBorder="true" applyAlignment="true" applyProtection="true">
      <alignment horizontal="left" vertical="center" textRotation="0" wrapText="false" indent="1" shrinkToFit="false"/>
      <protection locked="true" hidden="false"/>
    </xf>
    <xf numFmtId="164" fontId="6" fillId="10" borderId="19" xfId="0" applyFont="true" applyBorder="true" applyAlignment="true" applyProtection="true">
      <alignment horizontal="left" vertical="center" textRotation="0" wrapText="true" indent="0" shrinkToFit="false"/>
      <protection locked="true" hidden="false"/>
    </xf>
    <xf numFmtId="164" fontId="93" fillId="11" borderId="26" xfId="0" applyFont="true" applyBorder="true" applyAlignment="true" applyProtection="true">
      <alignment horizontal="left" vertical="center" textRotation="0" wrapText="false" indent="1" shrinkToFit="false"/>
      <protection locked="true" hidden="false"/>
    </xf>
    <xf numFmtId="164" fontId="53" fillId="11" borderId="27" xfId="0" applyFont="true" applyBorder="true" applyAlignment="true" applyProtection="true">
      <alignment horizontal="center" vertical="center" textRotation="0" wrapText="false" indent="0" shrinkToFit="false"/>
      <protection locked="true" hidden="false"/>
    </xf>
    <xf numFmtId="164" fontId="93" fillId="11" borderId="27" xfId="0" applyFont="true" applyBorder="true" applyAlignment="true" applyProtection="true">
      <alignment horizontal="left" vertical="center" textRotation="0" wrapText="false" indent="1" shrinkToFit="false"/>
      <protection locked="true" hidden="false"/>
    </xf>
    <xf numFmtId="176" fontId="6" fillId="8" borderId="12" xfId="0" applyFont="true" applyBorder="true" applyAlignment="true" applyProtection="true">
      <alignment horizontal="center" vertical="center" textRotation="0" wrapText="true" indent="0" shrinkToFit="false"/>
      <protection locked="false" hidden="false"/>
    </xf>
    <xf numFmtId="164" fontId="6" fillId="10" borderId="13" xfId="0" applyFont="true" applyBorder="true" applyAlignment="true" applyProtection="true">
      <alignment horizontal="center" vertical="center" textRotation="0" wrapText="true" indent="0" shrinkToFit="false"/>
      <protection locked="true" hidden="false"/>
    </xf>
    <xf numFmtId="164" fontId="94" fillId="0" borderId="12" xfId="0" applyFont="true" applyBorder="true" applyAlignment="true" applyProtection="true">
      <alignment horizontal="center" vertical="center" textRotation="0" wrapText="true" indent="0" shrinkToFit="false"/>
      <protection locked="true" hidden="false"/>
    </xf>
    <xf numFmtId="165" fontId="52" fillId="0" borderId="19" xfId="0" applyFont="true" applyBorder="true" applyAlignment="true" applyProtection="true">
      <alignment horizontal="center" vertical="center" textRotation="0" wrapText="false" indent="0" shrinkToFit="false"/>
      <protection locked="true" hidden="false"/>
    </xf>
    <xf numFmtId="164" fontId="6" fillId="7" borderId="12" xfId="0" applyFont="true" applyBorder="true" applyAlignment="true" applyProtection="true">
      <alignment horizontal="left" vertical="center" textRotation="0" wrapText="true" indent="0" shrinkToFit="false"/>
      <protection locked="true" hidden="false"/>
    </xf>
    <xf numFmtId="164" fontId="93" fillId="11" borderId="13" xfId="0" applyFont="true" applyBorder="true" applyAlignment="true" applyProtection="true">
      <alignment horizontal="left" vertical="center" textRotation="0" wrapText="false" indent="1" shrinkToFit="false"/>
      <protection locked="true" hidden="false"/>
    </xf>
    <xf numFmtId="164" fontId="93" fillId="11" borderId="10" xfId="0" applyFont="true" applyBorder="true" applyAlignment="true" applyProtection="true">
      <alignment horizontal="left" vertical="center" textRotation="0" wrapText="false" indent="1" shrinkToFit="false"/>
      <protection locked="true" hidden="false"/>
    </xf>
    <xf numFmtId="164" fontId="52" fillId="11" borderId="10" xfId="0" applyFont="true" applyBorder="true" applyAlignment="true" applyProtection="true">
      <alignment horizontal="general" vertical="top" textRotation="0" wrapText="true" indent="0" shrinkToFit="false"/>
      <protection locked="true" hidden="false"/>
    </xf>
    <xf numFmtId="164" fontId="52" fillId="11" borderId="19" xfId="0" applyFont="true" applyBorder="true" applyAlignment="true" applyProtection="true">
      <alignment horizontal="general" vertical="top" textRotation="0" wrapText="true" indent="0" shrinkToFit="false"/>
      <protection locked="true" hidden="false"/>
    </xf>
    <xf numFmtId="164" fontId="94" fillId="0" borderId="0" xfId="0" applyFont="true" applyBorder="true" applyAlignment="true" applyProtection="true">
      <alignment horizontal="center" vertical="top" textRotation="0" wrapText="true" indent="0" shrinkToFit="false"/>
      <protection locked="true" hidden="false"/>
    </xf>
    <xf numFmtId="165" fontId="52" fillId="0" borderId="12" xfId="0" applyFont="true" applyBorder="true" applyAlignment="true" applyProtection="true">
      <alignment horizontal="center" vertical="center" textRotation="0" wrapText="false" indent="0" shrinkToFit="false"/>
      <protection locked="true" hidden="false"/>
    </xf>
    <xf numFmtId="165" fontId="52" fillId="10" borderId="12" xfId="0" applyFont="true" applyBorder="true" applyAlignment="true" applyProtection="true">
      <alignment horizontal="left" vertical="center" textRotation="0" wrapText="true" indent="1" shrinkToFit="false"/>
      <protection locked="true" hidden="false"/>
    </xf>
    <xf numFmtId="164" fontId="52" fillId="11" borderId="46" xfId="0" applyFont="true" applyBorder="true" applyAlignment="true" applyProtection="true">
      <alignment horizontal="general" vertical="top" textRotation="0" wrapText="true" indent="0" shrinkToFit="false"/>
      <protection locked="true" hidden="false"/>
    </xf>
    <xf numFmtId="164" fontId="93" fillId="11" borderId="46" xfId="0" applyFont="true" applyBorder="true" applyAlignment="true" applyProtection="true">
      <alignment horizontal="left" vertical="center" textRotation="0" wrapText="false" indent="1" shrinkToFit="false"/>
      <protection locked="true" hidden="false"/>
    </xf>
    <xf numFmtId="165" fontId="0" fillId="11" borderId="47" xfId="0" applyFont="true" applyBorder="true" applyAlignment="true" applyProtection="true">
      <alignment horizontal="left" vertical="center" textRotation="0" wrapText="false" indent="0" shrinkToFit="false"/>
      <protection locked="true" hidden="false"/>
    </xf>
    <xf numFmtId="164" fontId="51" fillId="11" borderId="48" xfId="0" applyFont="true" applyBorder="true" applyAlignment="true" applyProtection="true">
      <alignment horizontal="left" vertical="center" textRotation="0" wrapText="false" indent="1" shrinkToFit="false"/>
      <protection locked="true" hidden="false"/>
    </xf>
    <xf numFmtId="165" fontId="6" fillId="11" borderId="47" xfId="0" applyFont="true" applyBorder="true" applyAlignment="true" applyProtection="true">
      <alignment horizontal="general" vertical="center" textRotation="0" wrapText="true" indent="0" shrinkToFit="false"/>
      <protection locked="true" hidden="false"/>
    </xf>
    <xf numFmtId="165" fontId="6" fillId="11" borderId="48" xfId="0" applyFont="true" applyBorder="true" applyAlignment="true" applyProtection="true">
      <alignment horizontal="general" vertical="center" textRotation="0" wrapText="true" indent="0" shrinkToFit="false"/>
      <protection locked="true" hidden="false"/>
    </xf>
    <xf numFmtId="165" fontId="95" fillId="0" borderId="0" xfId="0" applyFont="true" applyBorder="true" applyAlignment="true" applyProtection="true">
      <alignment horizontal="general" vertical="center" textRotation="0" wrapText="false" indent="0" shrinkToFit="false"/>
      <protection locked="true" hidden="false"/>
    </xf>
    <xf numFmtId="165" fontId="6" fillId="9" borderId="14" xfId="0" applyFont="true" applyBorder="true" applyAlignment="true" applyProtection="true">
      <alignment horizontal="general" vertical="center" textRotation="0" wrapText="true" indent="0" shrinkToFit="false"/>
      <protection locked="true" hidden="false"/>
    </xf>
    <xf numFmtId="165" fontId="24" fillId="0" borderId="9" xfId="0" applyFont="true" applyBorder="true" applyAlignment="true" applyProtection="true">
      <alignment horizontal="general" vertical="center" textRotation="0" wrapText="true" indent="0" shrinkToFit="false"/>
      <protection locked="true" hidden="false"/>
    </xf>
    <xf numFmtId="165" fontId="6" fillId="0" borderId="49" xfId="0" applyFont="true" applyBorder="true" applyAlignment="true" applyProtection="true">
      <alignment horizontal="center" vertical="center" textRotation="0" wrapText="false" indent="0" shrinkToFit="false"/>
      <protection locked="true" hidden="false"/>
    </xf>
    <xf numFmtId="165" fontId="6" fillId="0" borderId="27" xfId="0" applyFont="true" applyBorder="true" applyAlignment="true" applyProtection="true">
      <alignment horizontal="center" vertical="center" textRotation="0" wrapText="false" indent="0" shrinkToFit="false"/>
      <protection locked="true" hidden="false"/>
    </xf>
    <xf numFmtId="165" fontId="6" fillId="0" borderId="3" xfId="0" applyFont="true" applyBorder="true" applyAlignment="true" applyProtection="true">
      <alignment horizontal="general" vertical="center" textRotation="0" wrapText="false" indent="0" shrinkToFit="false"/>
      <protection locked="true" hidden="false"/>
    </xf>
    <xf numFmtId="164" fontId="6" fillId="0" borderId="16" xfId="0" applyFont="true" applyBorder="true" applyAlignment="true" applyProtection="true">
      <alignment horizontal="general" vertical="top" textRotation="0" wrapText="false" indent="0" shrinkToFit="false"/>
      <protection locked="true" hidden="false"/>
    </xf>
    <xf numFmtId="171" fontId="0" fillId="7" borderId="12" xfId="0" applyFont="true" applyBorder="true" applyAlignment="true" applyProtection="true">
      <alignment horizontal="center" vertical="center" textRotation="0" wrapText="true" indent="0" shrinkToFit="false"/>
      <protection locked="true" hidden="false"/>
    </xf>
    <xf numFmtId="164" fontId="0" fillId="7" borderId="12" xfId="0" applyFont="true" applyBorder="true" applyAlignment="true" applyProtection="true">
      <alignment horizontal="center" vertical="center" textRotation="0" wrapText="false" indent="0" shrinkToFit="false"/>
      <protection locked="true" hidden="false"/>
    </xf>
    <xf numFmtId="174" fontId="0" fillId="7" borderId="12" xfId="0" applyFont="true" applyBorder="true" applyAlignment="true" applyProtection="true">
      <alignment horizontal="right" vertical="center" textRotation="0" wrapText="true" indent="0" shrinkToFit="false"/>
      <protection locked="true" hidden="false"/>
    </xf>
    <xf numFmtId="174" fontId="0" fillId="5" borderId="12" xfId="0" applyFont="true" applyBorder="true" applyAlignment="true" applyProtection="true">
      <alignment horizontal="right" vertical="center" textRotation="0" wrapText="true" indent="0" shrinkToFit="false"/>
      <protection locked="false" hidden="false"/>
    </xf>
    <xf numFmtId="164" fontId="0" fillId="0" borderId="12" xfId="0" applyFont="true" applyBorder="true" applyAlignment="true" applyProtection="true">
      <alignment horizontal="left" vertical="center" textRotation="0" wrapText="true" indent="3" shrinkToFit="false"/>
      <protection locked="true" hidden="false"/>
    </xf>
    <xf numFmtId="164" fontId="52" fillId="0" borderId="0" xfId="0" applyFont="true" applyBorder="true" applyAlignment="true" applyProtection="true">
      <alignment horizontal="general" vertical="center" textRotation="0" wrapText="true" indent="0" shrinkToFit="false"/>
      <protection locked="true" hidden="false"/>
    </xf>
    <xf numFmtId="164" fontId="53" fillId="0" borderId="0" xfId="0" applyFont="true" applyBorder="true" applyAlignment="true" applyProtection="true">
      <alignment horizontal="general" vertical="center" textRotation="0" wrapText="true" indent="0" shrinkToFit="false"/>
      <protection locked="true" hidden="false"/>
    </xf>
    <xf numFmtId="164" fontId="52" fillId="0" borderId="0" xfId="0" applyFont="true" applyBorder="true" applyAlignment="true" applyProtection="true">
      <alignment horizontal="general" vertical="center" textRotation="0" wrapText="false" indent="0" shrinkToFit="false"/>
      <protection locked="true" hidden="false"/>
    </xf>
    <xf numFmtId="164" fontId="53" fillId="0" borderId="0" xfId="0" applyFont="true" applyBorder="true" applyAlignment="true" applyProtection="true">
      <alignment horizontal="general" vertical="center" textRotation="0" wrapText="false" indent="0" shrinkToFit="false"/>
      <protection locked="true" hidden="false"/>
    </xf>
    <xf numFmtId="164" fontId="52" fillId="0" borderId="0" xfId="0" applyFont="true" applyBorder="true" applyAlignment="true" applyProtection="true">
      <alignment horizontal="general" vertical="top" textRotation="0" wrapText="false" indent="0" shrinkToFit="false"/>
      <protection locked="true" hidden="false"/>
    </xf>
    <xf numFmtId="164" fontId="22" fillId="0" borderId="0" xfId="0" applyFont="true" applyBorder="true" applyAlignment="true" applyProtection="true">
      <alignment horizontal="center" vertical="top" textRotation="0" wrapText="true" indent="0" shrinkToFit="false"/>
      <protection locked="true" hidden="false"/>
    </xf>
    <xf numFmtId="164" fontId="6" fillId="9" borderId="0" xfId="0" applyFont="true" applyBorder="true" applyAlignment="true" applyProtection="true">
      <alignment horizontal="center" vertical="top" textRotation="0" wrapText="true" indent="0" shrinkToFit="false"/>
      <protection locked="true" hidden="false"/>
    </xf>
    <xf numFmtId="171" fontId="6" fillId="0" borderId="15" xfId="0" applyFont="true" applyBorder="true" applyAlignment="true" applyProtection="true">
      <alignment horizontal="left" vertical="top" textRotation="0" wrapText="true" indent="0" shrinkToFit="false"/>
      <protection locked="true" hidden="false"/>
    </xf>
    <xf numFmtId="171" fontId="6" fillId="0" borderId="29" xfId="0" applyFont="true" applyBorder="true" applyAlignment="true" applyProtection="true">
      <alignment horizontal="left" vertical="center" textRotation="0" wrapText="true" indent="1" shrinkToFit="false"/>
      <protection locked="true" hidden="false"/>
    </xf>
    <xf numFmtId="164" fontId="52" fillId="0" borderId="0" xfId="0" applyFont="true" applyBorder="true" applyAlignment="true" applyProtection="true">
      <alignment horizontal="center" vertical="center" textRotation="0" wrapText="true" indent="0" shrinkToFit="false"/>
      <protection locked="true" hidden="false"/>
    </xf>
    <xf numFmtId="164" fontId="53" fillId="0" borderId="0" xfId="0" applyFont="true" applyBorder="true" applyAlignment="true" applyProtection="true">
      <alignment horizontal="center" vertical="center" textRotation="0" wrapText="true" indent="0" shrinkToFit="false"/>
      <protection locked="true" hidden="false"/>
    </xf>
    <xf numFmtId="165" fontId="52" fillId="0" borderId="0" xfId="0" applyFont="true" applyBorder="true" applyAlignment="true" applyProtection="true">
      <alignment horizontal="center" vertical="center" textRotation="0" wrapText="true" indent="0" shrinkToFit="false"/>
      <protection locked="true" hidden="false"/>
    </xf>
    <xf numFmtId="165" fontId="6" fillId="16" borderId="12" xfId="0" applyFont="true" applyBorder="true" applyAlignment="true" applyProtection="true">
      <alignment horizontal="center" vertical="center" textRotation="0" wrapText="true" indent="0" shrinkToFit="false"/>
      <protection locked="true" hidden="false"/>
    </xf>
    <xf numFmtId="164" fontId="22" fillId="17" borderId="12" xfId="0" applyFont="true" applyBorder="true" applyAlignment="true" applyProtection="true">
      <alignment horizontal="center" vertical="center" textRotation="0" wrapText="true" indent="0" shrinkToFit="false"/>
      <protection locked="true" hidden="false"/>
    </xf>
    <xf numFmtId="164" fontId="22" fillId="18" borderId="12" xfId="0" applyFont="true" applyBorder="true" applyAlignment="true" applyProtection="true">
      <alignment horizontal="center" vertical="center" textRotation="0" wrapText="true" indent="0" shrinkToFit="false"/>
      <protection locked="true" hidden="false"/>
    </xf>
    <xf numFmtId="164" fontId="6" fillId="19" borderId="13" xfId="0" applyFont="true" applyBorder="true" applyAlignment="true" applyProtection="true">
      <alignment horizontal="center" vertical="center" textRotation="0" wrapText="true" indent="0" shrinkToFit="false"/>
      <protection locked="true" hidden="false"/>
    </xf>
    <xf numFmtId="164" fontId="6" fillId="20" borderId="10" xfId="0" applyFont="true" applyBorder="true" applyAlignment="true" applyProtection="true">
      <alignment horizontal="center" vertical="center" textRotation="0" wrapText="true" indent="0" shrinkToFit="false"/>
      <protection locked="true" hidden="false"/>
    </xf>
    <xf numFmtId="164" fontId="52" fillId="9" borderId="0" xfId="0" applyFont="true" applyBorder="true" applyAlignment="true" applyProtection="true">
      <alignment horizontal="general" vertical="center" textRotation="0" wrapText="true" indent="0" shrinkToFit="false"/>
      <protection locked="true" hidden="false"/>
    </xf>
    <xf numFmtId="164" fontId="6" fillId="20" borderId="12" xfId="0" applyFont="true" applyBorder="true" applyAlignment="true" applyProtection="true">
      <alignment horizontal="center" vertical="center" textRotation="0" wrapText="true" indent="0" shrinkToFit="false"/>
      <protection locked="true" hidden="false"/>
    </xf>
    <xf numFmtId="165" fontId="6" fillId="20" borderId="12" xfId="0" applyFont="true" applyBorder="true" applyAlignment="true" applyProtection="true">
      <alignment horizontal="center" vertical="center" textRotation="0" wrapText="true" indent="0" shrinkToFit="false"/>
      <protection locked="true" hidden="false"/>
    </xf>
    <xf numFmtId="165" fontId="6" fillId="20" borderId="13" xfId="0" applyFont="true" applyBorder="true" applyAlignment="true" applyProtection="true">
      <alignment horizontal="center" vertical="center" textRotation="0" wrapText="true" indent="0" shrinkToFit="false"/>
      <protection locked="true" hidden="false"/>
    </xf>
    <xf numFmtId="165" fontId="6" fillId="20" borderId="19" xfId="0" applyFont="true" applyBorder="true" applyAlignment="true" applyProtection="true">
      <alignment horizontal="center" vertical="center" textRotation="0" wrapText="true" indent="0" shrinkToFit="false"/>
      <protection locked="true" hidden="false"/>
    </xf>
    <xf numFmtId="164" fontId="52" fillId="9" borderId="0" xfId="0" applyFont="true" applyBorder="true" applyAlignment="true" applyProtection="true">
      <alignment horizontal="general" vertical="center" textRotation="0" wrapText="false" indent="0" shrinkToFit="false"/>
      <protection locked="true" hidden="false"/>
    </xf>
    <xf numFmtId="164" fontId="48" fillId="0" borderId="12" xfId="0" applyFont="true" applyBorder="true" applyAlignment="true" applyProtection="true">
      <alignment horizontal="center" vertical="center" textRotation="0" wrapText="false" indent="0" shrinkToFit="false"/>
      <protection locked="true" hidden="false"/>
    </xf>
    <xf numFmtId="164" fontId="48" fillId="20" borderId="12" xfId="0" applyFont="true" applyBorder="true" applyAlignment="true" applyProtection="true">
      <alignment horizontal="center" vertical="center" textRotation="0" wrapText="false" indent="0" shrinkToFit="false"/>
      <protection locked="true" hidden="false"/>
    </xf>
    <xf numFmtId="165" fontId="48" fillId="0" borderId="12" xfId="0" applyFont="true" applyBorder="true" applyAlignment="true" applyProtection="true">
      <alignment horizontal="center" vertical="center" textRotation="0" wrapText="false" indent="0" shrinkToFit="false"/>
      <protection locked="true" hidden="false"/>
    </xf>
    <xf numFmtId="164" fontId="48" fillId="0" borderId="18" xfId="0" applyFont="true" applyBorder="true" applyAlignment="true" applyProtection="true">
      <alignment horizontal="center" vertical="center" textRotation="0" wrapText="false" indent="0" shrinkToFit="false"/>
      <protection locked="true" hidden="false"/>
    </xf>
    <xf numFmtId="164" fontId="6" fillId="0" borderId="0" xfId="0" applyFont="true" applyBorder="true" applyAlignment="true" applyProtection="true">
      <alignment horizontal="general" vertical="center" textRotation="0" wrapText="false" indent="0" shrinkToFit="false"/>
      <protection locked="true" hidden="false"/>
    </xf>
    <xf numFmtId="164" fontId="22" fillId="0" borderId="25" xfId="0" applyFont="true" applyBorder="true" applyAlignment="true" applyProtection="true">
      <alignment horizontal="center" vertical="center" textRotation="0" wrapText="false" indent="0" shrinkToFit="false"/>
      <protection locked="true" hidden="false"/>
    </xf>
    <xf numFmtId="165" fontId="6" fillId="0" borderId="25" xfId="0" applyFont="true" applyBorder="true" applyAlignment="true" applyProtection="true">
      <alignment horizontal="right" vertical="center" textRotation="0" wrapText="false" indent="0" shrinkToFit="false"/>
      <protection locked="true" hidden="false"/>
    </xf>
    <xf numFmtId="165" fontId="6" fillId="0" borderId="25" xfId="0" applyFont="true" applyBorder="true" applyAlignment="true" applyProtection="true">
      <alignment horizontal="center" vertical="center" textRotation="0" wrapText="false" indent="0" shrinkToFit="false"/>
      <protection locked="true" hidden="false"/>
    </xf>
    <xf numFmtId="165" fontId="6" fillId="0" borderId="12" xfId="0" applyFont="true" applyBorder="true" applyAlignment="true" applyProtection="true">
      <alignment horizontal="right" vertical="center" textRotation="0" wrapText="false" indent="0" shrinkToFit="false"/>
      <protection locked="true" hidden="false"/>
    </xf>
    <xf numFmtId="171" fontId="91" fillId="0" borderId="50" xfId="0" applyFont="true" applyBorder="true" applyAlignment="true" applyProtection="true">
      <alignment horizontal="left" vertical="center" textRotation="0" wrapText="false" indent="1" shrinkToFit="false"/>
      <protection locked="true" hidden="false"/>
    </xf>
    <xf numFmtId="164" fontId="6" fillId="0" borderId="51" xfId="0" applyFont="true" applyBorder="true" applyAlignment="true" applyProtection="true">
      <alignment horizontal="center" vertical="center" textRotation="0" wrapText="false" indent="0" shrinkToFit="false"/>
      <protection locked="true" hidden="false"/>
    </xf>
    <xf numFmtId="165" fontId="6" fillId="0" borderId="51" xfId="0" applyFont="true" applyBorder="true" applyAlignment="true" applyProtection="true">
      <alignment horizontal="right" vertical="center" textRotation="0" wrapText="false" indent="0" shrinkToFit="false"/>
      <protection locked="true" hidden="false"/>
    </xf>
    <xf numFmtId="165" fontId="6" fillId="0" borderId="51" xfId="0" applyFont="true" applyBorder="true" applyAlignment="true" applyProtection="true">
      <alignment horizontal="center" vertical="center" textRotation="0" wrapText="false" indent="0" shrinkToFit="false"/>
      <protection locked="true" hidden="false"/>
    </xf>
    <xf numFmtId="165" fontId="6" fillId="0" borderId="10" xfId="0" applyFont="true" applyBorder="true" applyAlignment="true" applyProtection="true">
      <alignment horizontal="right" vertical="center" textRotation="0" wrapText="false" indent="0" shrinkToFit="false"/>
      <protection locked="true" hidden="false"/>
    </xf>
    <xf numFmtId="165" fontId="6" fillId="0" borderId="19" xfId="0" applyFont="true" applyBorder="true" applyAlignment="true" applyProtection="true">
      <alignment horizontal="right" vertical="center" textRotation="0" wrapText="false" indent="0" shrinkToFit="false"/>
      <protection locked="true" hidden="false"/>
    </xf>
    <xf numFmtId="164" fontId="6" fillId="5" borderId="12" xfId="0" applyFont="true" applyBorder="true" applyAlignment="true" applyProtection="true">
      <alignment horizontal="left" vertical="center" textRotation="0" wrapText="false" indent="1" shrinkToFit="false"/>
      <protection locked="false" hidden="false"/>
    </xf>
    <xf numFmtId="165" fontId="6" fillId="20" borderId="12" xfId="0" applyFont="true" applyBorder="true" applyAlignment="true" applyProtection="true">
      <alignment horizontal="right" vertical="center" textRotation="0" wrapText="false" indent="0" shrinkToFit="false"/>
      <protection locked="true" hidden="false"/>
    </xf>
    <xf numFmtId="174" fontId="6" fillId="5" borderId="12" xfId="0" applyFont="true" applyBorder="true" applyAlignment="true" applyProtection="true">
      <alignment horizontal="right" vertical="center" textRotation="0" wrapText="false" indent="0" shrinkToFit="false"/>
      <protection locked="false" hidden="false"/>
    </xf>
    <xf numFmtId="164" fontId="51" fillId="11" borderId="52" xfId="0" applyFont="true" applyBorder="true" applyAlignment="true" applyProtection="true">
      <alignment horizontal="left" vertical="center" textRotation="0" wrapText="false" indent="1" shrinkToFit="false"/>
      <protection locked="true" hidden="false"/>
    </xf>
    <xf numFmtId="164" fontId="51" fillId="21" borderId="19" xfId="0" applyFont="true" applyBorder="true" applyAlignment="true" applyProtection="true">
      <alignment horizontal="left" vertical="center" textRotation="0" wrapText="false" indent="1" shrinkToFit="false"/>
      <protection locked="true" hidden="false"/>
    </xf>
    <xf numFmtId="174" fontId="52" fillId="9" borderId="0" xfId="0" applyFont="true" applyBorder="true" applyAlignment="true" applyProtection="true">
      <alignment horizontal="general" vertical="center" textRotation="0" wrapText="false" indent="0" shrinkToFit="false"/>
      <protection locked="true" hidden="false"/>
    </xf>
    <xf numFmtId="165" fontId="48" fillId="0" borderId="0" xfId="46" applyFont="true" applyBorder="true" applyAlignment="true" applyProtection="true">
      <alignment horizontal="center" vertical="center" textRotation="0" wrapText="true" indent="0" shrinkToFit="false"/>
      <protection locked="true" hidden="false"/>
    </xf>
    <xf numFmtId="171" fontId="6" fillId="7" borderId="13" xfId="0" applyFont="true" applyBorder="true" applyAlignment="true" applyProtection="true">
      <alignment horizontal="left" vertical="top" textRotation="0" wrapText="true" indent="1" shrinkToFit="false"/>
      <protection locked="true" hidden="false"/>
    </xf>
    <xf numFmtId="171" fontId="6" fillId="0" borderId="12" xfId="0" applyFont="true" applyBorder="true" applyAlignment="true" applyProtection="true">
      <alignment horizontal="left" vertical="top" textRotation="0" wrapText="true" indent="0" shrinkToFit="false"/>
      <protection locked="true" hidden="false"/>
    </xf>
    <xf numFmtId="176" fontId="6" fillId="8" borderId="13" xfId="0" applyFont="true" applyBorder="true" applyAlignment="true" applyProtection="true">
      <alignment horizontal="general" vertical="center" textRotation="0" wrapText="true" indent="0" shrinkToFit="false"/>
      <protection locked="false" hidden="false"/>
    </xf>
    <xf numFmtId="174" fontId="6" fillId="7" borderId="13" xfId="0" applyFont="true" applyBorder="true" applyAlignment="true" applyProtection="true">
      <alignment horizontal="right" vertical="center" textRotation="0" wrapText="true" indent="0" shrinkToFit="false"/>
      <protection locked="true" hidden="false"/>
    </xf>
    <xf numFmtId="165" fontId="22" fillId="0" borderId="12" xfId="0" applyFont="true" applyBorder="true" applyAlignment="true" applyProtection="true">
      <alignment horizontal="general" vertical="top" textRotation="0" wrapText="true" indent="0" shrinkToFit="false"/>
      <protection locked="true" hidden="false"/>
    </xf>
    <xf numFmtId="171" fontId="0" fillId="0" borderId="12" xfId="0" applyFont="true" applyBorder="true" applyAlignment="true" applyProtection="true">
      <alignment horizontal="general" vertical="center" textRotation="0" wrapText="true" indent="0" shrinkToFit="false"/>
      <protection locked="true" hidden="false"/>
    </xf>
    <xf numFmtId="171" fontId="0" fillId="0" borderId="12" xfId="0" applyFont="true" applyBorder="true" applyAlignment="true" applyProtection="true">
      <alignment horizontal="left" vertical="center" textRotation="0" wrapText="true" indent="1" shrinkToFit="false"/>
      <protection locked="true" hidden="false"/>
    </xf>
    <xf numFmtId="165" fontId="0" fillId="8" borderId="12" xfId="0" applyFont="true" applyBorder="true" applyAlignment="true" applyProtection="true">
      <alignment horizontal="left" vertical="center" textRotation="0" wrapText="true" indent="2" shrinkToFit="false"/>
      <protection locked="false" hidden="false"/>
    </xf>
    <xf numFmtId="164" fontId="89" fillId="11" borderId="10" xfId="0" applyFont="true" applyBorder="true" applyAlignment="true" applyProtection="true">
      <alignment horizontal="center" vertical="top" textRotation="0" wrapText="false" indent="0" shrinkToFit="false"/>
      <protection locked="true" hidden="false"/>
    </xf>
    <xf numFmtId="164" fontId="63" fillId="0" borderId="12" xfId="0" applyFont="true" applyBorder="true" applyAlignment="true" applyProtection="true">
      <alignment horizontal="center" vertical="center" textRotation="0" wrapText="true" indent="0" shrinkToFit="false"/>
      <protection locked="true" hidden="false"/>
    </xf>
    <xf numFmtId="165" fontId="63" fillId="0" borderId="12" xfId="0" applyFont="true" applyBorder="true" applyAlignment="true" applyProtection="true">
      <alignment horizontal="left" vertical="center" textRotation="0" wrapText="true" indent="2" shrinkToFit="false"/>
      <protection locked="true" hidden="false"/>
    </xf>
    <xf numFmtId="164" fontId="96" fillId="0" borderId="13" xfId="0" applyFont="true" applyBorder="true" applyAlignment="true" applyProtection="true">
      <alignment horizontal="left" vertical="center" textRotation="0" wrapText="true" indent="0" shrinkToFit="false"/>
      <protection locked="true" hidden="false"/>
    </xf>
    <xf numFmtId="165" fontId="6" fillId="0" borderId="25" xfId="0" applyFont="true" applyBorder="true" applyAlignment="true" applyProtection="true">
      <alignment horizontal="general" vertical="top" textRotation="0" wrapText="true" indent="0" shrinkToFit="false"/>
      <protection locked="true" hidden="false"/>
    </xf>
    <xf numFmtId="165" fontId="0" fillId="8" borderId="12" xfId="0" applyFont="true" applyBorder="true" applyAlignment="true" applyProtection="true">
      <alignment horizontal="left" vertical="center" textRotation="0" wrapText="true" indent="0" shrinkToFit="false"/>
      <protection locked="false" hidden="false"/>
    </xf>
    <xf numFmtId="165" fontId="0" fillId="0" borderId="12" xfId="0" applyFont="true" applyBorder="true" applyAlignment="true" applyProtection="true">
      <alignment horizontal="left" vertical="center" textRotation="0" wrapText="true" indent="2" shrinkToFit="false"/>
      <protection locked="true" hidden="false"/>
    </xf>
    <xf numFmtId="173" fontId="0" fillId="8" borderId="12" xfId="0" applyFont="true" applyBorder="true" applyAlignment="true" applyProtection="true">
      <alignment horizontal="left" vertical="center" textRotation="0" wrapText="true" indent="0" shrinkToFit="false"/>
      <protection locked="false" hidden="false"/>
    </xf>
    <xf numFmtId="171" fontId="6" fillId="0" borderId="0" xfId="0" applyFont="true" applyBorder="true" applyAlignment="true" applyProtection="true">
      <alignment horizontal="left" vertical="top" textRotation="0" wrapText="true" indent="0" shrinkToFit="false"/>
      <protection locked="true" hidden="false"/>
    </xf>
    <xf numFmtId="173" fontId="0" fillId="8" borderId="19" xfId="0" applyFont="true" applyBorder="true" applyAlignment="true" applyProtection="true">
      <alignment horizontal="left" vertical="center" textRotation="0" wrapText="true" indent="0" shrinkToFit="false"/>
      <protection locked="false" hidden="false"/>
    </xf>
    <xf numFmtId="173" fontId="0" fillId="8" borderId="13" xfId="0" applyFont="true" applyBorder="true" applyAlignment="true" applyProtection="true">
      <alignment horizontal="left" vertical="center" textRotation="0" wrapText="true" indent="0" shrinkToFit="false"/>
      <protection locked="false" hidden="false"/>
    </xf>
    <xf numFmtId="165" fontId="0" fillId="0" borderId="30" xfId="0" applyFont="true" applyBorder="true" applyAlignment="true" applyProtection="true">
      <alignment horizontal="center" vertical="center" textRotation="0" wrapText="true" indent="0" shrinkToFit="false"/>
      <protection locked="true" hidden="false"/>
    </xf>
    <xf numFmtId="171" fontId="6" fillId="0" borderId="10" xfId="0" applyFont="true" applyBorder="true" applyAlignment="true" applyProtection="true">
      <alignment horizontal="left" vertical="top" textRotation="0" wrapText="true" indent="1" shrinkToFit="false"/>
      <protection locked="true" hidden="false"/>
    </xf>
    <xf numFmtId="171" fontId="0" fillId="9" borderId="13" xfId="0" applyFont="true" applyBorder="true" applyAlignment="true" applyProtection="true">
      <alignment horizontal="right" vertical="center" textRotation="0" wrapText="true" indent="1" shrinkToFit="false"/>
      <protection locked="true" hidden="false"/>
    </xf>
    <xf numFmtId="164" fontId="48" fillId="9" borderId="14" xfId="0" applyFont="true" applyBorder="true" applyAlignment="true" applyProtection="true">
      <alignment horizontal="center" vertical="center" textRotation="0" wrapText="true" indent="0" shrinkToFit="false"/>
      <protection locked="true" hidden="false"/>
    </xf>
    <xf numFmtId="164" fontId="0" fillId="9" borderId="25" xfId="0" applyFont="true" applyBorder="true" applyAlignment="true" applyProtection="true">
      <alignment horizontal="center" vertical="center" textRotation="0" wrapText="true" indent="0" shrinkToFit="false"/>
      <protection locked="true" hidden="false"/>
    </xf>
    <xf numFmtId="171" fontId="0" fillId="0" borderId="25" xfId="0" applyFont="true" applyBorder="true" applyAlignment="true" applyProtection="true">
      <alignment horizontal="left" vertical="center" textRotation="0" wrapText="true" indent="0" shrinkToFit="false"/>
      <protection locked="true" hidden="false"/>
    </xf>
    <xf numFmtId="165" fontId="74" fillId="9" borderId="0" xfId="0" applyFont="true" applyBorder="true" applyAlignment="true" applyProtection="true">
      <alignment horizontal="center" vertical="top" textRotation="0" wrapText="true" indent="0" shrinkToFit="false"/>
      <protection locked="true" hidden="false"/>
    </xf>
    <xf numFmtId="171" fontId="0" fillId="7" borderId="13" xfId="0" applyFont="true" applyBorder="true" applyAlignment="true" applyProtection="true">
      <alignment horizontal="left" vertical="center" textRotation="0" wrapText="true" indent="1" shrinkToFit="false"/>
      <protection locked="true" hidden="false"/>
    </xf>
    <xf numFmtId="171" fontId="6" fillId="0" borderId="25" xfId="0" applyFont="true" applyBorder="true" applyAlignment="true" applyProtection="true">
      <alignment horizontal="left" vertical="top" textRotation="0" wrapText="true" indent="0" shrinkToFit="false"/>
      <protection locked="true" hidden="false"/>
    </xf>
    <xf numFmtId="164" fontId="51" fillId="11" borderId="21" xfId="0" applyFont="true" applyBorder="true" applyAlignment="true" applyProtection="true">
      <alignment horizontal="left" vertical="center" textRotation="0" wrapText="false" indent="2" shrinkToFit="false"/>
      <protection locked="true" hidden="false"/>
    </xf>
    <xf numFmtId="165" fontId="74" fillId="9" borderId="17" xfId="0" applyFont="true" applyBorder="true" applyAlignment="true" applyProtection="true">
      <alignment horizontal="center" vertical="top" textRotation="0" wrapText="true" indent="0" shrinkToFit="false"/>
      <protection locked="true" hidden="false"/>
    </xf>
    <xf numFmtId="164" fontId="0" fillId="9" borderId="18" xfId="0" applyFont="true" applyBorder="true" applyAlignment="true" applyProtection="true">
      <alignment horizontal="center" vertical="center" textRotation="0" wrapText="true" indent="0" shrinkToFit="false"/>
      <protection locked="true" hidden="false"/>
    </xf>
    <xf numFmtId="171" fontId="0" fillId="7" borderId="18" xfId="0" applyFont="true" applyBorder="true" applyAlignment="true" applyProtection="true">
      <alignment horizontal="left" vertical="center" textRotation="0" wrapText="true" indent="1" shrinkToFit="false"/>
      <protection locked="true" hidden="false"/>
    </xf>
    <xf numFmtId="171" fontId="0" fillId="0" borderId="12" xfId="0" applyFont="true" applyBorder="true" applyAlignment="true" applyProtection="true">
      <alignment horizontal="left" vertical="center" textRotation="0" wrapText="true" indent="0" shrinkToFit="false"/>
      <protection locked="true" hidden="false"/>
    </xf>
    <xf numFmtId="164" fontId="0" fillId="9" borderId="13" xfId="0" applyFont="true" applyBorder="true" applyAlignment="true" applyProtection="true">
      <alignment horizontal="center" vertical="center" textRotation="0" wrapText="true" indent="0" shrinkToFit="false"/>
      <protection locked="true" hidden="false"/>
    </xf>
    <xf numFmtId="165" fontId="6" fillId="0" borderId="30" xfId="0" applyFont="true" applyBorder="true" applyAlignment="true" applyProtection="true">
      <alignment horizontal="left" vertical="top" textRotation="0" wrapText="true" indent="0" shrinkToFit="false"/>
      <protection locked="true" hidden="false"/>
    </xf>
    <xf numFmtId="164" fontId="6" fillId="0" borderId="14" xfId="0" applyFont="true" applyBorder="true" applyAlignment="true" applyProtection="true">
      <alignment horizontal="general" vertical="top" textRotation="0" wrapText="false" indent="0" shrinkToFit="false"/>
      <protection locked="true" hidden="false"/>
    </xf>
    <xf numFmtId="165" fontId="17" fillId="0" borderId="0" xfId="0" applyFont="true" applyBorder="true" applyAlignment="true" applyProtection="true">
      <alignment horizontal="right" vertical="top" textRotation="0" wrapText="true" indent="0" shrinkToFit="false"/>
      <protection locked="true" hidden="false"/>
    </xf>
    <xf numFmtId="165" fontId="6" fillId="0" borderId="25" xfId="0" applyFont="true" applyBorder="true" applyAlignment="true" applyProtection="true">
      <alignment horizontal="left" vertical="top" textRotation="0" wrapText="true" indent="0" shrinkToFit="false"/>
      <protection locked="true" hidden="false"/>
    </xf>
    <xf numFmtId="171" fontId="6" fillId="0" borderId="18" xfId="0" applyFont="true" applyBorder="true" applyAlignment="true" applyProtection="true">
      <alignment horizontal="left" vertical="top" textRotation="0" wrapText="true" indent="0" shrinkToFit="false"/>
      <protection locked="true" hidden="false"/>
    </xf>
    <xf numFmtId="165" fontId="6" fillId="0" borderId="14" xfId="0" applyFont="true" applyBorder="true" applyAlignment="true" applyProtection="true">
      <alignment horizontal="left" vertical="top" textRotation="0" wrapText="true" indent="0" shrinkToFit="false"/>
      <protection locked="true" hidden="false"/>
    </xf>
    <xf numFmtId="176" fontId="6" fillId="0" borderId="13" xfId="0" applyFont="true" applyBorder="true" applyAlignment="true" applyProtection="true">
      <alignment horizontal="general" vertical="center" textRotation="0" wrapText="true" indent="0" shrinkToFit="false"/>
      <protection locked="true" hidden="false"/>
    </xf>
    <xf numFmtId="174" fontId="6" fillId="0" borderId="13" xfId="0" applyFont="true" applyBorder="true" applyAlignment="true" applyProtection="true">
      <alignment horizontal="right" vertical="center" textRotation="0" wrapText="true" indent="0" shrinkToFit="false"/>
      <protection locked="true" hidden="false"/>
    </xf>
    <xf numFmtId="165" fontId="33" fillId="0" borderId="0" xfId="0" applyFont="true" applyBorder="true" applyAlignment="true" applyProtection="true">
      <alignment horizontal="general" vertical="center" textRotation="0" wrapText="true" indent="0" shrinkToFit="false"/>
      <protection locked="true" hidden="false"/>
    </xf>
    <xf numFmtId="164" fontId="0" fillId="0" borderId="0" xfId="0" applyFont="true" applyBorder="true" applyAlignment="true" applyProtection="true">
      <alignment horizontal="general" vertical="center" textRotation="0" wrapText="true" indent="0" shrinkToFit="false"/>
      <protection locked="true" hidden="false"/>
    </xf>
    <xf numFmtId="164" fontId="22" fillId="17" borderId="0" xfId="0" applyFont="true" applyBorder="true" applyAlignment="true" applyProtection="true">
      <alignment horizontal="center" vertical="center" textRotation="0" wrapText="false" indent="0" shrinkToFit="false"/>
      <protection locked="true" hidden="false"/>
    </xf>
    <xf numFmtId="164" fontId="22" fillId="17" borderId="0" xfId="0" applyFont="true" applyBorder="true" applyAlignment="true" applyProtection="true">
      <alignment horizontal="center" vertical="center" textRotation="0" wrapText="true" indent="0" shrinkToFit="false"/>
      <protection locked="true" hidden="false"/>
    </xf>
    <xf numFmtId="164" fontId="6" fillId="0" borderId="12" xfId="0" applyFont="true" applyBorder="true" applyAlignment="true" applyProtection="true">
      <alignment horizontal="center" vertical="top" textRotation="0" wrapText="false" indent="0" shrinkToFit="false"/>
      <protection locked="true" hidden="false"/>
    </xf>
    <xf numFmtId="164" fontId="6" fillId="0" borderId="0" xfId="0" applyFont="true" applyBorder="true" applyAlignment="true" applyProtection="true">
      <alignment horizontal="center" vertical="top" textRotation="0" wrapText="false" indent="0" shrinkToFit="false"/>
      <protection locked="true" hidden="false"/>
    </xf>
    <xf numFmtId="165" fontId="0" fillId="16" borderId="12" xfId="0" applyFont="true" applyBorder="true" applyAlignment="true" applyProtection="true">
      <alignment horizontal="center" vertical="center" textRotation="0" wrapText="false" indent="0" shrinkToFit="false"/>
      <protection locked="true" hidden="false"/>
    </xf>
    <xf numFmtId="164" fontId="22" fillId="17" borderId="12" xfId="0" applyFont="true" applyBorder="true" applyAlignment="true" applyProtection="true">
      <alignment horizontal="center" vertical="center" textRotation="0" wrapText="false" indent="0" shrinkToFit="false"/>
      <protection locked="true" hidden="false"/>
    </xf>
    <xf numFmtId="164" fontId="22" fillId="18" borderId="12" xfId="0" applyFont="true" applyBorder="true" applyAlignment="true" applyProtection="true">
      <alignment horizontal="center" vertical="center" textRotation="0" wrapText="false" indent="0" shrinkToFit="false"/>
      <protection locked="true" hidden="false"/>
    </xf>
    <xf numFmtId="164" fontId="0" fillId="19" borderId="12" xfId="0" applyFont="true" applyBorder="true" applyAlignment="true" applyProtection="true">
      <alignment horizontal="center" vertical="center" textRotation="0" wrapText="false" indent="0" shrinkToFit="false"/>
      <protection locked="true" hidden="false"/>
    </xf>
    <xf numFmtId="165" fontId="6" fillId="0" borderId="12" xfId="0" applyFont="true" applyBorder="true" applyAlignment="true" applyProtection="true">
      <alignment horizontal="general" vertical="center" textRotation="0" wrapText="false" indent="0" shrinkToFit="false"/>
      <protection locked="true" hidden="false"/>
    </xf>
    <xf numFmtId="165" fontId="0" fillId="0" borderId="12" xfId="0" applyFont="true" applyBorder="true" applyAlignment="true" applyProtection="true">
      <alignment horizontal="general" vertical="center" textRotation="0" wrapText="false" indent="0" shrinkToFit="false"/>
      <protection locked="true" hidden="false"/>
    </xf>
    <xf numFmtId="165" fontId="0" fillId="0" borderId="13" xfId="0" applyFont="true" applyBorder="true" applyAlignment="true" applyProtection="true">
      <alignment horizontal="general" vertical="center" textRotation="0" wrapText="false" indent="0" shrinkToFit="false"/>
      <protection locked="true" hidden="false"/>
    </xf>
    <xf numFmtId="165" fontId="6" fillId="0" borderId="13" xfId="0" applyFont="true" applyBorder="true" applyAlignment="true" applyProtection="true">
      <alignment horizontal="left" vertical="center" textRotation="0" wrapText="false" indent="0" shrinkToFit="false"/>
      <protection locked="true" hidden="false"/>
    </xf>
    <xf numFmtId="164" fontId="6" fillId="0" borderId="53" xfId="0" applyFont="true" applyBorder="true" applyAlignment="true" applyProtection="true">
      <alignment horizontal="general" vertical="center" textRotation="0" wrapText="false" indent="0" shrinkToFit="false"/>
      <protection locked="true" hidden="false"/>
    </xf>
    <xf numFmtId="164" fontId="6" fillId="0" borderId="54" xfId="0" applyFont="true" applyBorder="true" applyAlignment="true" applyProtection="true">
      <alignment horizontal="general" vertical="top" textRotation="0" wrapText="false" indent="0" shrinkToFit="false"/>
      <protection locked="true" hidden="false"/>
    </xf>
    <xf numFmtId="164" fontId="6" fillId="0" borderId="55" xfId="0" applyFont="true" applyBorder="true" applyAlignment="true" applyProtection="true">
      <alignment horizontal="general" vertical="top" textRotation="0" wrapText="false" indent="0" shrinkToFit="false"/>
      <protection locked="true" hidden="false"/>
    </xf>
    <xf numFmtId="165" fontId="0" fillId="0" borderId="19" xfId="0" applyFont="true" applyBorder="true" applyAlignment="true" applyProtection="true">
      <alignment horizontal="general" vertical="center" textRotation="0" wrapText="false" indent="0" shrinkToFit="false"/>
      <protection locked="true" hidden="false"/>
    </xf>
    <xf numFmtId="165" fontId="0" fillId="0" borderId="12" xfId="0" applyFont="true" applyBorder="true" applyAlignment="true" applyProtection="true">
      <alignment horizontal="right" vertical="top" textRotation="0" wrapText="false" indent="0" shrinkToFit="false"/>
      <protection locked="true" hidden="false"/>
    </xf>
    <xf numFmtId="165" fontId="0" fillId="0" borderId="12" xfId="0" applyFont="true" applyBorder="true" applyAlignment="true" applyProtection="true">
      <alignment horizontal="general" vertical="top" textRotation="0" wrapText="false" indent="0" shrinkToFit="false"/>
      <protection locked="true" hidden="false"/>
    </xf>
    <xf numFmtId="165" fontId="6" fillId="0" borderId="19" xfId="0" applyFont="true" applyBorder="true" applyAlignment="true" applyProtection="true">
      <alignment horizontal="general" vertical="center" textRotation="0" wrapText="false" indent="0" shrinkToFit="false"/>
      <protection locked="true" hidden="false"/>
    </xf>
    <xf numFmtId="164" fontId="6" fillId="0" borderId="12" xfId="0" applyFont="true" applyBorder="true" applyAlignment="true" applyProtection="true">
      <alignment horizontal="general" vertical="center" textRotation="0" wrapText="false" indent="0" shrinkToFit="false"/>
      <protection locked="true" hidden="false"/>
    </xf>
    <xf numFmtId="165" fontId="6" fillId="0" borderId="12" xfId="0" applyFont="true" applyBorder="true" applyAlignment="true" applyProtection="true">
      <alignment horizontal="general" vertical="top" textRotation="0" wrapText="false" indent="0" shrinkToFit="false"/>
      <protection locked="true" hidden="false"/>
    </xf>
    <xf numFmtId="165" fontId="0" fillId="22" borderId="0" xfId="0" applyFont="true" applyBorder="true" applyAlignment="true" applyProtection="true">
      <alignment horizontal="right" vertical="center" textRotation="0" wrapText="false" indent="0" shrinkToFit="false"/>
      <protection locked="true" hidden="false"/>
    </xf>
    <xf numFmtId="165" fontId="0" fillId="22" borderId="0" xfId="0" applyFont="true" applyBorder="true" applyAlignment="true" applyProtection="true">
      <alignment horizontal="left" vertical="center" textRotation="0" wrapText="false" indent="0" shrinkToFit="false"/>
      <protection locked="true" hidden="false"/>
    </xf>
    <xf numFmtId="165" fontId="0" fillId="0" borderId="0" xfId="0" applyFont="true" applyBorder="true" applyAlignment="true" applyProtection="true">
      <alignment horizontal="right" vertical="top" textRotation="0" wrapText="false" indent="0" shrinkToFit="false"/>
      <protection locked="true" hidden="false"/>
    </xf>
    <xf numFmtId="164" fontId="6" fillId="0" borderId="13" xfId="0" applyFont="true" applyBorder="true" applyAlignment="true" applyProtection="true">
      <alignment horizontal="general" vertical="top" textRotation="0" wrapText="false" indent="0" shrinkToFit="false"/>
      <protection locked="true" hidden="false"/>
    </xf>
    <xf numFmtId="165" fontId="0" fillId="0" borderId="0" xfId="0" applyFont="true" applyBorder="true" applyAlignment="true" applyProtection="true">
      <alignment horizontal="left" vertical="center" textRotation="0" wrapText="false" indent="0" shrinkToFit="false"/>
      <protection locked="true" hidden="false"/>
    </xf>
    <xf numFmtId="165" fontId="49" fillId="22" borderId="0" xfId="0" applyFont="true" applyBorder="true" applyAlignment="true" applyProtection="true">
      <alignment horizontal="left" vertical="center" textRotation="0" wrapText="false" indent="0" shrinkToFit="false"/>
      <protection locked="true" hidden="false"/>
    </xf>
    <xf numFmtId="165" fontId="49" fillId="0" borderId="0" xfId="0" applyFont="true" applyBorder="true" applyAlignment="true" applyProtection="true">
      <alignment horizontal="left" vertical="center" textRotation="0" wrapText="false" indent="0" shrinkToFit="false"/>
      <protection locked="true" hidden="false"/>
    </xf>
    <xf numFmtId="164" fontId="0" fillId="0" borderId="13" xfId="0" applyFont="true" applyBorder="true" applyAlignment="true" applyProtection="true">
      <alignment horizontal="general" vertical="top" textRotation="0" wrapText="false" indent="0" shrinkToFit="false"/>
      <protection locked="true" hidden="false"/>
    </xf>
    <xf numFmtId="164" fontId="6" fillId="0" borderId="12" xfId="0" applyFont="true" applyBorder="true" applyAlignment="true" applyProtection="true">
      <alignment horizontal="right" vertical="top" textRotation="0" wrapText="false" indent="0" shrinkToFit="false"/>
      <protection locked="true" hidden="false"/>
    </xf>
    <xf numFmtId="165" fontId="0" fillId="0" borderId="13" xfId="0" applyFont="true" applyBorder="true" applyAlignment="true" applyProtection="true">
      <alignment horizontal="left" vertical="center" textRotation="0" wrapText="false" indent="0" shrinkToFit="false"/>
      <protection locked="true" hidden="false"/>
    </xf>
    <xf numFmtId="164" fontId="6" fillId="0" borderId="25" xfId="0" applyFont="true" applyBorder="true" applyAlignment="true" applyProtection="true">
      <alignment horizontal="right" vertical="top" textRotation="0" wrapText="false" indent="0" shrinkToFit="false"/>
      <protection locked="true" hidden="false"/>
    </xf>
    <xf numFmtId="165" fontId="0" fillId="0" borderId="25" xfId="0" applyFont="true" applyBorder="true" applyAlignment="true" applyProtection="true">
      <alignment horizontal="general" vertical="top" textRotation="0" wrapText="false" indent="0" shrinkToFit="false"/>
      <protection locked="true" hidden="false"/>
    </xf>
    <xf numFmtId="165" fontId="6" fillId="0" borderId="25" xfId="0" applyFont="true" applyBorder="true" applyAlignment="true" applyProtection="true">
      <alignment horizontal="general" vertical="center" textRotation="0" wrapText="false" indent="0" shrinkToFit="false"/>
      <protection locked="true" hidden="false"/>
    </xf>
    <xf numFmtId="164" fontId="6" fillId="0" borderId="37" xfId="0" applyFont="true" applyBorder="true" applyAlignment="true" applyProtection="true">
      <alignment horizontal="center" vertical="center" textRotation="0" wrapText="false" indent="0" shrinkToFit="false"/>
      <protection locked="true" hidden="false"/>
    </xf>
    <xf numFmtId="164" fontId="6" fillId="0" borderId="12" xfId="0" applyFont="true" applyBorder="true" applyAlignment="true" applyProtection="true">
      <alignment horizontal="right" vertical="center" textRotation="0" wrapText="false" indent="0" shrinkToFit="false"/>
      <protection locked="true" hidden="false"/>
    </xf>
    <xf numFmtId="164" fontId="6" fillId="0" borderId="12" xfId="0" applyFont="true" applyBorder="true" applyAlignment="true" applyProtection="true">
      <alignment horizontal="general" vertical="top" textRotation="0" wrapText="false" indent="0" shrinkToFit="false"/>
      <protection locked="true" hidden="false"/>
    </xf>
    <xf numFmtId="165" fontId="6" fillId="22" borderId="0" xfId="0" applyFont="true" applyBorder="true" applyAlignment="true" applyProtection="true">
      <alignment horizontal="left" vertical="center" textRotation="0" wrapText="false" indent="0" shrinkToFit="false"/>
      <protection locked="true" hidden="false"/>
    </xf>
    <xf numFmtId="165" fontId="0" fillId="22" borderId="56" xfId="0" applyFont="true" applyBorder="true" applyAlignment="true" applyProtection="true">
      <alignment horizontal="center" vertical="bottom" textRotation="0" wrapText="false" indent="0" shrinkToFit="false"/>
      <protection locked="true" hidden="false"/>
    </xf>
    <xf numFmtId="164" fontId="97" fillId="0" borderId="55" xfId="0" applyFont="true" applyBorder="true" applyAlignment="true" applyProtection="true">
      <alignment horizontal="general" vertical="top" textRotation="0" wrapText="false" indent="0" shrinkToFit="false"/>
      <protection locked="true" hidden="false"/>
    </xf>
    <xf numFmtId="164" fontId="52" fillId="13" borderId="0" xfId="0" applyFont="true" applyBorder="true" applyAlignment="true" applyProtection="true">
      <alignment horizontal="general" vertical="center" textRotation="0" wrapText="true" indent="0" shrinkToFit="false"/>
      <protection locked="true" hidden="false"/>
    </xf>
    <xf numFmtId="165" fontId="0" fillId="0" borderId="56" xfId="0" applyFont="true" applyBorder="true" applyAlignment="true" applyProtection="true">
      <alignment horizontal="center" vertical="bottom" textRotation="0" wrapText="false" indent="0" shrinkToFit="false"/>
      <protection locked="true" hidden="false"/>
    </xf>
    <xf numFmtId="164" fontId="6" fillId="22" borderId="0" xfId="0" applyFont="true" applyBorder="true" applyAlignment="true" applyProtection="true">
      <alignment horizontal="center" vertical="center" textRotation="0" wrapText="false" indent="0" shrinkToFit="false"/>
      <protection locked="true" hidden="false"/>
    </xf>
    <xf numFmtId="164" fontId="0" fillId="5" borderId="37" xfId="0" applyFont="true" applyBorder="true" applyAlignment="true" applyProtection="true">
      <alignment horizontal="left" vertical="center" textRotation="0" wrapText="false" indent="0" shrinkToFit="false"/>
      <protection locked="false" hidden="false"/>
    </xf>
    <xf numFmtId="164" fontId="0" fillId="0" borderId="37" xfId="0" applyFont="true" applyBorder="true" applyAlignment="true" applyProtection="true">
      <alignment horizontal="right" vertical="center" textRotation="0" wrapText="false" indent="0" shrinkToFit="false"/>
      <protection locked="true" hidden="false"/>
    </xf>
    <xf numFmtId="171" fontId="0" fillId="7" borderId="37" xfId="0" applyFont="true" applyBorder="true" applyAlignment="true" applyProtection="true">
      <alignment horizontal="center" vertical="center" textRotation="0" wrapText="false" indent="0" shrinkToFit="false"/>
      <protection locked="true" hidden="false"/>
    </xf>
    <xf numFmtId="164" fontId="0" fillId="0" borderId="37"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true" applyAlignment="true" applyProtection="true">
      <alignment horizontal="left" vertical="center" textRotation="0" wrapText="false" indent="0" shrinkToFit="false"/>
      <protection locked="true" hidden="false"/>
    </xf>
    <xf numFmtId="165" fontId="0" fillId="0" borderId="0" xfId="0" applyFont="true" applyBorder="true" applyAlignment="true" applyProtection="true">
      <alignment horizontal="center" vertical="center" textRotation="0" wrapText="false" indent="0" shrinkToFit="false"/>
      <protection locked="true" hidden="false"/>
    </xf>
    <xf numFmtId="165" fontId="15" fillId="0" borderId="57" xfId="0" applyFont="true" applyBorder="true" applyAlignment="true" applyProtection="true">
      <alignment horizontal="center" vertical="center" textRotation="0" wrapText="false" indent="0" shrinkToFit="false"/>
      <protection locked="true" hidden="false"/>
    </xf>
    <xf numFmtId="165" fontId="0" fillId="0" borderId="57" xfId="0" applyFont="true" applyBorder="true" applyAlignment="true" applyProtection="true">
      <alignment horizontal="center" vertical="center" textRotation="0" wrapText="false" indent="0" shrinkToFit="false"/>
      <protection locked="true" hidden="false"/>
    </xf>
    <xf numFmtId="164" fontId="22" fillId="17" borderId="12" xfId="0" applyFont="true" applyBorder="true" applyAlignment="true" applyProtection="true">
      <alignment horizontal="right" vertical="center" textRotation="0" wrapText="false" indent="0" shrinkToFit="false"/>
      <protection locked="true" hidden="false"/>
    </xf>
    <xf numFmtId="164" fontId="6" fillId="5" borderId="22" xfId="0" applyFont="true" applyBorder="true" applyAlignment="true" applyProtection="true">
      <alignment horizontal="general" vertical="top" textRotation="0" wrapText="false" indent="0" shrinkToFit="false"/>
      <protection locked="false" hidden="false"/>
    </xf>
    <xf numFmtId="165" fontId="0" fillId="20" borderId="12" xfId="0" applyFont="true" applyBorder="true" applyAlignment="true" applyProtection="true">
      <alignment horizontal="right" vertical="center" textRotation="0" wrapText="false" indent="0" shrinkToFit="false"/>
      <protection locked="true" hidden="false"/>
    </xf>
    <xf numFmtId="164" fontId="6" fillId="20" borderId="18" xfId="0" applyFont="true" applyBorder="true" applyAlignment="true" applyProtection="true">
      <alignment horizontal="general" vertical="top" textRotation="0" wrapText="false" indent="0" shrinkToFit="false"/>
      <protection locked="true" hidden="false"/>
    </xf>
    <xf numFmtId="164" fontId="6" fillId="20" borderId="12" xfId="0" applyFont="true" applyBorder="true" applyAlignment="true" applyProtection="true">
      <alignment horizontal="general" vertical="top" textRotation="0" wrapText="false" indent="0" shrinkToFit="false"/>
      <protection locked="true" hidden="false"/>
    </xf>
    <xf numFmtId="164" fontId="6" fillId="0" borderId="13" xfId="0" applyFont="true" applyBorder="true" applyAlignment="true" applyProtection="true">
      <alignment horizontal="center" vertical="top" textRotation="0" wrapText="false" indent="0" shrinkToFit="false"/>
      <protection locked="true" hidden="false"/>
    </xf>
    <xf numFmtId="164" fontId="6" fillId="0" borderId="19" xfId="0" applyFont="true" applyBorder="true" applyAlignment="true" applyProtection="true">
      <alignment horizontal="center" vertical="top" textRotation="0" wrapText="false" indent="0" shrinkToFit="false"/>
      <protection locked="true" hidden="false"/>
    </xf>
    <xf numFmtId="171" fontId="6" fillId="7" borderId="28" xfId="0" applyFont="true" applyBorder="true" applyAlignment="true" applyProtection="true">
      <alignment horizontal="center" vertical="top" textRotation="0" wrapText="false" indent="0" shrinkToFit="false"/>
      <protection locked="true" hidden="false"/>
    </xf>
    <xf numFmtId="171" fontId="6" fillId="7" borderId="28" xfId="0" applyFont="true" applyBorder="true" applyAlignment="true" applyProtection="true">
      <alignment horizontal="left" vertical="top" textRotation="0" wrapText="false" indent="0" shrinkToFit="false"/>
      <protection locked="true" hidden="false"/>
    </xf>
    <xf numFmtId="171" fontId="0" fillId="0" borderId="35" xfId="0" applyFont="true" applyBorder="true" applyAlignment="true" applyProtection="true">
      <alignment horizontal="center" vertical="center" textRotation="0" wrapText="false" indent="0" shrinkToFit="false"/>
      <protection locked="true" hidden="false"/>
    </xf>
    <xf numFmtId="171" fontId="0" fillId="0" borderId="40" xfId="0" applyFont="true" applyBorder="true" applyAlignment="true" applyProtection="true">
      <alignment horizontal="center" vertical="center" textRotation="0" wrapText="false" indent="0" shrinkToFit="false"/>
      <protection locked="true" hidden="false"/>
    </xf>
    <xf numFmtId="171" fontId="6" fillId="0" borderId="12" xfId="0" applyFont="true" applyBorder="true" applyAlignment="true" applyProtection="true">
      <alignment horizontal="left" vertical="top" textRotation="0" wrapText="false" indent="0" shrinkToFit="false"/>
      <protection locked="true" hidden="false"/>
    </xf>
    <xf numFmtId="164" fontId="6" fillId="0" borderId="0" xfId="0" applyFont="true" applyBorder="true" applyAlignment="true" applyProtection="true">
      <alignment horizontal="left" vertical="top" textRotation="0" wrapText="false" indent="0" shrinkToFit="false"/>
      <protection locked="true" hidden="false"/>
    </xf>
    <xf numFmtId="171" fontId="0" fillId="0" borderId="38" xfId="0" applyFont="true" applyBorder="true" applyAlignment="true" applyProtection="true">
      <alignment horizontal="center" vertical="center" textRotation="0" wrapText="false" indent="0" shrinkToFit="false"/>
      <protection locked="true" hidden="false"/>
    </xf>
    <xf numFmtId="164" fontId="22" fillId="17" borderId="13" xfId="0" applyFont="true" applyBorder="true" applyAlignment="true" applyProtection="true">
      <alignment horizontal="right" vertical="center" textRotation="0" wrapText="false" indent="0" shrinkToFit="false"/>
      <protection locked="true" hidden="false"/>
    </xf>
    <xf numFmtId="165" fontId="0" fillId="22" borderId="0" xfId="0" applyFont="true" applyBorder="true" applyAlignment="true" applyProtection="true">
      <alignment horizontal="left" vertical="center" textRotation="0" wrapText="true" indent="0" shrinkToFit="false"/>
      <protection locked="true" hidden="false"/>
    </xf>
    <xf numFmtId="165" fontId="0" fillId="22" borderId="0" xfId="0" applyFont="true" applyBorder="true" applyAlignment="true" applyProtection="true">
      <alignment horizontal="right" vertical="top" textRotation="0" wrapText="true" indent="0" shrinkToFit="false"/>
      <protection locked="true" hidden="false"/>
    </xf>
    <xf numFmtId="164" fontId="6" fillId="9" borderId="12" xfId="0" applyFont="true" applyBorder="true" applyAlignment="true" applyProtection="true">
      <alignment horizontal="center" vertical="center" textRotation="0" wrapText="false" indent="0" shrinkToFit="false"/>
      <protection locked="true" hidden="false"/>
    </xf>
    <xf numFmtId="165" fontId="22" fillId="9" borderId="0" xfId="0" applyFont="true" applyBorder="true" applyAlignment="true" applyProtection="true">
      <alignment horizontal="general" vertical="bottom" textRotation="0" wrapText="false" indent="0" shrinkToFit="false"/>
      <protection locked="true" hidden="false"/>
    </xf>
    <xf numFmtId="165" fontId="78" fillId="9" borderId="0" xfId="0" applyFont="true" applyBorder="true" applyAlignment="true" applyProtection="true">
      <alignment horizontal="general" vertical="bottom" textRotation="0" wrapText="false" indent="0" shrinkToFit="false"/>
      <protection locked="true" hidden="false"/>
    </xf>
    <xf numFmtId="165" fontId="24" fillId="9" borderId="0" xfId="0" applyFont="true" applyBorder="true" applyAlignment="true" applyProtection="true">
      <alignment horizontal="center" vertical="center" textRotation="0" wrapText="true" indent="0" shrinkToFit="false"/>
      <protection locked="true" hidden="false"/>
    </xf>
    <xf numFmtId="165" fontId="0" fillId="9" borderId="12" xfId="0" applyFont="true" applyBorder="true" applyAlignment="true" applyProtection="true">
      <alignment horizontal="left" vertical="top" textRotation="0" wrapText="true" indent="0" shrinkToFit="false"/>
      <protection locked="true" hidden="false"/>
    </xf>
    <xf numFmtId="165" fontId="44" fillId="9" borderId="0" xfId="0" applyFont="true" applyBorder="true" applyAlignment="true" applyProtection="true">
      <alignment horizontal="general" vertical="center" textRotation="0" wrapText="true" indent="0" shrinkToFit="false"/>
      <protection locked="true" hidden="false"/>
    </xf>
    <xf numFmtId="165" fontId="24" fillId="9" borderId="12" xfId="0" applyFont="true" applyBorder="true" applyAlignment="true" applyProtection="true">
      <alignment horizontal="center" vertical="center" textRotation="0" wrapText="false" indent="0" shrinkToFit="false"/>
      <protection locked="true" hidden="false"/>
    </xf>
    <xf numFmtId="165" fontId="63" fillId="9" borderId="0" xfId="0" applyFont="true" applyBorder="true" applyAlignment="true" applyProtection="true">
      <alignment horizontal="general" vertical="bottom" textRotation="0" wrapText="false" indent="0" shrinkToFit="false"/>
      <protection locked="true" hidden="false"/>
    </xf>
    <xf numFmtId="165" fontId="82" fillId="9" borderId="0" xfId="0" applyFont="true" applyBorder="true" applyAlignment="true" applyProtection="true">
      <alignment horizontal="general" vertical="bottom" textRotation="0" wrapText="false" indent="0" shrinkToFit="false"/>
      <protection locked="true" hidden="false"/>
    </xf>
    <xf numFmtId="164" fontId="33" fillId="5" borderId="18" xfId="0" applyFont="true" applyBorder="true" applyAlignment="true" applyProtection="true">
      <alignment horizontal="left" vertical="center" textRotation="0" wrapText="true" indent="0" shrinkToFit="false"/>
      <protection locked="false" hidden="false"/>
    </xf>
    <xf numFmtId="171" fontId="6" fillId="9" borderId="12" xfId="0" applyFont="true" applyBorder="true" applyAlignment="true" applyProtection="true">
      <alignment horizontal="general" vertical="top" textRotation="0" wrapText="true" indent="0" shrinkToFit="false"/>
      <protection locked="true" hidden="false"/>
    </xf>
    <xf numFmtId="172" fontId="6" fillId="8" borderId="13" xfId="0" applyFont="true" applyBorder="true" applyAlignment="true" applyProtection="true">
      <alignment horizontal="left" vertical="center" textRotation="0" wrapText="true" indent="1" shrinkToFit="false"/>
      <protection locked="false" hidden="false"/>
    </xf>
    <xf numFmtId="165" fontId="22" fillId="0" borderId="30" xfId="0" applyFont="true" applyBorder="true" applyAlignment="true" applyProtection="true">
      <alignment horizontal="left" vertical="center" textRotation="0" wrapText="true" indent="1" shrinkToFit="false"/>
      <protection locked="true" hidden="false"/>
    </xf>
    <xf numFmtId="165" fontId="98" fillId="0" borderId="0" xfId="0" applyFont="true" applyBorder="true" applyAlignment="true" applyProtection="true">
      <alignment horizontal="general" vertical="center" textRotation="0" wrapText="false" indent="0" shrinkToFit="false"/>
      <protection locked="true" hidden="false"/>
    </xf>
    <xf numFmtId="175" fontId="6" fillId="0" borderId="22" xfId="0" applyFont="true" applyBorder="true" applyAlignment="true" applyProtection="true">
      <alignment horizontal="center" vertical="center" textRotation="0" wrapText="true" indent="0" shrinkToFit="false"/>
      <protection locked="true" hidden="false"/>
    </xf>
    <xf numFmtId="175" fontId="6" fillId="0" borderId="25" xfId="0" applyFont="true" applyBorder="true" applyAlignment="true" applyProtection="true">
      <alignment horizontal="center" vertical="center" textRotation="0" wrapText="true" indent="0" shrinkToFit="false"/>
      <protection locked="true" hidden="false"/>
    </xf>
    <xf numFmtId="172" fontId="6" fillId="10" borderId="12" xfId="0" applyFont="true" applyBorder="true" applyAlignment="true" applyProtection="true">
      <alignment horizontal="left" vertical="center" textRotation="0" wrapText="true" indent="0" shrinkToFit="false"/>
      <protection locked="true" hidden="false"/>
    </xf>
    <xf numFmtId="172" fontId="6" fillId="8" borderId="12" xfId="0" applyFont="true" applyBorder="true" applyAlignment="true" applyProtection="true">
      <alignment horizontal="left" vertical="center" textRotation="0" wrapText="true" indent="1" shrinkToFit="false"/>
      <protection locked="false" hidden="false"/>
    </xf>
    <xf numFmtId="164" fontId="29" fillId="11" borderId="28" xfId="0" applyFont="true" applyBorder="true" applyAlignment="true" applyProtection="true">
      <alignment horizontal="right" vertical="center" textRotation="0" wrapText="true" indent="0" shrinkToFit="false"/>
      <protection locked="true" hidden="false"/>
    </xf>
    <xf numFmtId="164" fontId="0" fillId="11" borderId="21" xfId="0" applyFont="true" applyBorder="true" applyAlignment="true" applyProtection="true">
      <alignment horizontal="right" vertical="center" textRotation="0" wrapText="true" indent="0" shrinkToFit="false"/>
      <protection locked="true" hidden="false"/>
    </xf>
    <xf numFmtId="164" fontId="0" fillId="11" borderId="29" xfId="0" applyFont="true" applyBorder="true" applyAlignment="true" applyProtection="true">
      <alignment horizontal="right" vertical="center" textRotation="0" wrapText="true" indent="0" shrinkToFit="false"/>
      <protection locked="true" hidden="false"/>
    </xf>
    <xf numFmtId="165" fontId="98" fillId="0" borderId="0" xfId="0" applyFont="true" applyBorder="true" applyAlignment="true" applyProtection="true">
      <alignment horizontal="general" vertical="center" textRotation="0" wrapText="true" indent="0" shrinkToFit="false"/>
      <protection locked="true" hidden="false"/>
    </xf>
    <xf numFmtId="173" fontId="0" fillId="8" borderId="10" xfId="0" applyFont="true" applyBorder="true" applyAlignment="true" applyProtection="true">
      <alignment horizontal="left" vertical="center" textRotation="0" wrapText="true" indent="1" shrinkToFit="false"/>
      <protection locked="false" hidden="false"/>
    </xf>
    <xf numFmtId="179" fontId="6" fillId="8" borderId="12" xfId="0" applyFont="true" applyBorder="true" applyAlignment="true" applyProtection="true">
      <alignment horizontal="left" vertical="center" textRotation="0" wrapText="true" indent="1" shrinkToFit="false"/>
      <protection locked="false" hidden="false"/>
    </xf>
    <xf numFmtId="173" fontId="24" fillId="0" borderId="0" xfId="0" applyFont="true" applyBorder="true" applyAlignment="true" applyProtection="true">
      <alignment horizontal="center" vertical="center" textRotation="0" wrapText="true" indent="0" shrinkToFit="false"/>
      <protection locked="true" hidden="false"/>
    </xf>
    <xf numFmtId="175" fontId="6" fillId="0" borderId="18" xfId="0" applyFont="true" applyBorder="true" applyAlignment="true" applyProtection="true">
      <alignment horizontal="center" vertical="center" textRotation="0" wrapText="true" indent="0" shrinkToFit="false"/>
      <protection locked="true" hidden="false"/>
    </xf>
    <xf numFmtId="171" fontId="6" fillId="7" borderId="18" xfId="0" applyFont="true" applyBorder="true" applyAlignment="true" applyProtection="true">
      <alignment horizontal="left" vertical="center" textRotation="0" wrapText="true" indent="1" shrinkToFit="false"/>
      <protection locked="true" hidden="false"/>
    </xf>
    <xf numFmtId="172" fontId="6" fillId="8" borderId="18" xfId="0" applyFont="true" applyBorder="true" applyAlignment="true" applyProtection="true">
      <alignment horizontal="left" vertical="center" textRotation="0" wrapText="true" indent="1" shrinkToFit="false"/>
      <protection locked="false" hidden="false"/>
    </xf>
    <xf numFmtId="171" fontId="6" fillId="0" borderId="19" xfId="0" applyFont="true" applyBorder="true" applyAlignment="true" applyProtection="true">
      <alignment horizontal="left" vertical="top" textRotation="0" wrapText="true" indent="0" shrinkToFit="false"/>
      <protection locked="true" hidden="false"/>
    </xf>
    <xf numFmtId="171" fontId="6" fillId="0" borderId="18" xfId="0" applyFont="true" applyBorder="true" applyAlignment="true" applyProtection="true">
      <alignment horizontal="left" vertical="center" textRotation="0" wrapText="true" indent="1" shrinkToFit="false"/>
      <protection locked="true" hidden="false"/>
    </xf>
    <xf numFmtId="172" fontId="6" fillId="0" borderId="18" xfId="0" applyFont="true" applyBorder="true" applyAlignment="true" applyProtection="true">
      <alignment horizontal="left" vertical="center" textRotation="0" wrapText="true" indent="1" shrinkToFit="false"/>
      <protection locked="true" hidden="false"/>
    </xf>
    <xf numFmtId="164" fontId="33" fillId="11" borderId="21" xfId="0" applyFont="true" applyBorder="true" applyAlignment="true" applyProtection="true">
      <alignment horizontal="left" vertical="center" textRotation="0" wrapText="true" indent="0" shrinkToFit="false"/>
      <protection locked="true" hidden="false"/>
    </xf>
    <xf numFmtId="164" fontId="33" fillId="11" borderId="29" xfId="0" applyFont="true" applyBorder="true" applyAlignment="true" applyProtection="true">
      <alignment horizontal="left" vertical="center" textRotation="0" wrapText="true" indent="0" shrinkToFit="false"/>
      <protection locked="true" hidden="false"/>
    </xf>
    <xf numFmtId="165" fontId="6" fillId="9" borderId="30" xfId="0" applyFont="true" applyBorder="true" applyAlignment="true" applyProtection="true">
      <alignment horizontal="general" vertical="center" textRotation="0" wrapText="true" indent="0" shrinkToFit="false"/>
      <protection locked="true" hidden="false"/>
    </xf>
    <xf numFmtId="165" fontId="24" fillId="0" borderId="21" xfId="0" applyFont="true" applyBorder="true" applyAlignment="true" applyProtection="true">
      <alignment horizontal="center" vertical="center" textRotation="0" wrapText="true" indent="0" shrinkToFit="false"/>
      <protection locked="true" hidden="false"/>
    </xf>
    <xf numFmtId="165" fontId="6" fillId="9" borderId="16" xfId="0" applyFont="true" applyBorder="true" applyAlignment="true" applyProtection="true">
      <alignment horizontal="general" vertical="center" textRotation="0" wrapText="true" indent="0" shrinkToFit="false"/>
      <protection locked="true" hidden="false"/>
    </xf>
    <xf numFmtId="165" fontId="48" fillId="0" borderId="12" xfId="46" applyFont="true" applyBorder="true" applyAlignment="true" applyProtection="true">
      <alignment horizontal="center" vertical="center" textRotation="0" wrapText="true" indent="0" shrinkToFit="false"/>
      <protection locked="true" hidden="false"/>
    </xf>
    <xf numFmtId="171" fontId="6" fillId="0" borderId="10" xfId="0" applyFont="true" applyBorder="true" applyAlignment="true" applyProtection="true">
      <alignment horizontal="left" vertical="center" textRotation="0" wrapText="true" indent="0" shrinkToFit="false"/>
      <protection locked="true" hidden="false"/>
    </xf>
    <xf numFmtId="175" fontId="52" fillId="0" borderId="14" xfId="0" applyFont="true" applyBorder="true" applyAlignment="true" applyProtection="true">
      <alignment horizontal="center" vertical="center" textRotation="0" wrapText="true" indent="0" shrinkToFit="false"/>
      <protection locked="true" hidden="false"/>
    </xf>
    <xf numFmtId="175" fontId="52" fillId="0" borderId="15" xfId="0" applyFont="true" applyBorder="true" applyAlignment="true" applyProtection="true">
      <alignment horizontal="center" vertical="center" textRotation="0" wrapText="true" indent="0" shrinkToFit="false"/>
      <protection locked="true" hidden="false"/>
    </xf>
    <xf numFmtId="165" fontId="47" fillId="0" borderId="0" xfId="0" applyFont="true" applyBorder="true" applyAlignment="true" applyProtection="true">
      <alignment horizontal="center" vertical="center" textRotation="0" wrapText="true" indent="0" shrinkToFit="false"/>
      <protection locked="true" hidden="false"/>
    </xf>
    <xf numFmtId="171" fontId="6" fillId="7" borderId="29" xfId="0" applyFont="true" applyBorder="true" applyAlignment="true" applyProtection="true">
      <alignment horizontal="left" vertical="center" textRotation="0" wrapText="true" indent="0" shrinkToFit="false"/>
      <protection locked="true" hidden="false"/>
    </xf>
    <xf numFmtId="164" fontId="6" fillId="10" borderId="28" xfId="0" applyFont="true" applyBorder="true" applyAlignment="true" applyProtection="true">
      <alignment horizontal="left" vertical="center" textRotation="0" wrapText="true" indent="0" shrinkToFit="false"/>
      <protection locked="true" hidden="false"/>
    </xf>
    <xf numFmtId="164" fontId="6" fillId="8" borderId="21" xfId="0" applyFont="true" applyBorder="true" applyAlignment="true" applyProtection="true">
      <alignment horizontal="left" vertical="center" textRotation="0" wrapText="true" indent="0" shrinkToFit="false"/>
      <protection locked="false" hidden="false"/>
    </xf>
    <xf numFmtId="164" fontId="6" fillId="8" borderId="28" xfId="0" applyFont="true" applyBorder="true" applyAlignment="true" applyProtection="true">
      <alignment horizontal="left" vertical="center" textRotation="0" wrapText="true" indent="0" shrinkToFit="false"/>
      <protection locked="false" hidden="false"/>
    </xf>
    <xf numFmtId="164" fontId="6" fillId="0" borderId="12" xfId="0" applyFont="true" applyBorder="true" applyAlignment="true" applyProtection="true">
      <alignment horizontal="left" vertical="top" textRotation="0" wrapText="true" indent="0" shrinkToFit="false"/>
      <protection locked="true" hidden="false"/>
    </xf>
    <xf numFmtId="164" fontId="42" fillId="0" borderId="0" xfId="0" applyFont="true" applyBorder="true" applyAlignment="true" applyProtection="true">
      <alignment horizontal="center" vertical="center" textRotation="0" wrapText="false" indent="0" shrinkToFit="false"/>
      <protection locked="true" hidden="false"/>
    </xf>
    <xf numFmtId="165" fontId="30" fillId="9" borderId="0" xfId="0" applyFont="true" applyBorder="true" applyAlignment="true" applyProtection="true">
      <alignment horizontal="center" vertical="center" textRotation="0" wrapText="true" indent="0" shrinkToFit="false"/>
      <protection locked="true" hidden="false"/>
    </xf>
    <xf numFmtId="165" fontId="24" fillId="0" borderId="0" xfId="0" applyFont="true" applyBorder="true" applyAlignment="true" applyProtection="true">
      <alignment horizontal="general" vertical="top" textRotation="0" wrapText="false" indent="0" shrinkToFit="false"/>
      <protection locked="true" hidden="false"/>
    </xf>
    <xf numFmtId="164" fontId="95" fillId="0" borderId="0" xfId="0" applyFont="true" applyBorder="true" applyAlignment="true" applyProtection="true">
      <alignment horizontal="left" vertical="top" textRotation="0" wrapText="true" indent="0" shrinkToFit="false"/>
      <protection locked="true" hidden="false"/>
    </xf>
    <xf numFmtId="165" fontId="6" fillId="0" borderId="0" xfId="0" applyFont="true" applyBorder="true" applyAlignment="true" applyProtection="true">
      <alignment horizontal="general" vertical="bottom" textRotation="0" wrapText="false" indent="0" shrinkToFit="false"/>
      <protection locked="true" hidden="false"/>
    </xf>
    <xf numFmtId="165" fontId="42" fillId="0" borderId="0" xfId="0" applyFont="true" applyBorder="true" applyAlignment="true" applyProtection="true">
      <alignment horizontal="center" vertical="center" textRotation="0" wrapText="false" indent="0" shrinkToFit="false"/>
      <protection locked="true" hidden="false"/>
    </xf>
    <xf numFmtId="165" fontId="42" fillId="9" borderId="0" xfId="0" applyFont="true" applyBorder="true" applyAlignment="true" applyProtection="true">
      <alignment horizontal="center" vertical="center" textRotation="0" wrapText="false" indent="0" shrinkToFit="false"/>
      <protection locked="true" hidden="false"/>
    </xf>
    <xf numFmtId="165" fontId="6" fillId="0" borderId="10" xfId="0" applyFont="true" applyBorder="true" applyAlignment="true" applyProtection="true">
      <alignment horizontal="left" vertical="center" textRotation="0" wrapText="true" indent="1" shrinkToFit="false"/>
      <protection locked="true" hidden="false"/>
    </xf>
    <xf numFmtId="165" fontId="62" fillId="0" borderId="0" xfId="0" applyFont="true" applyBorder="true" applyAlignment="true" applyProtection="true">
      <alignment horizontal="general" vertical="bottom" textRotation="0" wrapText="false" indent="0" shrinkToFit="false"/>
      <protection locked="true" hidden="false"/>
    </xf>
    <xf numFmtId="165" fontId="6" fillId="9" borderId="25" xfId="0" applyFont="true" applyBorder="true" applyAlignment="true" applyProtection="true">
      <alignment horizontal="center" vertical="center" textRotation="0" wrapText="false" indent="0" shrinkToFit="false"/>
      <protection locked="true" hidden="false"/>
    </xf>
    <xf numFmtId="164" fontId="6" fillId="0" borderId="25" xfId="0" applyFont="true" applyBorder="true" applyAlignment="true" applyProtection="true">
      <alignment horizontal="left" vertical="center" textRotation="0" wrapText="true" indent="0" shrinkToFit="false"/>
      <protection locked="true" hidden="false"/>
    </xf>
    <xf numFmtId="164" fontId="51" fillId="11" borderId="19" xfId="0" applyFont="true" applyBorder="true" applyAlignment="true" applyProtection="true">
      <alignment horizontal="left" vertical="center" textRotation="0" wrapText="false" indent="0" shrinkToFit="false"/>
      <protection locked="true" hidden="false"/>
    </xf>
    <xf numFmtId="164" fontId="52" fillId="0" borderId="0" xfId="0" applyFont="true" applyBorder="true" applyAlignment="true" applyProtection="true">
      <alignment horizontal="right" vertical="top" textRotation="0" wrapText="false" indent="0" shrinkToFit="false"/>
      <protection locked="true" hidden="false"/>
    </xf>
    <xf numFmtId="164" fontId="6" fillId="0" borderId="0" xfId="0" applyFont="true" applyBorder="true" applyAlignment="true" applyProtection="true">
      <alignment horizontal="left" vertical="top" textRotation="0" wrapText="true" indent="0" shrinkToFit="false"/>
      <protection locked="true" hidden="false"/>
    </xf>
    <xf numFmtId="164" fontId="0" fillId="0" borderId="10" xfId="0" applyFont="true" applyBorder="true" applyAlignment="true" applyProtection="true">
      <alignment horizontal="left" vertical="center" textRotation="0" wrapText="false" indent="1" shrinkToFit="false"/>
      <protection locked="true" hidden="false"/>
    </xf>
    <xf numFmtId="164" fontId="69" fillId="0" borderId="0" xfId="0" applyFont="true" applyBorder="true" applyAlignment="true" applyProtection="true">
      <alignment horizontal="general" vertical="top" textRotation="0" wrapText="false" indent="0" shrinkToFit="false"/>
      <protection locked="true" hidden="false"/>
    </xf>
    <xf numFmtId="164" fontId="0" fillId="0" borderId="58" xfId="0" applyFont="true" applyBorder="true" applyAlignment="true" applyProtection="true">
      <alignment horizontal="center" vertical="center" textRotation="0" wrapText="false" indent="0" shrinkToFit="false"/>
      <protection locked="true" hidden="false"/>
    </xf>
    <xf numFmtId="164" fontId="0" fillId="23" borderId="0" xfId="0" applyFont="true" applyBorder="true" applyAlignment="true" applyProtection="true">
      <alignment horizontal="general" vertical="top" textRotation="0" wrapText="false" indent="0" shrinkToFit="false"/>
      <protection locked="true" hidden="false"/>
    </xf>
    <xf numFmtId="165" fontId="42" fillId="9" borderId="0" xfId="0" applyFont="true" applyBorder="true" applyAlignment="true" applyProtection="true">
      <alignment horizontal="center" vertical="bottom" textRotation="0" wrapText="false" indent="0" shrinkToFit="false"/>
      <protection locked="true" hidden="false"/>
    </xf>
    <xf numFmtId="172" fontId="6" fillId="10" borderId="12" xfId="0" applyFont="true" applyBorder="true" applyAlignment="true" applyProtection="true">
      <alignment horizontal="left" vertical="center" textRotation="0" wrapText="true" indent="1" shrinkToFit="false"/>
      <protection locked="true" hidden="false"/>
    </xf>
    <xf numFmtId="164" fontId="6" fillId="7" borderId="12" xfId="0" applyFont="true" applyBorder="true" applyAlignment="true" applyProtection="true">
      <alignment horizontal="center" vertical="center" textRotation="0" wrapText="true" indent="0" shrinkToFit="false"/>
      <protection locked="true" hidden="false"/>
    </xf>
    <xf numFmtId="164" fontId="70" fillId="23" borderId="0" xfId="0" applyFont="true" applyBorder="true" applyAlignment="true" applyProtection="true">
      <alignment horizontal="general" vertical="top" textRotation="0" wrapText="false" indent="0" shrinkToFit="false"/>
      <protection locked="true" hidden="false"/>
    </xf>
    <xf numFmtId="164" fontId="70" fillId="0" borderId="0" xfId="0" applyFont="true" applyBorder="true" applyAlignment="true" applyProtection="true">
      <alignment horizontal="general" vertical="top" textRotation="0" wrapText="false" indent="0" shrinkToFit="false"/>
      <protection locked="true" hidden="false"/>
    </xf>
    <xf numFmtId="164" fontId="0" fillId="0" borderId="12" xfId="0" applyFont="true" applyBorder="true" applyAlignment="true" applyProtection="true">
      <alignment horizontal="general" vertical="top" textRotation="0" wrapText="false" indent="0" shrinkToFit="false"/>
      <protection locked="true" hidden="false"/>
    </xf>
    <xf numFmtId="165" fontId="6" fillId="9" borderId="0" xfId="0" applyFont="true" applyBorder="true" applyAlignment="true" applyProtection="true">
      <alignment horizontal="center" vertical="top" textRotation="0" wrapText="true" indent="0" shrinkToFit="false"/>
      <protection locked="true" hidden="false"/>
    </xf>
    <xf numFmtId="165" fontId="24" fillId="9" borderId="12" xfId="0" applyFont="true" applyBorder="true" applyAlignment="true" applyProtection="true">
      <alignment horizontal="center" vertical="center" textRotation="0" wrapText="true" indent="0" shrinkToFit="false"/>
      <protection locked="true" hidden="false"/>
    </xf>
    <xf numFmtId="172" fontId="6" fillId="10" borderId="29" xfId="0" applyFont="true" applyBorder="true" applyAlignment="true" applyProtection="true">
      <alignment horizontal="left" vertical="center" textRotation="0" wrapText="true" indent="0" shrinkToFit="false"/>
      <protection locked="true" hidden="false"/>
    </xf>
    <xf numFmtId="164" fontId="99" fillId="8" borderId="12" xfId="0" applyFont="true" applyBorder="true" applyAlignment="true" applyProtection="true">
      <alignment horizontal="left" vertical="center" textRotation="0" wrapText="true" indent="0" shrinkToFit="false"/>
      <protection locked="false" hidden="false"/>
    </xf>
    <xf numFmtId="164" fontId="0" fillId="8" borderId="12" xfId="0" applyFont="true" applyBorder="true" applyAlignment="true" applyProtection="true">
      <alignment horizontal="center" vertical="center" textRotation="0" wrapText="true" indent="0" shrinkToFit="false"/>
      <protection locked="false" hidden="false"/>
    </xf>
    <xf numFmtId="165" fontId="0" fillId="8" borderId="13" xfId="0" applyFont="true" applyBorder="true" applyAlignment="true" applyProtection="true">
      <alignment horizontal="left" vertical="center" textRotation="0" wrapText="true" indent="2" shrinkToFit="false"/>
      <protection locked="false" hidden="false"/>
    </xf>
    <xf numFmtId="165" fontId="42" fillId="0" borderId="17" xfId="0" applyFont="true" applyBorder="true" applyAlignment="true" applyProtection="true">
      <alignment horizontal="center"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1" shrinkToFit="false"/>
      <protection locked="false" hidden="false"/>
    </xf>
    <xf numFmtId="165" fontId="6" fillId="0" borderId="17" xfId="0" applyFont="true" applyBorder="true" applyAlignment="true" applyProtection="true">
      <alignment horizontal="general" vertical="top" textRotation="0" wrapText="true" indent="0" shrinkToFit="false"/>
      <protection locked="true" hidden="false"/>
    </xf>
    <xf numFmtId="164" fontId="6" fillId="0" borderId="30" xfId="0" applyFont="true" applyBorder="true" applyAlignment="true" applyProtection="true">
      <alignment horizontal="center" vertical="top" textRotation="0" wrapText="true" indent="0" shrinkToFit="false"/>
      <protection locked="true" hidden="false"/>
    </xf>
    <xf numFmtId="165" fontId="0" fillId="7" borderId="30" xfId="0" applyFont="true" applyBorder="true" applyAlignment="true" applyProtection="true">
      <alignment horizontal="left" vertical="top" textRotation="0" wrapText="true" indent="1" shrinkToFit="false"/>
      <protection locked="true" hidden="false"/>
    </xf>
    <xf numFmtId="164" fontId="6" fillId="10" borderId="30" xfId="0" applyFont="true" applyBorder="true" applyAlignment="true" applyProtection="true">
      <alignment horizontal="center" vertical="top" textRotation="0" wrapText="true" indent="0" shrinkToFit="false"/>
      <protection locked="true" hidden="false"/>
    </xf>
    <xf numFmtId="164" fontId="0" fillId="8" borderId="30" xfId="0" applyFont="true" applyBorder="true" applyAlignment="true" applyProtection="true">
      <alignment horizontal="center" vertical="top" textRotation="0" wrapText="true" indent="0" shrinkToFit="false"/>
      <protection locked="false" hidden="false"/>
    </xf>
    <xf numFmtId="164" fontId="0" fillId="5" borderId="30" xfId="0" applyFont="true" applyBorder="true" applyAlignment="true" applyProtection="true">
      <alignment horizontal="center" vertical="top" textRotation="0" wrapText="true" indent="0" shrinkToFit="false"/>
      <protection locked="false" hidden="false"/>
    </xf>
    <xf numFmtId="164" fontId="6" fillId="10" borderId="30" xfId="0" applyFont="true" applyBorder="true" applyAlignment="true" applyProtection="true">
      <alignment horizontal="left" vertical="top" textRotation="0" wrapText="true" indent="0" shrinkToFit="false"/>
      <protection locked="true" hidden="false"/>
    </xf>
    <xf numFmtId="164" fontId="6" fillId="8" borderId="30" xfId="0" applyFont="true" applyBorder="true" applyAlignment="true" applyProtection="true">
      <alignment horizontal="left" vertical="top" textRotation="0" wrapText="true" indent="0" shrinkToFit="false"/>
      <protection locked="false" hidden="false"/>
    </xf>
    <xf numFmtId="164" fontId="0" fillId="7" borderId="30" xfId="0" applyFont="true" applyBorder="true" applyAlignment="true" applyProtection="true">
      <alignment horizontal="center" vertical="top" textRotation="0" wrapText="true" indent="0" shrinkToFit="false"/>
      <protection locked="true" hidden="false"/>
    </xf>
    <xf numFmtId="165" fontId="6" fillId="7" borderId="30" xfId="0" applyFont="true" applyBorder="true" applyAlignment="true" applyProtection="true">
      <alignment horizontal="center" vertical="top" textRotation="0" wrapText="true" indent="0" shrinkToFit="false"/>
      <protection locked="true" hidden="false"/>
    </xf>
    <xf numFmtId="165" fontId="6" fillId="5" borderId="30" xfId="0" applyFont="true" applyBorder="true" applyAlignment="true" applyProtection="true">
      <alignment horizontal="left" vertical="top" textRotation="0" wrapText="true" indent="0" shrinkToFit="false"/>
      <protection locked="false" hidden="false"/>
    </xf>
    <xf numFmtId="164" fontId="0" fillId="7" borderId="30" xfId="0" applyFont="true" applyBorder="true" applyAlignment="true" applyProtection="true">
      <alignment horizontal="general" vertical="top" textRotation="0" wrapText="false" indent="0" shrinkToFit="false"/>
      <protection locked="true" hidden="false"/>
    </xf>
    <xf numFmtId="164" fontId="0" fillId="0" borderId="30" xfId="0" applyFont="true" applyBorder="true" applyAlignment="true" applyProtection="true">
      <alignment horizontal="general" vertical="top" textRotation="0" wrapText="false" indent="0" shrinkToFit="false"/>
      <protection locked="true" hidden="false"/>
    </xf>
    <xf numFmtId="164" fontId="6" fillId="10" borderId="25" xfId="0" applyFont="true" applyBorder="true" applyAlignment="true" applyProtection="true">
      <alignment horizontal="general" vertical="center" textRotation="0" wrapText="true" indent="0" shrinkToFit="false"/>
      <protection locked="true" hidden="false"/>
    </xf>
    <xf numFmtId="164" fontId="0" fillId="8" borderId="30" xfId="0" applyFont="true" applyBorder="true" applyAlignment="true" applyProtection="true">
      <alignment horizontal="general" vertical="top" textRotation="0" wrapText="false" indent="0" shrinkToFit="false"/>
      <protection locked="false" hidden="false"/>
    </xf>
    <xf numFmtId="164" fontId="0" fillId="8" borderId="25" xfId="0" applyFont="true" applyBorder="true" applyAlignment="true" applyProtection="true">
      <alignment horizontal="general" vertical="top" textRotation="0" wrapText="false" indent="0" shrinkToFit="false"/>
      <protection locked="false" hidden="false"/>
    </xf>
    <xf numFmtId="172" fontId="6" fillId="10" borderId="30" xfId="0" applyFont="true" applyBorder="true" applyAlignment="true" applyProtection="true">
      <alignment horizontal="left" vertical="center" textRotation="0" wrapText="true" indent="1" shrinkToFit="false"/>
      <protection locked="true" hidden="false"/>
    </xf>
    <xf numFmtId="172" fontId="6" fillId="10" borderId="16" xfId="0" applyFont="true" applyBorder="true" applyAlignment="true" applyProtection="true">
      <alignment horizontal="left" vertical="center" textRotation="0" wrapText="true" indent="1" shrinkToFit="false"/>
      <protection locked="true" hidden="false"/>
    </xf>
    <xf numFmtId="164" fontId="6" fillId="10" borderId="30" xfId="0" applyFont="true" applyBorder="true" applyAlignment="true" applyProtection="true">
      <alignment horizontal="general" vertical="center" textRotation="0" wrapText="true" indent="0" shrinkToFit="false"/>
      <protection locked="true" hidden="false"/>
    </xf>
    <xf numFmtId="164" fontId="6" fillId="10" borderId="18" xfId="0" applyFont="true" applyBorder="true" applyAlignment="true" applyProtection="true">
      <alignment horizontal="general" vertical="center" textRotation="0" wrapText="true" indent="0" shrinkToFit="false"/>
      <protection locked="true" hidden="false"/>
    </xf>
    <xf numFmtId="164" fontId="0" fillId="8" borderId="18" xfId="0" applyFont="true" applyBorder="true" applyAlignment="true" applyProtection="true">
      <alignment horizontal="general" vertical="top" textRotation="0" wrapText="false" indent="0" shrinkToFit="false"/>
      <protection locked="false" hidden="false"/>
    </xf>
    <xf numFmtId="164" fontId="94" fillId="0" borderId="30" xfId="0" applyFont="true" applyBorder="true" applyAlignment="true" applyProtection="true">
      <alignment horizontal="center" vertical="top" textRotation="0" wrapText="true" indent="0" shrinkToFit="false"/>
      <protection locked="true" hidden="false"/>
    </xf>
    <xf numFmtId="164" fontId="0" fillId="0" borderId="14" xfId="0" applyFont="true" applyBorder="true" applyAlignment="true" applyProtection="true">
      <alignment horizontal="general" vertical="top" textRotation="0" wrapText="false" indent="0" shrinkToFit="false"/>
      <protection locked="true" hidden="false"/>
    </xf>
    <xf numFmtId="164" fontId="42" fillId="0" borderId="12" xfId="0" applyFont="true" applyBorder="true" applyAlignment="true" applyProtection="true">
      <alignment horizontal="center" vertical="top" textRotation="0" wrapText="true" indent="0" shrinkToFit="false"/>
      <protection locked="true" hidden="false"/>
    </xf>
    <xf numFmtId="164" fontId="6" fillId="8" borderId="13" xfId="0" applyFont="true" applyBorder="true" applyAlignment="true" applyProtection="true">
      <alignment horizontal="left" vertical="center" textRotation="0" wrapText="true" indent="1" shrinkToFit="false"/>
      <protection locked="false" hidden="false"/>
    </xf>
    <xf numFmtId="164" fontId="0" fillId="0" borderId="19" xfId="0" applyFont="true" applyBorder="true" applyAlignment="true" applyProtection="true">
      <alignment horizontal="center" vertical="center" textRotation="0" wrapText="true" indent="0" shrinkToFit="false"/>
      <protection locked="true" hidden="false"/>
    </xf>
    <xf numFmtId="164" fontId="0" fillId="8" borderId="13" xfId="0" applyFont="true" applyBorder="true" applyAlignment="true" applyProtection="true">
      <alignment horizontal="left" vertical="center" textRotation="0" wrapText="true" indent="0" shrinkToFit="false"/>
      <protection locked="false" hidden="false"/>
    </xf>
    <xf numFmtId="164" fontId="0" fillId="0" borderId="29" xfId="0" applyFont="true" applyBorder="true" applyAlignment="true" applyProtection="true">
      <alignment horizontal="center" vertical="center" textRotation="0" wrapText="true" indent="0" shrinkToFit="false"/>
      <protection locked="true" hidden="false"/>
    </xf>
    <xf numFmtId="164" fontId="0" fillId="11" borderId="28" xfId="0" applyFont="true" applyBorder="true" applyAlignment="true" applyProtection="true">
      <alignment horizontal="center" vertical="center" textRotation="0" wrapText="false" indent="0" shrinkToFit="false"/>
      <protection locked="true" hidden="false"/>
    </xf>
    <xf numFmtId="164" fontId="0" fillId="11" borderId="10" xfId="0" applyFont="true" applyBorder="true" applyAlignment="true" applyProtection="true">
      <alignment horizontal="center" vertical="center" textRotation="0" wrapText="false" indent="0" shrinkToFit="false"/>
      <protection locked="true" hidden="false"/>
    </xf>
    <xf numFmtId="164" fontId="0" fillId="0" borderId="16" xfId="0" applyFont="true" applyBorder="true" applyAlignment="true" applyProtection="true">
      <alignment horizontal="general" vertical="top" textRotation="0" wrapText="false" indent="0" shrinkToFit="false"/>
      <protection locked="true" hidden="false"/>
    </xf>
    <xf numFmtId="164" fontId="0" fillId="0" borderId="17" xfId="0" applyFont="true" applyBorder="true" applyAlignment="true" applyProtection="true">
      <alignment horizontal="general" vertical="top" textRotation="0" wrapText="false" indent="0" shrinkToFit="false"/>
      <protection locked="true" hidden="false"/>
    </xf>
    <xf numFmtId="164" fontId="0" fillId="0" borderId="0" xfId="0" applyFont="true" applyBorder="true" applyAlignment="true" applyProtection="true">
      <alignment horizontal="left" vertical="top" textRotation="0" wrapText="false" indent="0" shrinkToFit="false"/>
      <protection locked="true" hidden="false"/>
    </xf>
    <xf numFmtId="165" fontId="6" fillId="10" borderId="12" xfId="0" applyFont="true" applyBorder="true" applyAlignment="true" applyProtection="true">
      <alignment horizontal="left" vertical="top" textRotation="0" wrapText="true" indent="0" shrinkToFit="false"/>
      <protection locked="true" hidden="false"/>
    </xf>
    <xf numFmtId="171" fontId="0" fillId="10" borderId="12" xfId="0" applyFont="true" applyBorder="true" applyAlignment="true" applyProtection="true">
      <alignment horizontal="left" vertical="center" textRotation="0" wrapText="true" indent="0" shrinkToFit="false"/>
      <protection locked="true" hidden="false"/>
    </xf>
    <xf numFmtId="165" fontId="51" fillId="11" borderId="13" xfId="0" applyFont="true" applyBorder="true" applyAlignment="true" applyProtection="true">
      <alignment horizontal="left" vertical="center" textRotation="0" wrapText="false" indent="0" shrinkToFit="false"/>
      <protection locked="true" hidden="false"/>
    </xf>
    <xf numFmtId="165" fontId="51" fillId="11" borderId="10" xfId="0" applyFont="true" applyBorder="true" applyAlignment="true" applyProtection="true">
      <alignment horizontal="left" vertical="center" textRotation="0" wrapText="false" indent="0" shrinkToFit="false"/>
      <protection locked="true" hidden="false"/>
    </xf>
    <xf numFmtId="165" fontId="51" fillId="11" borderId="19" xfId="0" applyFont="true" applyBorder="true" applyAlignment="true" applyProtection="true">
      <alignment horizontal="left" vertical="center" textRotation="0" wrapText="false" indent="0" shrinkToFit="false"/>
      <protection locked="true" hidden="false"/>
    </xf>
    <xf numFmtId="165" fontId="0" fillId="11" borderId="10" xfId="0" applyFont="true" applyBorder="true" applyAlignment="true" applyProtection="true">
      <alignment horizontal="general" vertical="center" textRotation="0" wrapText="false" indent="0" shrinkToFit="false"/>
      <protection locked="true" hidden="false"/>
    </xf>
    <xf numFmtId="164" fontId="0" fillId="0" borderId="30" xfId="0" applyFont="true" applyBorder="true" applyAlignment="true" applyProtection="true">
      <alignment horizontal="left" vertical="top" textRotation="0" wrapText="false" indent="0" shrinkToFit="false"/>
      <protection locked="true" hidden="false"/>
    </xf>
    <xf numFmtId="165" fontId="6" fillId="10" borderId="30" xfId="0" applyFont="true" applyBorder="true" applyAlignment="true" applyProtection="true">
      <alignment horizontal="center" vertical="top" textRotation="0" wrapText="true" indent="0" shrinkToFit="false"/>
      <protection locked="true" hidden="false"/>
    </xf>
    <xf numFmtId="164" fontId="0" fillId="10" borderId="30" xfId="0" applyFont="true" applyBorder="true" applyAlignment="true" applyProtection="true">
      <alignment horizontal="left" vertical="top" textRotation="0" wrapText="false" indent="0" shrinkToFit="false"/>
      <protection locked="true" hidden="false"/>
    </xf>
    <xf numFmtId="164" fontId="0" fillId="5" borderId="30" xfId="0" applyFont="true" applyBorder="true" applyAlignment="true" applyProtection="true">
      <alignment horizontal="left" vertical="top" textRotation="0" wrapText="false" indent="0" shrinkToFit="false"/>
      <protection locked="false" hidden="false"/>
    </xf>
    <xf numFmtId="164" fontId="6" fillId="10" borderId="0" xfId="0" applyFont="true" applyBorder="true" applyAlignment="true" applyProtection="true">
      <alignment horizontal="center" vertical="center" textRotation="0" wrapText="true" indent="0" shrinkToFit="false"/>
      <protection locked="true" hidden="false"/>
    </xf>
    <xf numFmtId="165" fontId="51" fillId="0" borderId="30" xfId="0" applyFont="true" applyBorder="true" applyAlignment="true" applyProtection="true">
      <alignment horizontal="left" vertical="center" textRotation="0" wrapText="false" indent="0" shrinkToFit="false"/>
      <protection locked="true" hidden="false"/>
    </xf>
    <xf numFmtId="164" fontId="0" fillId="10" borderId="30" xfId="0" applyFont="true" applyBorder="true" applyAlignment="true" applyProtection="true">
      <alignment horizontal="left" vertical="center" textRotation="0" wrapText="true" indent="0" shrinkToFit="false"/>
      <protection locked="true" hidden="false"/>
    </xf>
    <xf numFmtId="164" fontId="6" fillId="10" borderId="30" xfId="0" applyFont="true" applyBorder="true" applyAlignment="true" applyProtection="true">
      <alignment horizontal="center" vertical="center" textRotation="0" wrapText="true" indent="0" shrinkToFit="false"/>
      <protection locked="true" hidden="false"/>
    </xf>
    <xf numFmtId="165" fontId="51" fillId="5" borderId="30" xfId="0" applyFont="true" applyBorder="true" applyAlignment="true" applyProtection="true">
      <alignment horizontal="left" vertical="center" textRotation="0" wrapText="false" indent="0" shrinkToFit="false"/>
      <protection locked="false" hidden="false"/>
    </xf>
    <xf numFmtId="165" fontId="51" fillId="8" borderId="30" xfId="0" applyFont="true" applyBorder="true" applyAlignment="true" applyProtection="true">
      <alignment horizontal="left" vertical="center" textRotation="0" wrapText="false" indent="0" shrinkToFit="false"/>
      <protection locked="false" hidden="false"/>
    </xf>
    <xf numFmtId="164" fontId="24" fillId="0" borderId="13" xfId="0" applyFont="true" applyBorder="true" applyAlignment="true" applyProtection="true">
      <alignment horizontal="left" vertical="center" textRotation="0" wrapText="true" indent="0" shrinkToFit="false"/>
      <protection locked="true" hidden="false"/>
    </xf>
    <xf numFmtId="165" fontId="24" fillId="0" borderId="13" xfId="0" applyFont="true" applyBorder="true" applyAlignment="true" applyProtection="true">
      <alignment horizontal="left" vertical="center" textRotation="0" wrapText="false" indent="0" shrinkToFit="false"/>
      <protection locked="true" hidden="false"/>
    </xf>
    <xf numFmtId="165" fontId="24" fillId="0" borderId="10" xfId="0" applyFont="true" applyBorder="true" applyAlignment="true" applyProtection="true">
      <alignment horizontal="left" vertical="center" textRotation="0" wrapText="false" indent="0" shrinkToFit="false"/>
      <protection locked="true" hidden="false"/>
    </xf>
    <xf numFmtId="165" fontId="51" fillId="11" borderId="29" xfId="0" applyFont="true" applyBorder="true" applyAlignment="true" applyProtection="true">
      <alignment horizontal="left" vertical="center" textRotation="0" wrapText="false" indent="0" shrinkToFit="false"/>
      <protection locked="true" hidden="false"/>
    </xf>
    <xf numFmtId="164" fontId="0" fillId="5" borderId="30" xfId="0" applyFont="true" applyBorder="true" applyAlignment="true" applyProtection="true">
      <alignment horizontal="general" vertical="top" textRotation="0" wrapText="false" indent="0" shrinkToFit="false"/>
      <protection locked="false" hidden="false"/>
    </xf>
    <xf numFmtId="164" fontId="6" fillId="0" borderId="30" xfId="0" applyFont="true" applyBorder="true" applyAlignment="true" applyProtection="true">
      <alignment horizontal="center" vertical="center" textRotation="0" wrapText="false" indent="0" shrinkToFit="false"/>
      <protection locked="true" hidden="false"/>
    </xf>
    <xf numFmtId="164" fontId="6" fillId="0" borderId="30" xfId="0" applyFont="true" applyBorder="true" applyAlignment="true" applyProtection="true">
      <alignment horizontal="general" vertical="center" textRotation="0" wrapText="true" indent="0" shrinkToFit="false"/>
      <protection locked="true" hidden="false"/>
    </xf>
    <xf numFmtId="165" fontId="6" fillId="0" borderId="17" xfId="0" applyFont="true" applyBorder="true" applyAlignment="true" applyProtection="true">
      <alignment horizontal="center" vertical="center" textRotation="0" wrapText="false" indent="0" shrinkToFit="false"/>
      <protection locked="true" hidden="false"/>
    </xf>
    <xf numFmtId="164" fontId="6" fillId="5" borderId="25" xfId="0" applyFont="true" applyBorder="true" applyAlignment="true" applyProtection="true">
      <alignment horizontal="left" vertical="center" textRotation="0" wrapText="true" indent="0" shrinkToFit="false"/>
      <protection locked="false" hidden="false"/>
    </xf>
    <xf numFmtId="164" fontId="6" fillId="10" borderId="25" xfId="0" applyFont="true" applyBorder="true" applyAlignment="true" applyProtection="true">
      <alignment horizontal="center"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0" shrinkToFit="false"/>
      <protection locked="false" hidden="false"/>
    </xf>
    <xf numFmtId="164" fontId="42" fillId="0" borderId="30" xfId="0" applyFont="true" applyBorder="true" applyAlignment="true" applyProtection="true">
      <alignment horizontal="general" vertical="center" textRotation="0" wrapText="true" indent="0" shrinkToFit="false"/>
      <protection locked="true" hidden="false"/>
    </xf>
    <xf numFmtId="171" fontId="6" fillId="10" borderId="25" xfId="0" applyFont="true" applyBorder="true" applyAlignment="true" applyProtection="true">
      <alignment horizontal="left" vertical="center" textRotation="0" wrapText="true" indent="0" shrinkToFit="false"/>
      <protection locked="true" hidden="false"/>
    </xf>
    <xf numFmtId="165" fontId="6" fillId="0" borderId="30" xfId="0" applyFont="true" applyBorder="true" applyAlignment="true" applyProtection="true">
      <alignment horizontal="left" vertical="center" textRotation="0" wrapText="true" indent="0" shrinkToFit="false"/>
      <protection locked="true" hidden="false"/>
    </xf>
    <xf numFmtId="164" fontId="6" fillId="0" borderId="30" xfId="0" applyFont="true" applyBorder="true" applyAlignment="true" applyProtection="true">
      <alignment horizontal="left" vertical="center" textRotation="0" wrapText="true" indent="0" shrinkToFit="false"/>
      <protection locked="true" hidden="false"/>
    </xf>
    <xf numFmtId="164" fontId="6" fillId="0" borderId="30" xfId="0" applyFont="true" applyBorder="true" applyAlignment="true" applyProtection="true">
      <alignment horizontal="center" vertical="center" textRotation="0" wrapText="true" indent="0" shrinkToFit="false"/>
      <protection locked="true" hidden="false"/>
    </xf>
    <xf numFmtId="165" fontId="51" fillId="0" borderId="18" xfId="0" applyFont="true" applyBorder="true" applyAlignment="true" applyProtection="true">
      <alignment horizontal="left" vertical="center" textRotation="0" wrapText="false" indent="0" shrinkToFit="false"/>
      <protection locked="true" hidden="false"/>
    </xf>
    <xf numFmtId="165" fontId="51" fillId="11" borderId="22" xfId="0" applyFont="true" applyBorder="true" applyAlignment="true" applyProtection="true">
      <alignment horizontal="left" vertical="center" textRotation="0" wrapText="false" indent="0" shrinkToFit="false"/>
      <protection locked="true" hidden="false"/>
    </xf>
    <xf numFmtId="165" fontId="51" fillId="11" borderId="15" xfId="0" applyFont="true" applyBorder="true" applyAlignment="true" applyProtection="true">
      <alignment horizontal="left" vertical="center" textRotation="0" wrapText="false" indent="0" shrinkToFit="false"/>
      <protection locked="true" hidden="false"/>
    </xf>
    <xf numFmtId="164" fontId="42" fillId="0" borderId="30" xfId="0" applyFont="true" applyBorder="true" applyAlignment="true" applyProtection="true">
      <alignment horizontal="center" vertical="center" textRotation="0" wrapText="true" indent="0" shrinkToFit="false"/>
      <protection locked="true" hidden="false"/>
    </xf>
    <xf numFmtId="165" fontId="51" fillId="11" borderId="22" xfId="0" applyFont="true" applyBorder="true" applyAlignment="true" applyProtection="true">
      <alignment horizontal="general" vertical="center" textRotation="0" wrapText="false" indent="0" shrinkToFit="false"/>
      <protection locked="true" hidden="false"/>
    </xf>
    <xf numFmtId="164" fontId="63" fillId="11" borderId="13" xfId="0" applyFont="true" applyBorder="true" applyAlignment="true" applyProtection="true">
      <alignment horizontal="general" vertical="top" textRotation="0" wrapText="false" indent="0" shrinkToFit="false"/>
      <protection locked="true" hidden="false"/>
    </xf>
    <xf numFmtId="164" fontId="63" fillId="11" borderId="10" xfId="0" applyFont="true" applyBorder="true" applyAlignment="true" applyProtection="true">
      <alignment horizontal="general" vertical="top" textRotation="0" wrapText="false" indent="0" shrinkToFit="false"/>
      <protection locked="true" hidden="false"/>
    </xf>
    <xf numFmtId="164" fontId="100" fillId="0" borderId="0" xfId="0" applyFont="true" applyBorder="true" applyAlignment="true" applyProtection="true">
      <alignment horizontal="general" vertical="top" textRotation="0" wrapText="true" indent="0" shrinkToFit="false"/>
      <protection locked="true" hidden="false"/>
    </xf>
    <xf numFmtId="164" fontId="100" fillId="0" borderId="0" xfId="0" applyFont="true" applyBorder="true" applyAlignment="true" applyProtection="true">
      <alignment horizontal="general" vertical="top" textRotation="0" wrapText="false" indent="0" shrinkToFit="false"/>
      <protection locked="true" hidden="false"/>
    </xf>
    <xf numFmtId="164" fontId="100" fillId="0" borderId="12" xfId="0" applyFont="true" applyBorder="true" applyAlignment="true" applyProtection="true">
      <alignment horizontal="general" vertical="top" textRotation="0" wrapText="true" indent="0" shrinkToFit="false"/>
      <protection locked="true" hidden="false"/>
    </xf>
    <xf numFmtId="164" fontId="21" fillId="0" borderId="12" xfId="0" applyFont="true" applyBorder="true" applyAlignment="true" applyProtection="true">
      <alignment horizontal="center" vertical="top" textRotation="0" wrapText="true" indent="0" shrinkToFit="false"/>
      <protection locked="true" hidden="false"/>
    </xf>
    <xf numFmtId="164" fontId="21" fillId="20" borderId="12" xfId="0" applyFont="true" applyBorder="true" applyAlignment="true" applyProtection="true">
      <alignment horizontal="center" vertical="top" textRotation="0" wrapText="false" indent="0" shrinkToFit="false"/>
      <protection locked="true" hidden="false"/>
    </xf>
    <xf numFmtId="164" fontId="21" fillId="0" borderId="12" xfId="0" applyFont="true" applyBorder="true" applyAlignment="true" applyProtection="true">
      <alignment horizontal="general" vertical="top" textRotation="0" wrapText="true" indent="0" shrinkToFit="false"/>
      <protection locked="true" hidden="false"/>
    </xf>
    <xf numFmtId="171" fontId="21" fillId="0" borderId="12" xfId="0" applyFont="true" applyBorder="true" applyAlignment="true" applyProtection="true">
      <alignment horizontal="general" vertical="top" textRotation="0" wrapText="true" indent="0" shrinkToFit="false"/>
      <protection locked="true" hidden="false"/>
    </xf>
    <xf numFmtId="164" fontId="21" fillId="0" borderId="12" xfId="0" applyFont="true" applyBorder="true" applyAlignment="true" applyProtection="true">
      <alignment horizontal="general" vertical="top" textRotation="0" wrapText="false" indent="0" shrinkToFit="false"/>
      <protection locked="true" hidden="false"/>
    </xf>
    <xf numFmtId="164" fontId="100" fillId="0" borderId="12" xfId="0" applyFont="true" applyBorder="true" applyAlignment="true" applyProtection="true">
      <alignment horizontal="general" vertical="top" textRotation="0" wrapText="false" indent="0" shrinkToFit="false"/>
      <protection locked="true" hidden="false"/>
    </xf>
    <xf numFmtId="171" fontId="100" fillId="0" borderId="12" xfId="0" applyFont="true" applyBorder="true" applyAlignment="true" applyProtection="true">
      <alignment horizontal="general" vertical="top" textRotation="0" wrapText="true" indent="0" shrinkToFit="false"/>
      <protection locked="true" hidden="false"/>
    </xf>
    <xf numFmtId="164" fontId="100" fillId="0" borderId="0" xfId="0" applyFont="true" applyBorder="true" applyAlignment="true" applyProtection="true">
      <alignment horizontal="left" vertical="top" textRotation="0" wrapText="true" indent="0" shrinkToFit="false"/>
      <protection locked="true" hidden="false"/>
    </xf>
    <xf numFmtId="164" fontId="100" fillId="20" borderId="0" xfId="0" applyFont="true" applyBorder="true" applyAlignment="true" applyProtection="true">
      <alignment horizontal="left" vertical="top" textRotation="0" wrapText="true" indent="0" shrinkToFit="false"/>
      <protection locked="true" hidden="false"/>
    </xf>
    <xf numFmtId="165" fontId="100" fillId="0" borderId="0" xfId="0" applyFont="true" applyBorder="true" applyAlignment="true" applyProtection="true">
      <alignment horizontal="general" vertical="top" textRotation="0" wrapText="true" indent="0" shrinkToFit="false"/>
      <protection locked="true" hidden="false"/>
    </xf>
    <xf numFmtId="164" fontId="100" fillId="0" borderId="12" xfId="0" applyFont="true" applyBorder="true" applyAlignment="true" applyProtection="true">
      <alignment horizontal="center" vertical="top" textRotation="0" wrapText="true" indent="0" shrinkToFit="false"/>
      <protection locked="true" hidden="false"/>
    </xf>
    <xf numFmtId="164" fontId="100" fillId="20" borderId="12" xfId="0" applyFont="true" applyBorder="true" applyAlignment="true" applyProtection="true">
      <alignment horizontal="center" vertical="top" textRotation="0" wrapText="true" indent="0" shrinkToFit="false"/>
      <protection locked="true" hidden="false"/>
    </xf>
    <xf numFmtId="164" fontId="100" fillId="0" borderId="0" xfId="0" applyFont="true" applyBorder="true" applyAlignment="true" applyProtection="true">
      <alignment horizontal="center" vertical="top" textRotation="0" wrapText="true" indent="0" shrinkToFit="false"/>
      <protection locked="true" hidden="false"/>
    </xf>
    <xf numFmtId="164" fontId="21" fillId="20" borderId="12" xfId="0" applyFont="true" applyBorder="true" applyAlignment="true" applyProtection="true">
      <alignment horizontal="center" vertical="top" textRotation="0" wrapText="true" indent="0" shrinkToFit="false"/>
      <protection locked="true" hidden="false"/>
    </xf>
    <xf numFmtId="164" fontId="100" fillId="0" borderId="12" xfId="0" applyFont="true" applyBorder="true" applyAlignment="true" applyProtection="true">
      <alignment horizontal="left" vertical="top" textRotation="0" wrapText="true" indent="0" shrinkToFit="false"/>
      <protection locked="true" hidden="false"/>
    </xf>
    <xf numFmtId="165" fontId="21" fillId="20" borderId="12" xfId="0" applyFont="true" applyBorder="true" applyAlignment="true" applyProtection="true">
      <alignment horizontal="center" vertical="top" textRotation="0" wrapText="true" indent="0" shrinkToFit="false"/>
      <protection locked="true" hidden="false"/>
    </xf>
    <xf numFmtId="165" fontId="100" fillId="20" borderId="12" xfId="0" applyFont="true" applyBorder="true" applyAlignment="true" applyProtection="true">
      <alignment horizontal="right" vertical="center" textRotation="0" wrapText="true" indent="0" shrinkToFit="false"/>
      <protection locked="true" hidden="false"/>
    </xf>
    <xf numFmtId="171" fontId="100" fillId="0" borderId="12" xfId="0" applyFont="true" applyBorder="true" applyAlignment="true" applyProtection="true">
      <alignment horizontal="left" vertical="top" textRotation="0" wrapText="true" indent="0" shrinkToFit="false"/>
      <protection locked="true" hidden="false"/>
    </xf>
    <xf numFmtId="164" fontId="100" fillId="20" borderId="12" xfId="0" applyFont="true" applyBorder="true" applyAlignment="true" applyProtection="true">
      <alignment horizontal="left" vertical="top" textRotation="0" wrapText="true" indent="0" shrinkToFit="false"/>
      <protection locked="true" hidden="false"/>
    </xf>
    <xf numFmtId="165" fontId="100" fillId="20" borderId="12" xfId="0" applyFont="true" applyBorder="true" applyAlignment="true" applyProtection="true">
      <alignment horizontal="center" vertical="center" textRotation="0" wrapText="true" indent="0" shrinkToFit="false"/>
      <protection locked="true" hidden="false"/>
    </xf>
    <xf numFmtId="164" fontId="100" fillId="0" borderId="25" xfId="0" applyFont="true" applyBorder="true" applyAlignment="true" applyProtection="true">
      <alignment horizontal="center" vertical="top" textRotation="0" wrapText="true" indent="0" shrinkToFit="false"/>
      <protection locked="true" hidden="false"/>
    </xf>
    <xf numFmtId="171" fontId="100" fillId="0" borderId="25" xfId="0" applyFont="true" applyBorder="true" applyAlignment="true" applyProtection="true">
      <alignment horizontal="left" vertical="top" textRotation="0" wrapText="true" indent="0" shrinkToFit="false"/>
      <protection locked="true" hidden="false"/>
    </xf>
    <xf numFmtId="164" fontId="100" fillId="0" borderId="13" xfId="0" applyFont="true" applyBorder="true" applyAlignment="true" applyProtection="true">
      <alignment horizontal="center" vertical="top" textRotation="0" wrapText="true" indent="0" shrinkToFit="false"/>
      <protection locked="true" hidden="false"/>
    </xf>
    <xf numFmtId="164" fontId="100" fillId="0" borderId="22" xfId="0" applyFont="true" applyBorder="true" applyAlignment="true" applyProtection="true">
      <alignment horizontal="center" vertical="top" textRotation="0" wrapText="true" indent="0" shrinkToFit="false"/>
      <protection locked="true" hidden="false"/>
    </xf>
    <xf numFmtId="171" fontId="100" fillId="0" borderId="19" xfId="0" applyFont="true" applyBorder="true" applyAlignment="true" applyProtection="true">
      <alignment horizontal="left" vertical="top" textRotation="0" wrapText="true" indent="0" shrinkToFit="false"/>
      <protection locked="true" hidden="false"/>
    </xf>
    <xf numFmtId="164" fontId="100" fillId="0" borderId="16" xfId="0" applyFont="true" applyBorder="true" applyAlignment="true" applyProtection="true">
      <alignment horizontal="center" vertical="top" textRotation="0" wrapText="true" indent="0" shrinkToFit="false"/>
      <protection locked="true" hidden="false"/>
    </xf>
    <xf numFmtId="165" fontId="100" fillId="0" borderId="25" xfId="0" applyFont="true" applyBorder="true" applyAlignment="true" applyProtection="true">
      <alignment horizontal="general" vertical="top" textRotation="0" wrapText="true" indent="0" shrinkToFit="false"/>
      <protection locked="true" hidden="false"/>
    </xf>
    <xf numFmtId="164" fontId="21" fillId="0" borderId="12" xfId="0" applyFont="true" applyBorder="true" applyAlignment="true" applyProtection="true">
      <alignment horizontal="left" vertical="top" textRotation="0" wrapText="true" indent="0" shrinkToFit="false"/>
      <protection locked="true" hidden="false"/>
    </xf>
    <xf numFmtId="165" fontId="21" fillId="0" borderId="13" xfId="0" applyFont="true" applyBorder="true" applyAlignment="true" applyProtection="true">
      <alignment horizontal="center" vertical="center" textRotation="0" wrapText="true" indent="0" shrinkToFit="false"/>
      <protection locked="true" hidden="false"/>
    </xf>
    <xf numFmtId="171" fontId="21" fillId="0" borderId="13" xfId="0" applyFont="true" applyBorder="true" applyAlignment="true" applyProtection="true">
      <alignment horizontal="center" vertical="center" textRotation="0" wrapText="false" indent="0" shrinkToFit="false"/>
      <protection locked="true" hidden="false"/>
    </xf>
    <xf numFmtId="164" fontId="21" fillId="0" borderId="12" xfId="0" applyFont="true" applyBorder="true" applyAlignment="true" applyProtection="true">
      <alignment horizontal="center" vertical="center" textRotation="0" wrapText="true" indent="0" shrinkToFit="false"/>
      <protection locked="true" hidden="false"/>
    </xf>
    <xf numFmtId="165" fontId="21" fillId="0" borderId="12" xfId="0" applyFont="true" applyBorder="true" applyAlignment="true" applyProtection="true">
      <alignment horizontal="general" vertical="center" textRotation="0" wrapText="true" indent="0" shrinkToFit="false"/>
      <protection locked="true" hidden="false"/>
    </xf>
    <xf numFmtId="164" fontId="100" fillId="0" borderId="13" xfId="0" applyFont="true" applyBorder="true" applyAlignment="true" applyProtection="true">
      <alignment horizontal="left" vertical="top" textRotation="0" wrapText="true" indent="0" shrinkToFit="false"/>
      <protection locked="true" hidden="false"/>
    </xf>
    <xf numFmtId="165" fontId="21" fillId="0" borderId="12" xfId="0" applyFont="true" applyBorder="true" applyAlignment="true" applyProtection="true">
      <alignment horizontal="center" vertical="center" textRotation="0" wrapText="true" indent="0" shrinkToFit="false"/>
      <protection locked="true" hidden="false"/>
    </xf>
    <xf numFmtId="165" fontId="21" fillId="0" borderId="25" xfId="0" applyFont="true" applyBorder="true" applyAlignment="true" applyProtection="true">
      <alignment horizontal="general" vertical="center" textRotation="0" wrapText="true" indent="0" shrinkToFit="false"/>
      <protection locked="true" hidden="false"/>
    </xf>
    <xf numFmtId="171" fontId="21" fillId="0" borderId="18" xfId="0" applyFont="true" applyBorder="true" applyAlignment="true" applyProtection="true">
      <alignment horizontal="general" vertical="center" textRotation="0" wrapText="true" indent="0" shrinkToFit="false"/>
      <protection locked="true" hidden="false"/>
    </xf>
    <xf numFmtId="164" fontId="100" fillId="0" borderId="28" xfId="0" applyFont="true" applyBorder="true" applyAlignment="true" applyProtection="true">
      <alignment horizontal="left" vertical="top" textRotation="0" wrapText="true" indent="0" shrinkToFit="false"/>
      <protection locked="true" hidden="false"/>
    </xf>
    <xf numFmtId="164" fontId="100" fillId="0" borderId="19" xfId="0" applyFont="true" applyBorder="true" applyAlignment="true" applyProtection="true">
      <alignment horizontal="left" vertical="top" textRotation="0" wrapText="true" indent="0" shrinkToFit="false"/>
      <protection locked="true" hidden="false"/>
    </xf>
    <xf numFmtId="164" fontId="21" fillId="0" borderId="25" xfId="0" applyFont="true" applyBorder="true" applyAlignment="true" applyProtection="true">
      <alignment horizontal="center" vertical="center" textRotation="0" wrapText="true" indent="0" shrinkToFit="false"/>
      <protection locked="true" hidden="false"/>
    </xf>
    <xf numFmtId="164" fontId="21" fillId="0" borderId="18" xfId="0" applyFont="true" applyBorder="true" applyAlignment="true" applyProtection="true">
      <alignment horizontal="center" vertical="center" textRotation="0" wrapText="true" indent="0" shrinkToFit="false"/>
      <protection locked="true" hidden="false"/>
    </xf>
    <xf numFmtId="165" fontId="21" fillId="0" borderId="25" xfId="0" applyFont="true" applyBorder="true" applyAlignment="true" applyProtection="true">
      <alignment horizontal="center" vertical="center" textRotation="0" wrapText="true" indent="0" shrinkToFit="false"/>
      <protection locked="true" hidden="false"/>
    </xf>
    <xf numFmtId="164" fontId="100" fillId="0" borderId="30" xfId="0" applyFont="true" applyBorder="true" applyAlignment="true" applyProtection="true">
      <alignment horizontal="left" vertical="top" textRotation="0" wrapText="true" indent="0" shrinkToFit="false"/>
      <protection locked="true" hidden="false"/>
    </xf>
    <xf numFmtId="171" fontId="100" fillId="0" borderId="30" xfId="0" applyFont="true" applyBorder="true" applyAlignment="true" applyProtection="true">
      <alignment horizontal="left" vertical="top" textRotation="0" wrapText="true" indent="0" shrinkToFit="false"/>
      <protection locked="true" hidden="false"/>
    </xf>
    <xf numFmtId="165" fontId="17" fillId="0" borderId="14" xfId="0" applyFont="true" applyBorder="true" applyAlignment="true" applyProtection="true">
      <alignment horizontal="left" vertical="center" textRotation="0" wrapText="true" indent="1" shrinkToFit="false"/>
      <protection locked="true" hidden="false"/>
    </xf>
    <xf numFmtId="171" fontId="17" fillId="0" borderId="21" xfId="0" applyFont="true" applyBorder="true" applyAlignment="true" applyProtection="true">
      <alignment horizontal="left" vertical="center" textRotation="0" wrapText="true" indent="1" shrinkToFit="false"/>
      <protection locked="true" hidden="false"/>
    </xf>
    <xf numFmtId="174" fontId="6" fillId="7" borderId="12" xfId="0" applyFont="true" applyBorder="true" applyAlignment="true" applyProtection="true">
      <alignment horizontal="left" vertical="center" textRotation="0" wrapText="true" indent="0" shrinkToFit="false"/>
      <protection locked="true" hidden="false"/>
    </xf>
    <xf numFmtId="171" fontId="22" fillId="0" borderId="0" xfId="0" applyFont="true" applyBorder="true" applyAlignment="true" applyProtection="true">
      <alignment horizontal="center" vertical="center" textRotation="0" wrapText="true" indent="0" shrinkToFit="false"/>
      <protection locked="true" hidden="false"/>
    </xf>
    <xf numFmtId="164" fontId="85" fillId="11" borderId="13" xfId="0" applyFont="true" applyBorder="true" applyAlignment="true" applyProtection="true">
      <alignment horizontal="left" vertical="center" textRotation="0" wrapText="false" indent="0" shrinkToFit="false"/>
      <protection locked="true" hidden="false"/>
    </xf>
    <xf numFmtId="164" fontId="101" fillId="11" borderId="10" xfId="0" applyFont="true" applyBorder="true" applyAlignment="true" applyProtection="true">
      <alignment horizontal="left" vertical="center" textRotation="0" wrapText="false" indent="3" shrinkToFit="false"/>
      <protection locked="true" hidden="false"/>
    </xf>
    <xf numFmtId="164" fontId="44" fillId="11" borderId="10" xfId="0" applyFont="true" applyBorder="true" applyAlignment="true" applyProtection="true">
      <alignment horizontal="center" vertical="center" textRotation="0" wrapText="true" indent="0" shrinkToFit="false"/>
      <protection locked="true" hidden="false"/>
    </xf>
    <xf numFmtId="164" fontId="63" fillId="11" borderId="10" xfId="0" applyFont="true" applyBorder="true" applyAlignment="true" applyProtection="true">
      <alignment horizontal="center" vertical="center" textRotation="0" wrapText="true" indent="0" shrinkToFit="false"/>
      <protection locked="true" hidden="false"/>
    </xf>
    <xf numFmtId="164" fontId="63" fillId="11" borderId="19" xfId="0" applyFont="true" applyBorder="true" applyAlignment="true" applyProtection="true">
      <alignment horizontal="center" vertical="center" textRotation="0" wrapText="true" indent="0" shrinkToFit="false"/>
      <protection locked="true" hidden="false"/>
    </xf>
    <xf numFmtId="164" fontId="101" fillId="11" borderId="10" xfId="0" applyFont="true" applyBorder="true" applyAlignment="true" applyProtection="true">
      <alignment horizontal="left" vertical="center" textRotation="0" wrapText="false" indent="2" shrinkToFit="false"/>
      <protection locked="true" hidden="false"/>
    </xf>
    <xf numFmtId="164" fontId="101" fillId="11" borderId="10" xfId="0" applyFont="true" applyBorder="true" applyAlignment="true" applyProtection="true">
      <alignment horizontal="left" vertical="center" textRotation="0" wrapText="false" indent="1" shrinkToFit="false"/>
      <protection locked="true" hidden="false"/>
    </xf>
    <xf numFmtId="164" fontId="22" fillId="0" borderId="0" xfId="0" applyFont="true" applyBorder="true" applyAlignment="true" applyProtection="true">
      <alignment horizontal="left" vertical="top" textRotation="0" wrapText="false" indent="0" shrinkToFit="false"/>
      <protection locked="true" hidden="false"/>
    </xf>
    <xf numFmtId="164" fontId="63" fillId="11" borderId="13" xfId="0" applyFont="true" applyBorder="true" applyAlignment="true" applyProtection="true">
      <alignment horizontal="left" vertical="top" textRotation="0" wrapText="false" indent="0" shrinkToFit="false"/>
      <protection locked="true" hidden="false"/>
    </xf>
    <xf numFmtId="164" fontId="101" fillId="11" borderId="10" xfId="0" applyFont="true" applyBorder="true" applyAlignment="true" applyProtection="true">
      <alignment horizontal="left" vertical="center" textRotation="0" wrapText="false" indent="0" shrinkToFit="false"/>
      <protection locked="true" hidden="false"/>
    </xf>
    <xf numFmtId="164" fontId="0" fillId="0" borderId="12" xfId="46" applyFont="true" applyBorder="true" applyAlignment="true" applyProtection="true">
      <alignment horizontal="general" vertical="top" textRotation="0" wrapText="false" indent="0" shrinkToFit="false"/>
      <protection locked="true" hidden="false"/>
    </xf>
    <xf numFmtId="164" fontId="0" fillId="0" borderId="13" xfId="46" applyFont="true" applyBorder="true" applyAlignment="true" applyProtection="true">
      <alignment horizontal="general" vertical="top" textRotation="0" wrapText="false" indent="0" shrinkToFit="false"/>
      <protection locked="true" hidden="false"/>
    </xf>
    <xf numFmtId="164" fontId="0" fillId="0" borderId="13" xfId="46" applyFont="true" applyBorder="true" applyAlignment="true" applyProtection="true">
      <alignment horizontal="center" vertical="top" textRotation="0" wrapText="false" indent="0" shrinkToFit="false"/>
      <protection locked="true" hidden="false"/>
    </xf>
    <xf numFmtId="164" fontId="0" fillId="24" borderId="25" xfId="46" applyFont="true" applyBorder="true" applyAlignment="true" applyProtection="true">
      <alignment horizontal="general" vertical="top" textRotation="0" wrapText="false" indent="0" shrinkToFit="false"/>
      <protection locked="true" hidden="false"/>
    </xf>
    <xf numFmtId="164" fontId="0" fillId="0" borderId="13" xfId="0" applyFont="true" applyBorder="true" applyAlignment="true" applyProtection="true">
      <alignment horizontal="center" vertical="top" textRotation="0" wrapText="false" indent="0" shrinkToFit="false"/>
      <protection locked="true" hidden="false"/>
    </xf>
    <xf numFmtId="164" fontId="0" fillId="25" borderId="12" xfId="46" applyFont="true" applyBorder="true" applyAlignment="true" applyProtection="true">
      <alignment horizontal="general" vertical="top" textRotation="0" wrapText="false" indent="0" shrinkToFit="false"/>
      <protection locked="true" hidden="false"/>
    </xf>
    <xf numFmtId="164" fontId="0" fillId="0" borderId="10" xfId="46" applyFont="true" applyBorder="true" applyAlignment="true" applyProtection="true">
      <alignment horizontal="center" vertical="top" textRotation="0" wrapText="false" indent="0" shrinkToFit="false"/>
      <protection locked="true" hidden="false"/>
    </xf>
    <xf numFmtId="164" fontId="0" fillId="26" borderId="12" xfId="46" applyFont="true" applyBorder="true" applyAlignment="true" applyProtection="true">
      <alignment horizontal="general" vertical="top" textRotation="0" wrapText="false" indent="0" shrinkToFit="false"/>
      <protection locked="true" hidden="false"/>
    </xf>
    <xf numFmtId="164" fontId="0" fillId="0" borderId="10" xfId="0" applyFont="true" applyBorder="true" applyAlignment="true" applyProtection="true">
      <alignment horizontal="center" vertical="top" textRotation="0" wrapText="false" indent="0" shrinkToFit="false"/>
      <protection locked="true" hidden="false"/>
    </xf>
    <xf numFmtId="164" fontId="0" fillId="27" borderId="12" xfId="46" applyFont="true" applyBorder="true" applyAlignment="true" applyProtection="true">
      <alignment horizontal="general" vertical="top" textRotation="0" wrapText="false" indent="0" shrinkToFit="false"/>
      <protection locked="true" hidden="false"/>
    </xf>
    <xf numFmtId="164" fontId="0" fillId="28" borderId="25" xfId="46" applyFont="true" applyBorder="true" applyAlignment="true" applyProtection="true">
      <alignment horizontal="general" vertical="top" textRotation="0" wrapText="false" indent="0" shrinkToFit="false"/>
      <protection locked="true" hidden="false"/>
    </xf>
    <xf numFmtId="164" fontId="0" fillId="29" borderId="13" xfId="46" applyFont="true" applyBorder="true" applyAlignment="true" applyProtection="true">
      <alignment horizontal="general" vertical="top" textRotation="0" wrapText="false" indent="0" shrinkToFit="false"/>
      <protection locked="true" hidden="false"/>
    </xf>
    <xf numFmtId="164" fontId="0" fillId="29" borderId="12" xfId="46" applyFont="true" applyBorder="true" applyAlignment="true" applyProtection="true">
      <alignment horizontal="general" vertical="top" textRotation="0" wrapText="false" indent="0" shrinkToFit="false"/>
      <protection locked="true" hidden="false"/>
    </xf>
    <xf numFmtId="164" fontId="0" fillId="28" borderId="12" xfId="46" applyFont="true" applyBorder="true" applyAlignment="true" applyProtection="true">
      <alignment horizontal="general" vertical="top" textRotation="0" wrapText="false" indent="0" shrinkToFit="false"/>
      <protection locked="true" hidden="false"/>
    </xf>
    <xf numFmtId="164" fontId="0" fillId="28" borderId="25" xfId="0" applyFont="true" applyBorder="true" applyAlignment="true" applyProtection="true">
      <alignment horizontal="general" vertical="top" textRotation="0" wrapText="false" indent="0" shrinkToFit="false"/>
      <protection locked="true" hidden="false"/>
    </xf>
    <xf numFmtId="164" fontId="0" fillId="9" borderId="0" xfId="0" applyFont="true" applyBorder="true" applyAlignment="true" applyProtection="true">
      <alignment horizontal="general" vertical="top" textRotation="0" wrapText="false" indent="0" shrinkToFit="false"/>
      <protection locked="true" hidden="false"/>
    </xf>
    <xf numFmtId="165" fontId="59" fillId="0" borderId="0" xfId="0" applyFont="true" applyBorder="true" applyAlignment="true" applyProtection="true">
      <alignment horizontal="general" vertical="bottom" textRotation="0" wrapText="false" indent="0" shrinkToFit="false"/>
      <protection locked="true" hidden="false"/>
    </xf>
    <xf numFmtId="165" fontId="0" fillId="0" borderId="0" xfId="0" applyFont="true" applyBorder="true" applyAlignment="true" applyProtection="true">
      <alignment horizontal="general" vertical="bottom" textRotation="0" wrapText="false" indent="0" shrinkToFit="false"/>
      <protection locked="true" hidden="false"/>
    </xf>
    <xf numFmtId="164" fontId="6" fillId="7" borderId="56" xfId="0" applyFont="true" applyBorder="true" applyAlignment="true" applyProtection="true">
      <alignment horizontal="center" vertical="top" textRotation="0" wrapText="false" indent="0" shrinkToFit="false"/>
      <protection locked="true" hidden="false"/>
    </xf>
    <xf numFmtId="164" fontId="102" fillId="0" borderId="7" xfId="0" applyFont="true" applyBorder="true" applyAlignment="true" applyProtection="true">
      <alignment horizontal="general" vertical="top" textRotation="0" wrapText="true" indent="0" shrinkToFit="false"/>
      <protection locked="true" hidden="false"/>
    </xf>
    <xf numFmtId="165" fontId="0" fillId="0" borderId="7" xfId="0" applyFont="true" applyBorder="true" applyAlignment="true" applyProtection="true">
      <alignment horizontal="general" vertical="top" textRotation="0" wrapText="true" indent="0" shrinkToFit="false"/>
      <protection locked="true" hidden="false"/>
    </xf>
    <xf numFmtId="165" fontId="17" fillId="0" borderId="59" xfId="0" applyFont="true" applyBorder="true" applyAlignment="true" applyProtection="true">
      <alignment horizontal="general" vertical="top" textRotation="0" wrapText="true" indent="0" shrinkToFit="false"/>
      <protection locked="true" hidden="false"/>
    </xf>
    <xf numFmtId="165" fontId="0" fillId="0" borderId="12" xfId="0" applyFont="true" applyBorder="true" applyAlignment="true" applyProtection="true">
      <alignment horizontal="general" vertical="top" textRotation="0" wrapText="true" indent="0" shrinkToFit="false"/>
      <protection locked="true" hidden="false"/>
    </xf>
    <xf numFmtId="164" fontId="0" fillId="0" borderId="25" xfId="0" applyFont="true" applyBorder="true" applyAlignment="true" applyProtection="true">
      <alignment horizontal="general" vertical="top" textRotation="0" wrapText="false" indent="0" shrinkToFit="false"/>
      <protection locked="true" hidden="false"/>
    </xf>
    <xf numFmtId="165" fontId="29" fillId="0" borderId="7" xfId="0" applyFont="true" applyBorder="true" applyAlignment="true" applyProtection="true">
      <alignment horizontal="general" vertical="center" textRotation="0" wrapText="true" indent="0" shrinkToFit="false"/>
      <protection locked="true" hidden="false"/>
    </xf>
    <xf numFmtId="165" fontId="17" fillId="0" borderId="0" xfId="0" applyFont="true" applyBorder="true" applyAlignment="true" applyProtection="true">
      <alignment horizontal="general" vertical="top" textRotation="0" wrapText="true" indent="0" shrinkToFit="false"/>
      <protection locked="true" hidden="false"/>
    </xf>
    <xf numFmtId="165" fontId="6" fillId="0" borderId="7" xfId="0" applyFont="true" applyBorder="true" applyAlignment="true" applyProtection="true">
      <alignment horizontal="general" vertical="center" textRotation="0" wrapText="true" indent="0" shrinkToFit="false"/>
      <protection locked="true" hidden="false"/>
    </xf>
  </cellXfs>
  <cellStyles count="36">
    <cellStyle name="Normal" xfId="0" builtinId="0"/>
    <cellStyle name="Comma" xfId="15" builtinId="3"/>
    <cellStyle name="Comma [0]" xfId="16" builtinId="6"/>
    <cellStyle name="Currency" xfId="17" builtinId="4"/>
    <cellStyle name="Currency [0]" xfId="18" builtinId="7"/>
    <cellStyle name="Percent" xfId="19" builtinId="5"/>
    <cellStyle name=" 1" xfId="20"/>
    <cellStyle name=" 1 2" xfId="21"/>
    <cellStyle name=" 1_Stage1" xfId="22"/>
    <cellStyle name="_Model_RAB Мой_PR.PROG.WARM.NOTCOMBI.2012.2.16_v1.4(04.04.11) " xfId="23"/>
    <cellStyle name="_Model_RAB Мой_Книга2_PR.PROG.WARM.NOTCOMBI.2012.2.16_v1.4(04.04.11) " xfId="24"/>
    <cellStyle name="_Model_RAB_MRSK_svod_PR.PROG.WARM.NOTCOMBI.2012.2.16_v1.4(04.04.11) " xfId="25"/>
    <cellStyle name="_Model_RAB_MRSK_svod_Книга2_PR.PROG.WARM.NOTCOMBI.2012.2.16_v1.4(04.04.11) " xfId="26"/>
    <cellStyle name="_МОДЕЛЬ_1 (2)_PR.PROG.WARM.NOTCOMBI.2012.2.16_v1.4(04.04.11) " xfId="27"/>
    <cellStyle name="_МОДЕЛЬ_1 (2)_Книга2_PR.PROG.WARM.NOTCOMBI.2012.2.16_v1.4(04.04.11) " xfId="28"/>
    <cellStyle name="_Расчет RAB_22072008_PR.PROG.WARM.NOTCOMBI.2012.2.16_v1.4(04.04.11) " xfId="29"/>
    <cellStyle name="_Расчет RAB_22072008_Книга2_PR.PROG.WARM.NOTCOMBI.2012.2.16_v1.4(04.04.11) " xfId="30"/>
    <cellStyle name="_Расчет RAB_Лен и МОЭСК_с 2010 года_14.04.2009_со сглаж_version 3.0_без ФСК_PR.PROG.WARM.NOTCOMBI.2012.2.16_v1.4(04.04.11) " xfId="31"/>
    <cellStyle name="_Расчет RAB_Лен и МОЭСК_с 2010 года_14.04.2009_со сглаж_version 3.0_без ФСК_Книга2_PR.PROG.WARM.NOTCOMBI.2012.2.16_v1.4(04.04.11) " xfId="32"/>
    <cellStyle name="_пр 5 тариф RAB_PR.PROG.WARM.NOTCOMBI.2012.2.16_v1.4(04.04.11) " xfId="33"/>
    <cellStyle name="_пр 5 тариф RAB_Книга2_PR.PROG.WARM.NOTCOMBI.2012.2.16_v1.4(04.04.11) " xfId="34"/>
    <cellStyle name="currency1" xfId="35"/>
    <cellStyle name="Currency2" xfId="36"/>
    <cellStyle name="currency3" xfId="37"/>
    <cellStyle name="currency4" xfId="38"/>
    <cellStyle name="Followed Hyperlink" xfId="39"/>
    <cellStyle name="normal" xfId="40"/>
    <cellStyle name="Normal1" xfId="41"/>
    <cellStyle name="Normal2" xfId="42"/>
    <cellStyle name="Percent1" xfId="43"/>
    <cellStyle name="Обычный 10" xfId="44"/>
    <cellStyle name="Обычный 16" xfId="45"/>
    <cellStyle name="Обычный 2" xfId="46"/>
    <cellStyle name="Обычный_BALANCE.WARM.2007YEAR(FACT)" xfId="47"/>
    <cellStyle name="Обычный_PRIL1.ELECTR" xfId="48"/>
    <cellStyle name="Открывавшаяся гиперссылка" xfId="49"/>
  </cellStyles>
  <dxfs count="2">
    <dxf>
      <fill>
        <patternFill patternType="solid">
          <fgColor rgb="00FFFFFF"/>
        </patternFill>
      </fill>
    </dxf>
    <dxf>
      <fill>
        <patternFill patternType="solid">
          <fgColor rgb="FF000000"/>
          <bgColor rgb="FFFFFFFF"/>
        </patternFill>
      </fill>
    </dxf>
  </dxfs>
  <colors>
    <indexedColors>
      <rgbColor rgb="FF000000"/>
      <rgbColor rgb="FFFFFFFF"/>
      <rgbColor rgb="FFFF0000"/>
      <rgbColor rgb="FFEAEBEE"/>
      <rgbColor rgb="FF0000FF"/>
      <rgbColor rgb="FFFFFF00"/>
      <rgbColor rgb="FFFF00FF"/>
      <rgbColor rgb="FFB7E4FF"/>
      <rgbColor rgb="FFCC0000"/>
      <rgbColor rgb="FF008000"/>
      <rgbColor rgb="FF000080"/>
      <rgbColor rgb="FF808000"/>
      <rgbColor rgb="FF800080"/>
      <rgbColor rgb="FF0070C0"/>
      <rgbColor rgb="FFC0C0C0"/>
      <rgbColor rgb="FF808080"/>
      <rgbColor rgb="FF8DB4E2"/>
      <rgbColor rgb="FFF2DCDB"/>
      <rgbColor rgb="FFFFFFC0"/>
      <rgbColor rgb="FFE3FAFD"/>
      <rgbColor rgb="FF660066"/>
      <rgbColor rgb="FFE26B0A"/>
      <rgbColor rgb="FF0066CC"/>
      <rgbColor rgb="FFCCCCFF"/>
      <rgbColor rgb="FF000080"/>
      <rgbColor rgb="FFFF00FF"/>
      <rgbColor rgb="FFFDEADA"/>
      <rgbColor rgb="FFD3DBDB"/>
      <rgbColor rgb="FF800080"/>
      <rgbColor rgb="FF800000"/>
      <rgbColor rgb="FFF0F0F0"/>
      <rgbColor rgb="FF0000FF"/>
      <rgbColor rgb="FF00CCFF"/>
      <rgbColor rgb="FFEDF9FF"/>
      <rgbColor rgb="FFD7EAD3"/>
      <rgbColor rgb="FFFFFF99"/>
      <rgbColor rgb="FF8EB4E3"/>
      <rgbColor rgb="FFFFB7B7"/>
      <rgbColor rgb="FFCC99FF"/>
      <rgbColor rgb="FFFFCC99"/>
      <rgbColor rgb="FFD9D9D9"/>
      <rgbColor rgb="FFBCBCBC"/>
      <rgbColor rgb="FFC3D69B"/>
      <rgbColor rgb="FFDDD9C3"/>
      <rgbColor rgb="FFFF9900"/>
      <rgbColor rgb="FFE46C0A"/>
      <rgbColor rgb="FFA6A6A6"/>
      <rgbColor rgb="FF999999"/>
      <rgbColor rgb="FF003366"/>
      <rgbColor rgb="FFBFBFBF"/>
      <rgbColor rgb="FF003300"/>
      <rgbColor rgb="FF333300"/>
      <rgbColor rgb="FF993300"/>
      <rgbColor rgb="FFE6E0EC"/>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1.jpeg"/><Relationship Id="rId3" Type="http://schemas.openxmlformats.org/officeDocument/2006/relationships/image" Target="../media/image2.png"/><Relationship Id="rId4" Type="http://schemas.openxmlformats.org/officeDocument/2006/relationships/image" Target="../media/image3.png"/><Relationship Id="rId5" Type="http://schemas.openxmlformats.org/officeDocument/2006/relationships/image" Target="../media/image1.jpeg"/>
</Relationships>
</file>

<file path=xl/drawings/_rels/drawing2.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_rels/drawing5.xml.rels><?xml version="1.0" encoding="UTF-8"?>
<Relationships xmlns="http://schemas.openxmlformats.org/package/2006/relationships"><Relationship Id="rId1" Type="http://schemas.openxmlformats.org/officeDocument/2006/relationships/image" Target="../media/image7.png"/>
</Relationships>
</file>

<file path=xl/drawings/_rels/drawing6.xml.rels><?xml version="1.0" encoding="UTF-8"?>
<Relationships xmlns="http://schemas.openxmlformats.org/package/2006/relationships"><Relationship Id="rId1" Type="http://schemas.openxmlformats.org/officeDocument/2006/relationships/image" Target="../media/image7.png"/>
</Relationships>
</file>

<file path=xl/drawings/_rels/drawing7.xml.rels><?xml version="1.0" encoding="UTF-8"?>
<Relationships xmlns="http://schemas.openxmlformats.org/package/2006/relationships"><Relationship Id="rId1" Type="http://schemas.openxmlformats.org/officeDocument/2006/relationships/image" Target="../media/image8.png"/>
</Relationships>
</file>

<file path=xl/drawings/_rels/drawing8.xml.rels><?xml version="1.0" encoding="UTF-8"?>
<Relationships xmlns="http://schemas.openxmlformats.org/package/2006/relationships"><Relationship Id="rId1" Type="http://schemas.openxmlformats.org/officeDocument/2006/relationships/image" Target="../media/image7.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57240</xdr:colOff>
      <xdr:row>13</xdr:row>
      <xdr:rowOff>0</xdr:rowOff>
    </xdr:from>
    <xdr:to>
      <xdr:col>4</xdr:col>
      <xdr:colOff>314280</xdr:colOff>
      <xdr:row>13</xdr:row>
      <xdr:rowOff>343080</xdr:rowOff>
    </xdr:to>
    <xdr:pic>
      <xdr:nvPicPr>
        <xdr:cNvPr id="0" name="PHONE_PIC" descr="update_org.png"/>
        <xdr:cNvPicPr/>
      </xdr:nvPicPr>
      <xdr:blipFill>
        <a:blip r:embed="rId1"/>
        <a:stretch/>
      </xdr:blipFill>
      <xdr:spPr>
        <a:xfrm>
          <a:off x="247680" y="1400040"/>
          <a:ext cx="320760" cy="343080"/>
        </a:xfrm>
        <a:prstGeom prst="rect">
          <a:avLst/>
        </a:prstGeom>
        <a:ln w="0">
          <a:noFill/>
        </a:ln>
      </xdr:spPr>
    </xdr:pic>
    <xdr:clientData/>
  </xdr:twoCellAnchor>
  <xdr:twoCellAnchor editAs="absolute">
    <xdr:from>
      <xdr:col>3</xdr:col>
      <xdr:colOff>57240</xdr:colOff>
      <xdr:row>16</xdr:row>
      <xdr:rowOff>0</xdr:rowOff>
    </xdr:from>
    <xdr:to>
      <xdr:col>4</xdr:col>
      <xdr:colOff>314280</xdr:colOff>
      <xdr:row>29</xdr:row>
      <xdr:rowOff>76320</xdr:rowOff>
    </xdr:to>
    <xdr:pic>
      <xdr:nvPicPr>
        <xdr:cNvPr id="1" name="PHONE_PIC_1" descr="update_org.png"/>
        <xdr:cNvPicPr/>
      </xdr:nvPicPr>
      <xdr:blipFill>
        <a:blip r:embed="rId2"/>
        <a:stretch/>
      </xdr:blipFill>
      <xdr:spPr>
        <a:xfrm>
          <a:off x="247680" y="1819440"/>
          <a:ext cx="320760" cy="342720"/>
        </a:xfrm>
        <a:prstGeom prst="rect">
          <a:avLst/>
        </a:prstGeom>
        <a:ln w="0">
          <a:noFill/>
        </a:ln>
      </xdr:spPr>
    </xdr:pic>
    <xdr:clientData/>
  </xdr:twoCellAnchor>
  <xdr:twoCellAnchor editAs="absolute">
    <xdr:from>
      <xdr:col>8</xdr:col>
      <xdr:colOff>0</xdr:colOff>
      <xdr:row>4</xdr:row>
      <xdr:rowOff>0</xdr:rowOff>
    </xdr:from>
    <xdr:to>
      <xdr:col>8</xdr:col>
      <xdr:colOff>207360</xdr:colOff>
      <xdr:row>4</xdr:row>
      <xdr:rowOff>207360</xdr:rowOff>
    </xdr:to>
    <xdr:pic>
      <xdr:nvPicPr>
        <xdr:cNvPr id="2" name="cmdCreatePrintedForm" descr="Создание печатной формы"/>
        <xdr:cNvPicPr/>
      </xdr:nvPicPr>
      <xdr:blipFill>
        <a:blip r:embed="rId3"/>
        <a:stretch/>
      </xdr:blipFill>
      <xdr:spPr>
        <a:xfrm>
          <a:off x="7302600" y="476280"/>
          <a:ext cx="207360" cy="207360"/>
        </a:xfrm>
        <a:prstGeom prst="rect">
          <a:avLst/>
        </a:prstGeom>
        <a:ln w="0">
          <a:noFill/>
        </a:ln>
      </xdr:spPr>
    </xdr:pic>
    <xdr:clientData/>
  </xdr:twoCellAnchor>
  <xdr:twoCellAnchor editAs="absolute">
    <xdr:from>
      <xdr:col>4</xdr:col>
      <xdr:colOff>0</xdr:colOff>
      <xdr:row>30</xdr:row>
      <xdr:rowOff>0</xdr:rowOff>
    </xdr:from>
    <xdr:to>
      <xdr:col>4</xdr:col>
      <xdr:colOff>287640</xdr:colOff>
      <xdr:row>32</xdr:row>
      <xdr:rowOff>53640</xdr:rowOff>
    </xdr:to>
    <xdr:pic>
      <xdr:nvPicPr>
        <xdr:cNvPr id="3" name="UPDATE_PLAN1X_DATA" descr="update_org.png"/>
        <xdr:cNvPicPr/>
      </xdr:nvPicPr>
      <xdr:blipFill>
        <a:blip r:embed="rId4"/>
        <a:stretch/>
      </xdr:blipFill>
      <xdr:spPr>
        <a:xfrm>
          <a:off x="254160" y="2162160"/>
          <a:ext cx="287640" cy="320400"/>
        </a:xfrm>
        <a:prstGeom prst="rect">
          <a:avLst/>
        </a:prstGeom>
        <a:ln w="0">
          <a:noFill/>
        </a:ln>
      </xdr:spPr>
    </xdr:pic>
    <xdr:clientData/>
  </xdr:twoCellAnchor>
  <xdr:twoCellAnchor editAs="absolute">
    <xdr:from>
      <xdr:col>3</xdr:col>
      <xdr:colOff>57240</xdr:colOff>
      <xdr:row>65</xdr:row>
      <xdr:rowOff>76320</xdr:rowOff>
    </xdr:from>
    <xdr:to>
      <xdr:col>4</xdr:col>
      <xdr:colOff>321480</xdr:colOff>
      <xdr:row>65</xdr:row>
      <xdr:rowOff>399960</xdr:rowOff>
    </xdr:to>
    <xdr:pic>
      <xdr:nvPicPr>
        <xdr:cNvPr id="4" name="PHONE_PIC_2" descr="update_org.png"/>
        <xdr:cNvPicPr/>
      </xdr:nvPicPr>
      <xdr:blipFill>
        <a:blip r:embed="rId5"/>
        <a:stretch/>
      </xdr:blipFill>
      <xdr:spPr>
        <a:xfrm>
          <a:off x="247680" y="7858080"/>
          <a:ext cx="32796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8</xdr:row>
      <xdr:rowOff>0</xdr:rowOff>
    </xdr:from>
    <xdr:to>
      <xdr:col>6</xdr:col>
      <xdr:colOff>207360</xdr:colOff>
      <xdr:row>8</xdr:row>
      <xdr:rowOff>207360</xdr:rowOff>
    </xdr:to>
    <xdr:pic>
      <xdr:nvPicPr>
        <xdr:cNvPr id="5" name="ExcludeHelp_2" descr="Справка по листу"/>
        <xdr:cNvPicPr/>
      </xdr:nvPicPr>
      <xdr:blipFill>
        <a:blip r:embed="rId1"/>
        <a:stretch/>
      </xdr:blipFill>
      <xdr:spPr>
        <a:xfrm>
          <a:off x="762120" y="743040"/>
          <a:ext cx="207360" cy="20736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6" name="Рисунок 1" descr=""/>
        <xdr:cNvPicPr/>
      </xdr:nvPicPr>
      <xdr:blipFill>
        <a:blip r:embed="rId2"/>
        <a:stretch/>
      </xdr:blipFill>
      <xdr:spPr>
        <a:xfrm>
          <a:off x="495360" y="561960"/>
          <a:ext cx="28548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73440</xdr:colOff>
      <xdr:row>7</xdr:row>
      <xdr:rowOff>0</xdr:rowOff>
    </xdr:from>
    <xdr:to>
      <xdr:col>4</xdr:col>
      <xdr:colOff>155160</xdr:colOff>
      <xdr:row>7</xdr:row>
      <xdr:rowOff>0</xdr:rowOff>
    </xdr:to>
    <xdr:pic>
      <xdr:nvPicPr>
        <xdr:cNvPr id="7" name="Рисунок 8" descr=""/>
        <xdr:cNvPicPr/>
      </xdr:nvPicPr>
      <xdr:blipFill>
        <a:blip r:embed="rId1"/>
        <a:stretch/>
      </xdr:blipFill>
      <xdr:spPr>
        <a:xfrm>
          <a:off x="263880" y="847800"/>
          <a:ext cx="33588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0</xdr:colOff>
      <xdr:row>9</xdr:row>
      <xdr:rowOff>0</xdr:rowOff>
    </xdr:from>
    <xdr:to>
      <xdr:col>7</xdr:col>
      <xdr:colOff>0</xdr:colOff>
      <xdr:row>9</xdr:row>
      <xdr:rowOff>30240</xdr:rowOff>
    </xdr:to>
    <xdr:pic>
      <xdr:nvPicPr>
        <xdr:cNvPr id="8" name="UNFREEZE_PANES_I11" descr="update_org.png"/>
        <xdr:cNvPicPr/>
      </xdr:nvPicPr>
      <xdr:blipFill>
        <a:blip r:embed="rId1"/>
        <a:stretch/>
      </xdr:blipFill>
      <xdr:spPr>
        <a:xfrm>
          <a:off x="0" y="1333440"/>
          <a:ext cx="0" cy="3024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0</xdr:colOff>
      <xdr:row>4</xdr:row>
      <xdr:rowOff>0</xdr:rowOff>
    </xdr:from>
    <xdr:to>
      <xdr:col>7</xdr:col>
      <xdr:colOff>190080</xdr:colOff>
      <xdr:row>4</xdr:row>
      <xdr:rowOff>637560</xdr:rowOff>
    </xdr:to>
    <xdr:pic>
      <xdr:nvPicPr>
        <xdr:cNvPr id="9" name="UNFREEZE_PANES" descr="update_org.png"/>
        <xdr:cNvPicPr/>
      </xdr:nvPicPr>
      <xdr:blipFill>
        <a:blip r:embed="rId1"/>
        <a:stretch/>
      </xdr:blipFill>
      <xdr:spPr>
        <a:xfrm>
          <a:off x="0" y="76320"/>
          <a:ext cx="190080" cy="63756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13</xdr:row>
      <xdr:rowOff>0</xdr:rowOff>
    </xdr:from>
    <xdr:to>
      <xdr:col>2</xdr:col>
      <xdr:colOff>190080</xdr:colOff>
      <xdr:row>13</xdr:row>
      <xdr:rowOff>247320</xdr:rowOff>
    </xdr:to>
    <xdr:pic>
      <xdr:nvPicPr>
        <xdr:cNvPr id="10" name="UNFREEZE_PANES" descr="update_org.png"/>
        <xdr:cNvPicPr/>
      </xdr:nvPicPr>
      <xdr:blipFill>
        <a:blip r:embed="rId1"/>
        <a:stretch/>
      </xdr:blipFill>
      <xdr:spPr>
        <a:xfrm>
          <a:off x="0" y="181080"/>
          <a:ext cx="190080" cy="24732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0</xdr:colOff>
      <xdr:row>13</xdr:row>
      <xdr:rowOff>0</xdr:rowOff>
    </xdr:from>
    <xdr:to>
      <xdr:col>3</xdr:col>
      <xdr:colOff>190080</xdr:colOff>
      <xdr:row>13</xdr:row>
      <xdr:rowOff>171000</xdr:rowOff>
    </xdr:to>
    <xdr:pic>
      <xdr:nvPicPr>
        <xdr:cNvPr id="11" name="UNFREEZE_PANES" descr="update_org.png"/>
        <xdr:cNvPicPr/>
      </xdr:nvPicPr>
      <xdr:blipFill>
        <a:blip r:embed="rId1"/>
        <a:stretch/>
      </xdr:blipFill>
      <xdr:spPr>
        <a:xfrm>
          <a:off x="0" y="76320"/>
          <a:ext cx="190080" cy="17100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4</xdr:row>
      <xdr:rowOff>0</xdr:rowOff>
    </xdr:from>
    <xdr:to>
      <xdr:col>2</xdr:col>
      <xdr:colOff>190080</xdr:colOff>
      <xdr:row>4</xdr:row>
      <xdr:rowOff>247320</xdr:rowOff>
    </xdr:to>
    <xdr:pic>
      <xdr:nvPicPr>
        <xdr:cNvPr id="12" name="UNFREEZE_PANES" descr="update_org.png"/>
        <xdr:cNvPicPr/>
      </xdr:nvPicPr>
      <xdr:blipFill>
        <a:blip r:embed="rId1"/>
        <a:stretch/>
      </xdr:blipFill>
      <xdr:spPr>
        <a:xfrm>
          <a:off x="0" y="76320"/>
          <a:ext cx="190080" cy="247320"/>
        </a:xfrm>
        <a:prstGeom prst="rect">
          <a:avLst/>
        </a:prstGeom>
        <a:ln w="0">
          <a:noFill/>
        </a:ln>
      </xdr:spPr>
    </xdr:pic>
    <xdr:clientData/>
  </xdr:twoCellAnchor>
</xdr:wsDr>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mailto:u1577@gpte76.ru" TargetMode="External"/><Relationship Id="rId3" Type="http://schemas.openxmlformats.org/officeDocument/2006/relationships/drawing" Target="../drawings/drawing1.xml"/><Relationship Id="rId4"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33.xml.rels><?xml version="1.0" encoding="UTF-8"?>
<Relationships xmlns="http://schemas.openxmlformats.org/package/2006/relationships"><Relationship Id="rId1" Type="http://schemas.openxmlformats.org/officeDocument/2006/relationships/hyperlink" Target="https://portal.eias.ru/Portal/DownloadPage.aspx?type=12&amp;guid=87bf061f-2a35-4d8d-a47b-ce5ab2a24924" TargetMode="External"/><Relationship Id="rId2" Type="http://schemas.openxmlformats.org/officeDocument/2006/relationships/hyperlink" Target="https://portal.eias.ru/Portal/DownloadPage.aspx?type=12&amp;guid=87bf061f-2a35-4d8d-a47b-ce5ab2a24924" TargetMode="External"/><Relationship Id="rId3" Type="http://schemas.openxmlformats.org/officeDocument/2006/relationships/hyperlink" Target="https://portal.eias.ru/Portal/DownloadPage.aspx?type=12&amp;guid=87bf061f-2a35-4d8d-a47b-ce5ab2a24924" TargetMode="External"/><Relationship Id="rId4" Type="http://schemas.openxmlformats.org/officeDocument/2006/relationships/hyperlink" Target="https://portal.eias.ru/Portal/DownloadPage.aspx?type=12&amp;guid=87bf061f-2a35-4d8d-a47b-ce5ab2a24924" TargetMode="External"/>
</Relationships>
</file>

<file path=xl/worksheets/_rels/sheet35.xml.rels><?xml version="1.0" encoding="UTF-8"?>
<Relationships xmlns="http://schemas.openxmlformats.org/package/2006/relationships"><Relationship Id="rId1" Type="http://schemas.openxmlformats.org/officeDocument/2006/relationships/drawing" Target="../drawings/drawing4.xml"/>
</Relationships>
</file>

<file path=xl/worksheets/_rels/sheet36.xml.rels><?xml version="1.0" encoding="UTF-8"?>
<Relationships xmlns="http://schemas.openxmlformats.org/package/2006/relationships"><Relationship Id="rId1" Type="http://schemas.openxmlformats.org/officeDocument/2006/relationships/drawing" Target="../drawings/drawing5.xml"/>
</Relationships>
</file>

<file path=xl/worksheets/_rels/sheet47.xml.rels><?xml version="1.0" encoding="UTF-8"?>
<Relationships xmlns="http://schemas.openxmlformats.org/package/2006/relationships"><Relationship Id="rId1" Type="http://schemas.openxmlformats.org/officeDocument/2006/relationships/drawing" Target="../drawings/drawing6.xml"/>
</Relationships>
</file>

<file path=xl/worksheets/_rels/sheet48.xml.rels><?xml version="1.0" encoding="UTF-8"?>
<Relationships xmlns="http://schemas.openxmlformats.org/package/2006/relationships"><Relationship Id="rId1" Type="http://schemas.openxmlformats.org/officeDocument/2006/relationships/drawing" Target="../drawings/drawing7.xml"/>
</Relationships>
</file>

<file path=xl/worksheets/_rels/sheet49.xml.rels><?xml version="1.0" encoding="UTF-8"?>
<Relationships xmlns="http://schemas.openxmlformats.org/package/2006/relationships"><Relationship Id="rId1" Type="http://schemas.openxmlformats.org/officeDocument/2006/relationships/drawing" Target="../drawings/drawing8.xml"/>
</Relationships>
</file>

<file path=xl/worksheets/_rels/sheet51.xml.rels><?xml version="1.0" encoding="UTF-8"?>
<Relationships xmlns="http://schemas.openxmlformats.org/package/2006/relationships"><Relationship Id="rId1" Type="http://schemas.openxmlformats.org/officeDocument/2006/relationships/comments" Target="../comments51.xml"/><Relationship Id="rId2" Type="http://schemas.openxmlformats.org/officeDocument/2006/relationships/vmlDrawing" Target="../drawings/vmlDrawing2.vml"/>
</Relationships>
</file>

<file path=xl/worksheets/_rels/sheet63.xml.rels><?xml version="1.0" encoding="UTF-8"?>
<Relationships xmlns="http://schemas.openxmlformats.org/package/2006/relationships"><Relationship Id="rId1" Type="http://schemas.openxmlformats.org/officeDocument/2006/relationships/comments" Target="../comments63.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1" width="5.42"/>
    <col collapsed="false" customWidth="true" hidden="false" outlineLevel="0" max="2" min="2" style="1" width="9.14"/>
    <col collapsed="false" customWidth="true" hidden="false" outlineLevel="0" max="3" min="3" style="1" width="16.42"/>
    <col collapsed="false" customWidth="true" hidden="false" outlineLevel="0" max="25" min="4" style="1" width="6.28"/>
    <col collapsed="false" customWidth="false" hidden="false" outlineLevel="0" max="28" min="26" style="1" width="11"/>
  </cols>
  <sheetData>
    <row r="1" customFormat="false" ht="15.7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4"/>
      <c r="Z1" s="3"/>
      <c r="AA1" s="5" t="s">
        <v>0</v>
      </c>
      <c r="AB1" s="3"/>
    </row>
    <row r="2" customFormat="false" ht="17.25" hidden="false" customHeight="true" outlineLevel="0" collapsed="false">
      <c r="A2" s="3"/>
      <c r="B2" s="6" t="s">
        <v>1</v>
      </c>
      <c r="C2" s="6"/>
      <c r="D2" s="6"/>
      <c r="E2" s="6"/>
      <c r="F2" s="6"/>
      <c r="G2" s="6"/>
      <c r="H2" s="6"/>
      <c r="I2" s="6"/>
      <c r="J2" s="6"/>
      <c r="K2" s="6"/>
      <c r="L2" s="6"/>
      <c r="M2" s="6"/>
      <c r="N2" s="6"/>
      <c r="O2" s="6"/>
      <c r="P2" s="6"/>
      <c r="Q2" s="7"/>
      <c r="R2" s="7"/>
      <c r="S2" s="7"/>
      <c r="T2" s="7"/>
      <c r="U2" s="7"/>
      <c r="V2" s="8"/>
      <c r="W2" s="7"/>
      <c r="X2" s="7"/>
      <c r="Y2" s="4"/>
      <c r="Z2" s="3"/>
      <c r="AA2" s="5"/>
      <c r="AB2" s="3"/>
    </row>
    <row r="3" customFormat="false" ht="15.75" hidden="false" customHeight="true" outlineLevel="0" collapsed="false">
      <c r="A3" s="3"/>
      <c r="B3" s="9" t="s">
        <v>2</v>
      </c>
      <c r="C3" s="9"/>
      <c r="D3" s="9"/>
      <c r="E3" s="9"/>
      <c r="F3" s="9"/>
      <c r="G3" s="9"/>
      <c r="H3" s="9"/>
      <c r="I3" s="9"/>
      <c r="J3" s="9"/>
      <c r="K3" s="9"/>
      <c r="L3" s="9"/>
      <c r="M3" s="9"/>
      <c r="N3" s="9"/>
      <c r="O3" s="9"/>
      <c r="P3" s="9"/>
      <c r="Q3" s="8"/>
      <c r="R3" s="8"/>
      <c r="S3" s="7"/>
      <c r="T3" s="7"/>
      <c r="U3" s="7"/>
      <c r="V3" s="8"/>
      <c r="W3" s="8"/>
      <c r="X3" s="8"/>
      <c r="Y3" s="8"/>
      <c r="Z3" s="3"/>
      <c r="AA3" s="5"/>
      <c r="AB3" s="3"/>
    </row>
    <row r="4" customFormat="false" ht="17.25" hidden="false" customHeight="true" outlineLevel="0" collapsed="false">
      <c r="A4" s="3"/>
      <c r="B4" s="10"/>
      <c r="C4" s="3"/>
      <c r="D4" s="8"/>
      <c r="E4" s="8"/>
      <c r="F4" s="8"/>
      <c r="G4" s="8"/>
      <c r="H4" s="8"/>
      <c r="I4" s="8"/>
      <c r="J4" s="8"/>
      <c r="K4" s="8"/>
      <c r="L4" s="8"/>
      <c r="M4" s="8"/>
      <c r="N4" s="8"/>
      <c r="O4" s="8"/>
      <c r="P4" s="8"/>
      <c r="Q4" s="8"/>
      <c r="R4" s="8"/>
      <c r="S4" s="8"/>
      <c r="T4" s="8"/>
      <c r="U4" s="8"/>
      <c r="V4" s="8"/>
      <c r="W4" s="8"/>
      <c r="X4" s="8"/>
      <c r="Y4" s="8"/>
      <c r="Z4" s="3"/>
      <c r="AA4" s="5"/>
      <c r="AB4" s="3"/>
    </row>
    <row r="5" customFormat="false" ht="22.5" hidden="false" customHeight="true" outlineLevel="0" collapsed="false">
      <c r="A5" s="11"/>
      <c r="B5" s="12" t="str">
        <f aca="false">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2"/>
      <c r="D5" s="12"/>
      <c r="E5" s="12"/>
      <c r="F5" s="12"/>
      <c r="G5" s="12"/>
      <c r="H5" s="12"/>
      <c r="I5" s="12"/>
      <c r="J5" s="12"/>
      <c r="K5" s="12"/>
      <c r="L5" s="12"/>
      <c r="M5" s="12"/>
      <c r="N5" s="12"/>
      <c r="O5" s="12"/>
      <c r="P5" s="12"/>
      <c r="Q5" s="12"/>
      <c r="R5" s="12"/>
      <c r="S5" s="12"/>
      <c r="T5" s="12"/>
      <c r="U5" s="12"/>
      <c r="V5" s="12"/>
      <c r="W5" s="12"/>
      <c r="X5" s="12"/>
      <c r="Y5" s="12"/>
      <c r="Z5" s="11"/>
      <c r="AA5" s="5"/>
      <c r="AB5" s="11"/>
    </row>
    <row r="6" customFormat="false" ht="15" hidden="false" customHeight="true" outlineLevel="0" collapsed="false">
      <c r="A6" s="13"/>
      <c r="B6" s="14" t="s">
        <v>3</v>
      </c>
      <c r="C6" s="14"/>
      <c r="D6" s="15"/>
      <c r="E6" s="15"/>
      <c r="F6" s="15"/>
      <c r="G6" s="15"/>
      <c r="H6" s="15"/>
      <c r="I6" s="15"/>
      <c r="J6" s="15"/>
      <c r="K6" s="15"/>
      <c r="L6" s="15"/>
      <c r="M6" s="15"/>
      <c r="N6" s="15"/>
      <c r="O6" s="15"/>
      <c r="P6" s="15"/>
      <c r="Q6" s="15"/>
      <c r="R6" s="15"/>
      <c r="S6" s="15"/>
      <c r="T6" s="15"/>
      <c r="U6" s="15"/>
      <c r="V6" s="15"/>
      <c r="W6" s="15"/>
      <c r="X6" s="15"/>
      <c r="Y6" s="16"/>
      <c r="Z6" s="17"/>
      <c r="AA6" s="18"/>
      <c r="AB6" s="18"/>
    </row>
    <row r="7" customFormat="false" ht="15" hidden="false" customHeight="true" outlineLevel="0" collapsed="false">
      <c r="A7" s="13"/>
      <c r="B7" s="14"/>
      <c r="C7" s="14"/>
      <c r="D7" s="15"/>
      <c r="E7" s="15"/>
      <c r="F7" s="19"/>
      <c r="G7" s="19"/>
      <c r="H7" s="19"/>
      <c r="I7" s="19"/>
      <c r="J7" s="19"/>
      <c r="K7" s="19"/>
      <c r="L7" s="19"/>
      <c r="M7" s="19"/>
      <c r="N7" s="19"/>
      <c r="O7" s="15"/>
      <c r="P7" s="19"/>
      <c r="Q7" s="19"/>
      <c r="R7" s="19"/>
      <c r="S7" s="19"/>
      <c r="T7" s="19"/>
      <c r="U7" s="19"/>
      <c r="V7" s="19"/>
      <c r="W7" s="19"/>
      <c r="X7" s="19"/>
      <c r="Y7" s="16"/>
      <c r="Z7" s="17"/>
      <c r="AA7" s="18"/>
      <c r="AB7" s="18"/>
    </row>
    <row r="8" customFormat="false" ht="15" hidden="false" customHeight="true" outlineLevel="0" collapsed="false">
      <c r="A8" s="13"/>
      <c r="B8" s="14"/>
      <c r="C8" s="14"/>
      <c r="D8" s="20"/>
      <c r="E8" s="21" t="s">
        <v>4</v>
      </c>
      <c r="F8" s="22" t="s">
        <v>5</v>
      </c>
      <c r="G8" s="22"/>
      <c r="H8" s="22"/>
      <c r="I8" s="22"/>
      <c r="J8" s="22"/>
      <c r="K8" s="22"/>
      <c r="L8" s="22"/>
      <c r="M8" s="22"/>
      <c r="N8" s="20"/>
      <c r="O8" s="23" t="s">
        <v>4</v>
      </c>
      <c r="P8" s="24" t="s">
        <v>6</v>
      </c>
      <c r="Q8" s="24"/>
      <c r="R8" s="24"/>
      <c r="S8" s="24"/>
      <c r="T8" s="24"/>
      <c r="U8" s="24"/>
      <c r="V8" s="24"/>
      <c r="W8" s="24"/>
      <c r="X8" s="24"/>
      <c r="Y8" s="16"/>
      <c r="Z8" s="17"/>
      <c r="AA8" s="18"/>
      <c r="AB8" s="18"/>
    </row>
    <row r="9" customFormat="false" ht="15" hidden="false" customHeight="true" outlineLevel="0" collapsed="false">
      <c r="A9" s="13"/>
      <c r="B9" s="14"/>
      <c r="C9" s="14"/>
      <c r="D9" s="20"/>
      <c r="E9" s="25" t="s">
        <v>4</v>
      </c>
      <c r="F9" s="22" t="s">
        <v>7</v>
      </c>
      <c r="G9" s="22"/>
      <c r="H9" s="22"/>
      <c r="I9" s="22"/>
      <c r="J9" s="22"/>
      <c r="K9" s="22"/>
      <c r="L9" s="22"/>
      <c r="M9" s="22"/>
      <c r="N9" s="20"/>
      <c r="O9" s="26" t="s">
        <v>4</v>
      </c>
      <c r="P9" s="24" t="s">
        <v>8</v>
      </c>
      <c r="Q9" s="24"/>
      <c r="R9" s="24"/>
      <c r="S9" s="24"/>
      <c r="T9" s="24"/>
      <c r="U9" s="24"/>
      <c r="V9" s="24"/>
      <c r="W9" s="24"/>
      <c r="X9" s="24"/>
      <c r="Y9" s="16"/>
      <c r="Z9" s="17"/>
      <c r="AA9" s="18"/>
      <c r="AB9" s="18"/>
    </row>
    <row r="10" customFormat="false" ht="30" hidden="false" customHeight="true" outlineLevel="0" collapsed="false">
      <c r="A10" s="13"/>
      <c r="B10" s="14"/>
      <c r="C10" s="14"/>
      <c r="D10" s="27"/>
      <c r="E10" s="28"/>
      <c r="F10" s="19"/>
      <c r="G10" s="19"/>
      <c r="H10" s="19"/>
      <c r="I10" s="19"/>
      <c r="J10" s="19"/>
      <c r="K10" s="19"/>
      <c r="L10" s="19"/>
      <c r="M10" s="19"/>
      <c r="N10" s="19"/>
      <c r="O10" s="28"/>
      <c r="P10" s="19"/>
      <c r="Q10" s="19"/>
      <c r="R10" s="19"/>
      <c r="S10" s="19"/>
      <c r="T10" s="19"/>
      <c r="U10" s="19"/>
      <c r="V10" s="19"/>
      <c r="W10" s="19"/>
      <c r="X10" s="19"/>
      <c r="Y10" s="16"/>
      <c r="Z10" s="17"/>
      <c r="AA10" s="18"/>
      <c r="AB10" s="18"/>
    </row>
    <row r="11" customFormat="false" ht="19.5" hidden="false" customHeight="true" outlineLevel="0" collapsed="false">
      <c r="A11" s="13"/>
      <c r="B11" s="29" t="s">
        <v>9</v>
      </c>
      <c r="C11" s="29"/>
      <c r="D11" s="20"/>
      <c r="E11" s="30"/>
      <c r="F11" s="30"/>
      <c r="G11" s="30"/>
      <c r="H11" s="30"/>
      <c r="I11" s="30"/>
      <c r="J11" s="30"/>
      <c r="K11" s="30"/>
      <c r="L11" s="30"/>
      <c r="M11" s="30"/>
      <c r="N11" s="30"/>
      <c r="O11" s="30"/>
      <c r="P11" s="30"/>
      <c r="Q11" s="30"/>
      <c r="R11" s="30"/>
      <c r="S11" s="30"/>
      <c r="T11" s="30"/>
      <c r="U11" s="30"/>
      <c r="V11" s="30"/>
      <c r="W11" s="30"/>
      <c r="X11" s="30"/>
      <c r="Y11" s="16"/>
      <c r="Z11" s="17"/>
      <c r="AA11" s="18"/>
      <c r="AB11" s="18"/>
    </row>
    <row r="12" customFormat="false" ht="69" hidden="false" customHeight="true" outlineLevel="0" collapsed="false">
      <c r="A12" s="13"/>
      <c r="B12" s="29"/>
      <c r="C12" s="29"/>
      <c r="D12" s="31"/>
      <c r="E12" s="32" t="s">
        <v>10</v>
      </c>
      <c r="F12" s="32"/>
      <c r="G12" s="32"/>
      <c r="H12" s="32"/>
      <c r="I12" s="32"/>
      <c r="J12" s="32"/>
      <c r="K12" s="32"/>
      <c r="L12" s="32"/>
      <c r="M12" s="32"/>
      <c r="N12" s="32"/>
      <c r="O12" s="32"/>
      <c r="P12" s="32"/>
      <c r="Q12" s="32"/>
      <c r="R12" s="32"/>
      <c r="S12" s="32"/>
      <c r="T12" s="32"/>
      <c r="U12" s="32"/>
      <c r="V12" s="32"/>
      <c r="W12" s="32"/>
      <c r="X12" s="32"/>
      <c r="Y12" s="16"/>
      <c r="Z12" s="17"/>
      <c r="AA12" s="18"/>
      <c r="AB12" s="18"/>
    </row>
    <row r="13" customFormat="false" ht="15" hidden="false" customHeight="true" outlineLevel="0" collapsed="false">
      <c r="A13" s="13"/>
      <c r="B13" s="33" t="s">
        <v>11</v>
      </c>
      <c r="C13" s="33"/>
      <c r="D13" s="15"/>
      <c r="E13" s="30"/>
      <c r="F13" s="30"/>
      <c r="G13" s="30"/>
      <c r="H13" s="30"/>
      <c r="I13" s="30"/>
      <c r="J13" s="30"/>
      <c r="K13" s="30"/>
      <c r="L13" s="30"/>
      <c r="M13" s="30"/>
      <c r="N13" s="30"/>
      <c r="O13" s="30"/>
      <c r="P13" s="30"/>
      <c r="Q13" s="30"/>
      <c r="R13" s="30"/>
      <c r="S13" s="30"/>
      <c r="T13" s="30"/>
      <c r="U13" s="30"/>
      <c r="V13" s="30"/>
      <c r="W13" s="30"/>
      <c r="X13" s="30"/>
      <c r="Y13" s="16"/>
      <c r="Z13" s="17"/>
      <c r="AA13" s="18"/>
      <c r="AB13" s="18"/>
    </row>
    <row r="14" customFormat="false" ht="57" hidden="false" customHeight="true" outlineLevel="0" collapsed="false">
      <c r="A14" s="13"/>
      <c r="B14" s="33"/>
      <c r="C14" s="33"/>
      <c r="D14" s="20"/>
      <c r="E14" s="34" t="s">
        <v>12</v>
      </c>
      <c r="F14" s="34"/>
      <c r="G14" s="34"/>
      <c r="H14" s="34"/>
      <c r="I14" s="34"/>
      <c r="J14" s="34"/>
      <c r="K14" s="34"/>
      <c r="L14" s="34"/>
      <c r="M14" s="34"/>
      <c r="N14" s="34"/>
      <c r="O14" s="34"/>
      <c r="P14" s="34"/>
      <c r="Q14" s="34"/>
      <c r="R14" s="34"/>
      <c r="S14" s="34"/>
      <c r="T14" s="34"/>
      <c r="U14" s="34"/>
      <c r="V14" s="34"/>
      <c r="W14" s="34"/>
      <c r="X14" s="34"/>
      <c r="Y14" s="16"/>
      <c r="Z14" s="17"/>
      <c r="AA14" s="18"/>
      <c r="AB14" s="18"/>
    </row>
    <row r="15" customFormat="false" ht="16.5" hidden="false" customHeight="true" outlineLevel="0" collapsed="false">
      <c r="A15" s="13"/>
      <c r="B15" s="33"/>
      <c r="C15" s="33"/>
      <c r="D15" s="35"/>
      <c r="E15" s="36"/>
      <c r="F15" s="36"/>
      <c r="G15" s="36"/>
      <c r="H15" s="36"/>
      <c r="I15" s="36"/>
      <c r="J15" s="36"/>
      <c r="K15" s="36"/>
      <c r="L15" s="36"/>
      <c r="M15" s="36"/>
      <c r="N15" s="36"/>
      <c r="O15" s="36"/>
      <c r="P15" s="36"/>
      <c r="Q15" s="36"/>
      <c r="R15" s="36"/>
      <c r="S15" s="36"/>
      <c r="T15" s="36"/>
      <c r="U15" s="36"/>
      <c r="V15" s="36"/>
      <c r="W15" s="36"/>
      <c r="X15" s="36"/>
      <c r="Y15" s="37"/>
      <c r="Z15" s="17"/>
      <c r="AA15" s="38"/>
      <c r="AB15" s="18"/>
    </row>
    <row r="16" customFormat="false" ht="95.25" hidden="false" customHeight="true" outlineLevel="0" collapsed="false">
      <c r="A16" s="3"/>
      <c r="B16" s="34"/>
      <c r="C16" s="34"/>
      <c r="D16" s="34"/>
      <c r="E16" s="34"/>
      <c r="F16" s="34"/>
      <c r="G16" s="34"/>
      <c r="H16" s="34"/>
      <c r="I16" s="34"/>
      <c r="J16" s="34"/>
      <c r="K16" s="34"/>
      <c r="L16" s="34"/>
      <c r="M16" s="34"/>
      <c r="N16" s="34"/>
      <c r="O16" s="34"/>
      <c r="P16" s="34"/>
      <c r="Q16" s="34"/>
      <c r="R16" s="34"/>
      <c r="S16" s="34"/>
      <c r="T16" s="34"/>
      <c r="U16" s="34"/>
      <c r="V16" s="34"/>
      <c r="W16" s="34"/>
      <c r="X16" s="34"/>
      <c r="Y16" s="34"/>
      <c r="Z16" s="3"/>
      <c r="AA16" s="5"/>
      <c r="AB16" s="3"/>
    </row>
    <row r="17" customFormat="false" ht="14.2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customFormat="false" ht="14.2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customFormat="false" ht="14.2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customFormat="false" ht="14.2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customFormat="false" ht="14.2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Q79"/>
  <sheetViews>
    <sheetView showFormulas="false" showGridLines="false" showRowColHeaders="true" showZeros="true" rightToLeft="false" tabSelected="true" showOutlineSymbols="true" defaultGridColor="true" view="normal" topLeftCell="C1" colorId="64" zoomScale="90" zoomScaleNormal="90" zoomScalePageLayoutView="100" workbookViewId="0">
      <selection pane="topLeft" activeCell="F72" activeCellId="0" sqref="F72"/>
    </sheetView>
  </sheetViews>
  <sheetFormatPr defaultColWidth="9.14453125" defaultRowHeight="11.25" zeroHeight="false" outlineLevelRow="0" outlineLevelCol="0"/>
  <cols>
    <col collapsed="false" customWidth="true" hidden="true" outlineLevel="0" max="1" min="1" style="39" width="10.71"/>
    <col collapsed="false" customWidth="true" hidden="true" outlineLevel="0" max="2" min="2" style="40" width="10.71"/>
    <col collapsed="false" customWidth="true" hidden="false" outlineLevel="0" max="3" min="3" style="41" width="3"/>
    <col collapsed="false" customWidth="true" hidden="false" outlineLevel="0" max="4" min="4" style="42" width="1"/>
    <col collapsed="false" customWidth="true" hidden="false" outlineLevel="0" max="6" min="5" style="42" width="55"/>
    <col collapsed="false" customWidth="true" hidden="false" outlineLevel="0" max="7" min="7" style="43" width="1"/>
    <col collapsed="false" customWidth="true" hidden="true" outlineLevel="0" max="8" min="8" style="42" width="18"/>
    <col collapsed="false" customWidth="true" hidden="false" outlineLevel="0" max="9" min="9" style="44" width="59"/>
    <col collapsed="false" customWidth="true" hidden="true" outlineLevel="0" max="10" min="10" style="45" width="52.14"/>
    <col collapsed="false" customWidth="true" hidden="false" outlineLevel="0" max="11" min="11" style="42" width="8"/>
    <col collapsed="false" customWidth="true" hidden="false" outlineLevel="0" max="12" min="12" style="42" width="77"/>
    <col collapsed="false" customWidth="true" hidden="false" outlineLevel="0" max="16" min="13" style="42" width="8"/>
    <col collapsed="false" customWidth="true" hidden="true" outlineLevel="0" max="17" min="17" style="42" width="12"/>
  </cols>
  <sheetData>
    <row r="1" s="47" customFormat="true" ht="3" hidden="false" customHeight="true" outlineLevel="0" collapsed="false">
      <c r="A1" s="39"/>
      <c r="B1" s="46"/>
      <c r="F1" s="47" t="s">
        <v>13</v>
      </c>
      <c r="G1" s="44"/>
      <c r="H1" s="45"/>
      <c r="I1" s="44"/>
      <c r="Q1" s="47" t="s">
        <v>14</v>
      </c>
    </row>
    <row r="2" s="45" customFormat="true" ht="14.25" hidden="false" customHeight="true" outlineLevel="0" collapsed="false">
      <c r="A2" s="39"/>
      <c r="B2" s="40"/>
      <c r="E2" s="48" t="str">
        <f aca="false">code</f>
        <v>Код отчёта: PP110.OPEN.INFO.BALANCE.HEAT.EIAS</v>
      </c>
      <c r="F2" s="49"/>
      <c r="G2" s="50"/>
      <c r="H2" s="50"/>
      <c r="I2" s="50"/>
      <c r="J2" s="51"/>
      <c r="K2" s="50"/>
      <c r="Q2" s="45" t="n">
        <v>14</v>
      </c>
    </row>
    <row r="3" customFormat="false" ht="14.25" hidden="false" customHeight="true" outlineLevel="0" collapsed="false">
      <c r="E3" s="52" t="str">
        <f aca="false">version</f>
        <v>Версия отчёта: 1.1.3</v>
      </c>
      <c r="F3" s="49"/>
      <c r="G3" s="53"/>
      <c r="H3" s="53"/>
      <c r="I3" s="53"/>
      <c r="J3" s="54"/>
      <c r="K3" s="53"/>
      <c r="Q3" s="42" t="n">
        <v>14</v>
      </c>
    </row>
    <row r="4" s="58" customFormat="true" ht="6" hidden="false" customHeight="true" outlineLevel="0" collapsed="false">
      <c r="A4" s="39"/>
      <c r="B4" s="55"/>
      <c r="C4" s="56"/>
      <c r="D4" s="57"/>
      <c r="F4" s="59"/>
      <c r="G4" s="43"/>
      <c r="H4" s="42"/>
      <c r="I4" s="44"/>
      <c r="J4" s="60"/>
      <c r="Q4" s="58" t="n">
        <v>6</v>
      </c>
    </row>
    <row r="5" customFormat="false" ht="39.75" hidden="false" customHeight="true" outlineLevel="0" collapsed="false">
      <c r="D5" s="61"/>
      <c r="E5" s="62" t="str">
        <f aca="false">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62"/>
      <c r="G5" s="63"/>
      <c r="J5" s="64"/>
      <c r="Q5" s="42" t="n">
        <v>38</v>
      </c>
    </row>
    <row r="6" s="58" customFormat="true" ht="6" hidden="false" customHeight="true" outlineLevel="0" collapsed="false">
      <c r="A6" s="39"/>
      <c r="B6" s="55"/>
      <c r="C6" s="56"/>
      <c r="D6" s="57"/>
      <c r="E6" s="65"/>
      <c r="F6" s="66"/>
      <c r="G6" s="63"/>
      <c r="H6" s="42"/>
      <c r="I6" s="44"/>
      <c r="J6" s="60"/>
      <c r="Q6" s="58" t="n">
        <v>6</v>
      </c>
    </row>
    <row r="7" customFormat="false" ht="21" hidden="false" customHeight="true" outlineLevel="0" collapsed="false">
      <c r="D7" s="61"/>
      <c r="E7" s="67" t="s">
        <v>15</v>
      </c>
      <c r="F7" s="68" t="s">
        <v>16</v>
      </c>
      <c r="G7" s="63"/>
      <c r="Q7" s="42" t="n">
        <v>20</v>
      </c>
    </row>
    <row r="8" s="58" customFormat="true" ht="6" hidden="false" customHeight="true" outlineLevel="0" collapsed="false">
      <c r="A8" s="69"/>
      <c r="B8" s="55"/>
      <c r="C8" s="56"/>
      <c r="D8" s="70"/>
      <c r="E8" s="65"/>
      <c r="F8" s="71"/>
      <c r="G8" s="72"/>
      <c r="H8" s="42"/>
      <c r="I8" s="44"/>
      <c r="J8" s="73"/>
      <c r="Q8" s="58" t="n">
        <v>6</v>
      </c>
    </row>
    <row r="9" s="42" customFormat="true" ht="19.5" hidden="true" customHeight="true" outlineLevel="0" collapsed="false">
      <c r="A9" s="39"/>
      <c r="B9" s="40"/>
      <c r="C9" s="41"/>
      <c r="D9" s="61"/>
      <c r="E9" s="67" t="s">
        <v>17</v>
      </c>
      <c r="F9" s="74"/>
      <c r="G9" s="63"/>
      <c r="I9" s="75" t="str">
        <f aca="false">IF(TITLE_STRUCTURE_INFO_ROIV="","","раскрывается "&amp;INDEX(ROIV_INFO_COMMENT,MATCH(TITLE_STRUCTURE_INFO_ROIV,ROIV_INFO_LIST,0)))</f>
        <v/>
      </c>
      <c r="J9" s="45"/>
      <c r="Q9" s="42" t="n">
        <v>0</v>
      </c>
    </row>
    <row r="10" s="58" customFormat="true" ht="24" hidden="true" customHeight="true" outlineLevel="0" collapsed="false">
      <c r="A10" s="69"/>
      <c r="B10" s="55"/>
      <c r="C10" s="56"/>
      <c r="D10" s="70"/>
      <c r="E10" s="67" t="s">
        <v>18</v>
      </c>
      <c r="F10" s="76" t="s">
        <v>19</v>
      </c>
      <c r="G10" s="72"/>
      <c r="H10" s="42"/>
      <c r="I10" s="44"/>
      <c r="J10" s="73"/>
      <c r="Q10" s="58" t="n">
        <v>24</v>
      </c>
    </row>
    <row r="11" customFormat="false" ht="22.5" hidden="true" customHeight="true" outlineLevel="0" collapsed="false">
      <c r="A11" s="77" t="s">
        <v>20</v>
      </c>
      <c r="D11" s="61"/>
      <c r="E11" s="67" t="s">
        <v>21</v>
      </c>
      <c r="F11" s="78"/>
      <c r="G11" s="72"/>
      <c r="H11" s="79" t="s">
        <v>22</v>
      </c>
      <c r="J11" s="45" t="s">
        <v>23</v>
      </c>
      <c r="Q11" s="42" t="n">
        <v>0</v>
      </c>
    </row>
    <row r="12" customFormat="false" ht="22.5" hidden="true" customHeight="true" outlineLevel="0" collapsed="false">
      <c r="A12" s="77"/>
      <c r="D12" s="61"/>
      <c r="E12" s="67" t="s">
        <v>24</v>
      </c>
      <c r="F12" s="78"/>
      <c r="G12" s="80"/>
      <c r="J12" s="45" t="s">
        <v>25</v>
      </c>
      <c r="Q12" s="42" t="n">
        <v>0</v>
      </c>
    </row>
    <row r="13" s="42" customFormat="true" ht="22.5" hidden="true" customHeight="true" outlineLevel="0" collapsed="false">
      <c r="A13" s="81" t="s">
        <v>26</v>
      </c>
      <c r="B13" s="40"/>
      <c r="C13" s="41"/>
      <c r="D13" s="61"/>
      <c r="E13" s="82" t="s">
        <v>27</v>
      </c>
      <c r="F13" s="78"/>
      <c r="G13" s="72"/>
      <c r="H13" s="53"/>
      <c r="I13" s="44"/>
      <c r="J13" s="51" t="s">
        <v>28</v>
      </c>
      <c r="Q13" s="42" t="n">
        <v>0</v>
      </c>
    </row>
    <row r="14" s="42" customFormat="true" ht="27" hidden="false" customHeight="true" outlineLevel="0" collapsed="false">
      <c r="A14" s="81" t="s">
        <v>29</v>
      </c>
      <c r="B14" s="40"/>
      <c r="C14" s="41"/>
      <c r="D14" s="61"/>
      <c r="E14" s="67" t="s">
        <v>30</v>
      </c>
      <c r="F14" s="83" t="n">
        <v>2023</v>
      </c>
      <c r="G14" s="72"/>
      <c r="H14" s="53"/>
      <c r="I14" s="44"/>
      <c r="J14" s="45" t="s">
        <v>31</v>
      </c>
      <c r="Q14" s="42" t="n">
        <v>0</v>
      </c>
    </row>
    <row r="15" s="42" customFormat="true" ht="19.5" hidden="true" customHeight="true" outlineLevel="0" collapsed="false">
      <c r="A15" s="81" t="s">
        <v>32</v>
      </c>
      <c r="B15" s="40"/>
      <c r="C15" s="41"/>
      <c r="D15" s="61"/>
      <c r="E15" s="67" t="s">
        <v>33</v>
      </c>
      <c r="F15" s="83"/>
      <c r="G15" s="72"/>
      <c r="H15" s="53"/>
      <c r="I15" s="44"/>
      <c r="J15" s="45" t="s">
        <v>34</v>
      </c>
      <c r="Q15" s="42" t="n">
        <v>0</v>
      </c>
    </row>
    <row r="16" s="58" customFormat="true" ht="6" hidden="false" customHeight="true" outlineLevel="0" collapsed="false">
      <c r="A16" s="69"/>
      <c r="B16" s="55"/>
      <c r="C16" s="56"/>
      <c r="D16" s="70"/>
      <c r="E16" s="65"/>
      <c r="F16" s="71"/>
      <c r="G16" s="72"/>
      <c r="H16" s="42"/>
      <c r="I16" s="44"/>
      <c r="J16" s="60"/>
      <c r="Q16" s="58" t="n">
        <v>6</v>
      </c>
    </row>
    <row r="17" customFormat="false" ht="21" hidden="false" customHeight="true" outlineLevel="0" collapsed="false">
      <c r="D17" s="61"/>
      <c r="E17" s="67" t="s">
        <v>35</v>
      </c>
      <c r="F17" s="84" t="s">
        <v>36</v>
      </c>
      <c r="G17" s="80"/>
      <c r="H17" s="79" t="s">
        <v>22</v>
      </c>
      <c r="Q17" s="42" t="n">
        <v>20</v>
      </c>
    </row>
    <row r="18" customFormat="false" ht="25.5" hidden="true" customHeight="true" outlineLevel="0" collapsed="false">
      <c r="D18" s="61"/>
      <c r="E18" s="82" t="s">
        <v>37</v>
      </c>
      <c r="F18" s="85"/>
      <c r="G18" s="80"/>
      <c r="I18" s="86"/>
      <c r="J18" s="87" t="s">
        <v>38</v>
      </c>
      <c r="Q18" s="42" t="n">
        <v>0</v>
      </c>
    </row>
    <row r="19" customFormat="false" ht="25.5" hidden="true" customHeight="true" outlineLevel="0" collapsed="false">
      <c r="D19" s="61"/>
      <c r="E19" s="67" t="str">
        <f aca="false">"Дата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85"/>
      <c r="G19" s="80"/>
      <c r="I19" s="86"/>
      <c r="J19" s="87"/>
      <c r="Q19" s="42" t="n">
        <v>0</v>
      </c>
    </row>
    <row r="20" customFormat="false" ht="22.5" hidden="true" customHeight="true" outlineLevel="0" collapsed="false">
      <c r="D20" s="61"/>
      <c r="E20" s="88"/>
      <c r="F20" s="43" t="str">
        <f aca="false">"Первичное "&amp;IF(TEMPLATE_GROUP="P","установление тарифов","предложение по тарифам")</f>
        <v>Первичное предложение по тарифам</v>
      </c>
      <c r="G20" s="80"/>
      <c r="I20" s="72"/>
      <c r="J20" s="64" t="s">
        <v>39</v>
      </c>
      <c r="Q20" s="42" t="n">
        <v>0</v>
      </c>
    </row>
    <row r="21" customFormat="false" ht="19.5" hidden="true" customHeight="true" outlineLevel="0" collapsed="false">
      <c r="D21" s="61"/>
      <c r="E21" s="67" t="str">
        <f aca="false">"Дата "&amp;IF(TEMPLATE_GROUP="P","документа","подачи заявления")&amp;" об утверждении тарифов"</f>
        <v>Дата подачи заявления об утверждении тарифов</v>
      </c>
      <c r="F21" s="78"/>
      <c r="G21" s="80"/>
      <c r="I21" s="89"/>
      <c r="Q21" s="42" t="n">
        <v>0</v>
      </c>
    </row>
    <row r="22" customFormat="false" ht="19.5" hidden="true" customHeight="true" outlineLevel="0" collapsed="false">
      <c r="D22" s="61"/>
      <c r="E22" s="67" t="str">
        <f aca="false">"Номер "&amp;IF(TEMPLATE_GROUP="P","документа","подачи заявления")&amp;" об утверждении тарифов"</f>
        <v>Номер подачи заявления об утверждении тарифов</v>
      </c>
      <c r="F22" s="84"/>
      <c r="G22" s="80"/>
      <c r="I22" s="89"/>
      <c r="Q22" s="42" t="n">
        <v>0</v>
      </c>
    </row>
    <row r="23" customFormat="false" ht="22.5" hidden="true" customHeight="true" outlineLevel="0" collapsed="false">
      <c r="D23" s="61"/>
      <c r="E23" s="67" t="s">
        <v>40</v>
      </c>
      <c r="F23" s="84"/>
      <c r="G23" s="80"/>
      <c r="Q23" s="42" t="n">
        <v>0</v>
      </c>
    </row>
    <row r="24" customFormat="false" ht="19.5" hidden="true" customHeight="true" outlineLevel="0" collapsed="false">
      <c r="D24" s="61"/>
      <c r="E24" s="67" t="s">
        <v>41</v>
      </c>
      <c r="F24" s="84"/>
      <c r="G24" s="80"/>
      <c r="Q24" s="42" t="n">
        <v>0</v>
      </c>
    </row>
    <row r="25" customFormat="false" ht="22.5" hidden="true" customHeight="true" outlineLevel="0" collapsed="false">
      <c r="D25" s="61"/>
      <c r="E25" s="88"/>
      <c r="F25" s="43" t="str">
        <f aca="false">"Изменение "&amp;IF(TEMPLATE_GROUP="P","тарифов","предложения по тарифам")</f>
        <v>Изменение предложения по тарифам</v>
      </c>
      <c r="G25" s="80"/>
      <c r="J25" s="64" t="s">
        <v>42</v>
      </c>
      <c r="Q25" s="42" t="n">
        <v>0</v>
      </c>
    </row>
    <row r="26" customFormat="false" ht="19.5" hidden="true" customHeight="true" outlineLevel="0" collapsed="false">
      <c r="D26" s="61"/>
      <c r="E26" s="67" t="str">
        <f aca="false">"Дата "&amp;IF(TEMPLATE_GROUP="P","принятия решения","подачи заявления")&amp;" об изменении тарифов"</f>
        <v>Дата подачи заявления об изменении тарифов</v>
      </c>
      <c r="F26" s="85"/>
      <c r="G26" s="80"/>
      <c r="Q26" s="42" t="n">
        <v>0</v>
      </c>
    </row>
    <row r="27" customFormat="false" ht="19.5" hidden="true" customHeight="true" outlineLevel="0" collapsed="false">
      <c r="D27" s="61"/>
      <c r="E27" s="67" t="str">
        <f aca="false">"Номер "&amp;IF(TEMPLATE_GROUP="P","принятия решения","заявления")&amp;" об изменении тарифов"</f>
        <v>Номер заявления об изменении тарифов</v>
      </c>
      <c r="F27" s="90"/>
      <c r="G27" s="80"/>
      <c r="Q27" s="42" t="n">
        <v>0</v>
      </c>
    </row>
    <row r="28" customFormat="false" ht="24.75" hidden="true" customHeight="true" outlineLevel="0" collapsed="false">
      <c r="D28" s="61"/>
      <c r="E28" s="67" t="s">
        <v>43</v>
      </c>
      <c r="F28" s="90"/>
      <c r="G28" s="80"/>
      <c r="Q28" s="42" t="n">
        <v>0</v>
      </c>
    </row>
    <row r="29" customFormat="false" ht="19.5" hidden="true" customHeight="true" outlineLevel="0" collapsed="false">
      <c r="D29" s="61"/>
      <c r="E29" s="67" t="s">
        <v>41</v>
      </c>
      <c r="F29" s="90"/>
      <c r="G29" s="80"/>
      <c r="Q29" s="42" t="n">
        <v>0</v>
      </c>
    </row>
    <row r="30" s="58" customFormat="true" ht="6" hidden="false" customHeight="true" outlineLevel="0" collapsed="false">
      <c r="A30" s="69"/>
      <c r="B30" s="55"/>
      <c r="C30" s="56"/>
      <c r="D30" s="70"/>
      <c r="E30" s="65"/>
      <c r="F30" s="71"/>
      <c r="G30" s="72"/>
      <c r="H30" s="42"/>
      <c r="I30" s="44"/>
      <c r="J30" s="60"/>
      <c r="Q30" s="58" t="n">
        <v>6</v>
      </c>
    </row>
    <row r="31" customFormat="false" ht="21" hidden="false" customHeight="true" outlineLevel="0" collapsed="false">
      <c r="C31" s="91"/>
      <c r="D31" s="92"/>
      <c r="E31" s="67" t="str">
        <f aca="false">"Наименование "&amp;IF(TEMPLATE_GROUP="ROIV","органа тарифного регулирования","ЮЛ / ИП")</f>
        <v>Наименование ЮЛ / ИП</v>
      </c>
      <c r="F31" s="93" t="s">
        <v>44</v>
      </c>
      <c r="G31" s="94"/>
      <c r="Q31" s="42" t="n">
        <v>20</v>
      </c>
    </row>
    <row r="32" customFormat="false" ht="21" hidden="true" customHeight="true" outlineLevel="0" collapsed="false">
      <c r="C32" s="91"/>
      <c r="D32" s="92"/>
      <c r="E32" s="95" t="s">
        <v>45</v>
      </c>
      <c r="F32" s="93"/>
      <c r="G32" s="94"/>
      <c r="Q32" s="42" t="n">
        <v>20</v>
      </c>
    </row>
    <row r="33" customFormat="false" ht="21" hidden="false" customHeight="true" outlineLevel="0" collapsed="false">
      <c r="C33" s="91"/>
      <c r="D33" s="92"/>
      <c r="E33" s="67" t="s">
        <v>46</v>
      </c>
      <c r="F33" s="93" t="s">
        <v>47</v>
      </c>
      <c r="G33" s="94"/>
      <c r="Q33" s="42" t="n">
        <v>20</v>
      </c>
    </row>
    <row r="34" customFormat="false" ht="21" hidden="false" customHeight="true" outlineLevel="0" collapsed="false">
      <c r="C34" s="91"/>
      <c r="D34" s="92"/>
      <c r="E34" s="67" t="s">
        <v>48</v>
      </c>
      <c r="F34" s="93" t="s">
        <v>49</v>
      </c>
      <c r="G34" s="94"/>
      <c r="H34" s="96"/>
      <c r="Q34" s="42" t="n">
        <v>20</v>
      </c>
    </row>
    <row r="35" s="58" customFormat="true" ht="11.25" hidden="false" customHeight="true" outlineLevel="0" collapsed="false">
      <c r="A35" s="69"/>
      <c r="B35" s="55"/>
      <c r="C35" s="56"/>
      <c r="D35" s="70"/>
      <c r="E35" s="65"/>
      <c r="F35" s="71"/>
      <c r="G35" s="72"/>
      <c r="H35" s="42"/>
      <c r="I35" s="44"/>
      <c r="J35" s="60"/>
      <c r="Q35" s="58" t="n">
        <v>11</v>
      </c>
    </row>
    <row r="36" customFormat="false" ht="19.5" hidden="false" customHeight="true" outlineLevel="0" collapsed="false">
      <c r="A36" s="97"/>
      <c r="D36" s="92"/>
      <c r="E36" s="67" t="s">
        <v>50</v>
      </c>
      <c r="F36" s="98" t="s">
        <v>51</v>
      </c>
      <c r="G36" s="72"/>
      <c r="Q36" s="42" t="n">
        <v>0</v>
      </c>
    </row>
    <row r="37" customFormat="false" ht="21" hidden="false" customHeight="true" outlineLevel="0" collapsed="false">
      <c r="A37" s="97"/>
      <c r="D37" s="92"/>
      <c r="E37" s="67" t="s">
        <v>52</v>
      </c>
      <c r="F37" s="98" t="s">
        <v>53</v>
      </c>
      <c r="G37" s="72"/>
      <c r="Q37" s="42" t="n">
        <v>20</v>
      </c>
    </row>
    <row r="38" s="58" customFormat="true" ht="6" hidden="false" customHeight="true" outlineLevel="0" collapsed="false">
      <c r="A38" s="69"/>
      <c r="B38" s="55"/>
      <c r="C38" s="56"/>
      <c r="D38" s="57"/>
      <c r="E38" s="99"/>
      <c r="F38" s="100"/>
      <c r="G38" s="80"/>
      <c r="H38" s="42"/>
      <c r="I38" s="44"/>
      <c r="J38" s="45"/>
      <c r="Q38" s="58" t="n">
        <v>6</v>
      </c>
    </row>
    <row r="39" customFormat="false" ht="36.75" hidden="false" customHeight="true" outlineLevel="0" collapsed="false">
      <c r="A39" s="69"/>
      <c r="D39" s="61"/>
      <c r="E39" s="67" t="s">
        <v>54</v>
      </c>
      <c r="F39" s="76" t="s">
        <v>19</v>
      </c>
      <c r="G39" s="80"/>
      <c r="H39" s="79" t="s">
        <v>22</v>
      </c>
      <c r="Q39" s="42" t="n">
        <v>35</v>
      </c>
    </row>
    <row r="40" s="58" customFormat="true" ht="6" hidden="true" customHeight="true" outlineLevel="0" collapsed="false">
      <c r="A40" s="39"/>
      <c r="B40" s="55"/>
      <c r="C40" s="56"/>
      <c r="D40" s="57"/>
      <c r="E40" s="99"/>
      <c r="F40" s="100"/>
      <c r="G40" s="80"/>
      <c r="H40" s="42"/>
      <c r="I40" s="44"/>
      <c r="J40" s="45"/>
      <c r="Q40" s="58" t="n">
        <v>6</v>
      </c>
    </row>
    <row r="41" s="42" customFormat="true" ht="26.25" hidden="true" customHeight="true" outlineLevel="0" collapsed="false">
      <c r="A41" s="81" t="s">
        <v>26</v>
      </c>
      <c r="B41" s="40"/>
      <c r="C41" s="41"/>
      <c r="D41" s="61"/>
      <c r="E41" s="67" t="str">
        <f aca="false">"Дифференциация информации по централизованным системам  "&amp;TEMPLATE_SPHERE_RUS</f>
        <v>Дифференциация информации по централизованным системам  теплоснабжения</v>
      </c>
      <c r="F41" s="76" t="s">
        <v>19</v>
      </c>
      <c r="G41" s="80"/>
      <c r="I41" s="44"/>
      <c r="J41" s="45"/>
      <c r="Q41" s="42" t="n">
        <v>0</v>
      </c>
    </row>
    <row r="42" s="58" customFormat="true" ht="6" hidden="true" customHeight="true" outlineLevel="0" collapsed="false">
      <c r="A42" s="39"/>
      <c r="B42" s="55"/>
      <c r="C42" s="56"/>
      <c r="D42" s="57"/>
      <c r="E42" s="99"/>
      <c r="F42" s="100"/>
      <c r="G42" s="80"/>
      <c r="H42" s="42"/>
      <c r="I42" s="44"/>
      <c r="J42" s="60"/>
      <c r="Q42" s="58" t="n">
        <v>0</v>
      </c>
    </row>
    <row r="43" s="42" customFormat="true" ht="27" hidden="true" customHeight="true" outlineLevel="0" collapsed="false">
      <c r="A43" s="39"/>
      <c r="B43" s="40"/>
      <c r="C43" s="41"/>
      <c r="D43" s="61"/>
      <c r="E43" s="67" t="s">
        <v>55</v>
      </c>
      <c r="F43" s="76" t="s">
        <v>19</v>
      </c>
      <c r="G43" s="80"/>
      <c r="I43" s="44"/>
      <c r="J43" s="45"/>
      <c r="Q43" s="42" t="n">
        <v>0</v>
      </c>
    </row>
    <row r="44" s="42" customFormat="true" ht="27" hidden="true" customHeight="true" outlineLevel="0" collapsed="false">
      <c r="A44" s="39"/>
      <c r="B44" s="40"/>
      <c r="C44" s="41"/>
      <c r="D44" s="61"/>
      <c r="E44" s="67" t="s">
        <v>56</v>
      </c>
      <c r="F44" s="101"/>
      <c r="G44" s="80"/>
      <c r="I44" s="44"/>
      <c r="J44" s="45"/>
      <c r="Q44" s="42" t="n">
        <v>0</v>
      </c>
    </row>
    <row r="45" s="58" customFormat="true" ht="6" hidden="true" customHeight="true" outlineLevel="0" collapsed="false">
      <c r="A45" s="39"/>
      <c r="B45" s="55"/>
      <c r="C45" s="56"/>
      <c r="D45" s="57"/>
      <c r="E45" s="99"/>
      <c r="F45" s="100"/>
      <c r="G45" s="80"/>
      <c r="H45" s="42"/>
      <c r="I45" s="44"/>
      <c r="J45" s="45"/>
      <c r="Q45" s="58" t="n">
        <v>0</v>
      </c>
    </row>
    <row r="46" s="58" customFormat="true" ht="24.75" hidden="true" customHeight="true" outlineLevel="0" collapsed="false">
      <c r="A46" s="39"/>
      <c r="B46" s="55"/>
      <c r="C46" s="56"/>
      <c r="D46" s="57"/>
      <c r="E46" s="67" t="s">
        <v>57</v>
      </c>
      <c r="F46" s="76" t="s">
        <v>19</v>
      </c>
      <c r="G46" s="80"/>
      <c r="H46" s="42"/>
      <c r="I46" s="44"/>
      <c r="J46" s="45"/>
      <c r="Q46" s="58" t="n">
        <v>0</v>
      </c>
    </row>
    <row r="47" s="42" customFormat="true" ht="24.75" hidden="true" customHeight="true" outlineLevel="0" collapsed="false">
      <c r="A47" s="39"/>
      <c r="B47" s="40"/>
      <c r="C47" s="41"/>
      <c r="D47" s="61"/>
      <c r="E47" s="67" t="s">
        <v>58</v>
      </c>
      <c r="F47" s="76" t="s">
        <v>19</v>
      </c>
      <c r="G47" s="80"/>
      <c r="I47" s="44"/>
      <c r="J47" s="45"/>
      <c r="Q47" s="42" t="n">
        <v>0</v>
      </c>
    </row>
    <row r="48" s="58" customFormat="true" ht="6" hidden="true" customHeight="true" outlineLevel="0" collapsed="false">
      <c r="A48" s="39"/>
      <c r="B48" s="55"/>
      <c r="C48" s="56"/>
      <c r="D48" s="57"/>
      <c r="E48" s="99"/>
      <c r="F48" s="100"/>
      <c r="G48" s="80"/>
      <c r="H48" s="42"/>
      <c r="I48" s="44"/>
      <c r="J48" s="45"/>
      <c r="Q48" s="58" t="n">
        <v>0</v>
      </c>
    </row>
    <row r="49" customFormat="false" ht="29.25" hidden="true" customHeight="true" outlineLevel="0" collapsed="false">
      <c r="D49" s="61"/>
      <c r="E49" s="67" t="str">
        <f aca="false">"Организация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
      <c r="G49" s="80"/>
      <c r="Q49" s="42" t="n">
        <v>0</v>
      </c>
    </row>
    <row r="50" s="58" customFormat="true" ht="6" hidden="false" customHeight="true" outlineLevel="0" collapsed="false">
      <c r="A50" s="69"/>
      <c r="B50" s="55"/>
      <c r="C50" s="56"/>
      <c r="D50" s="70"/>
      <c r="E50" s="65"/>
      <c r="F50" s="71"/>
      <c r="G50" s="72"/>
      <c r="H50" s="42"/>
      <c r="I50" s="44"/>
      <c r="J50" s="45"/>
      <c r="Q50" s="58" t="n">
        <v>0</v>
      </c>
    </row>
    <row r="51" s="42" customFormat="true" ht="28.5" hidden="false" customHeight="true" outlineLevel="0" collapsed="false">
      <c r="A51" s="102"/>
      <c r="B51" s="40"/>
      <c r="C51" s="41"/>
      <c r="D51" s="44"/>
      <c r="E51" s="67" t="s">
        <v>59</v>
      </c>
      <c r="F51" s="76" t="s">
        <v>19</v>
      </c>
      <c r="G51" s="43"/>
      <c r="I51" s="44"/>
      <c r="J51" s="45"/>
      <c r="P51" s="103"/>
      <c r="Q51" s="42" t="n">
        <v>0</v>
      </c>
    </row>
    <row r="52" s="58" customFormat="true" ht="6" hidden="false" customHeight="true" outlineLevel="0" collapsed="false">
      <c r="A52" s="69"/>
      <c r="B52" s="55"/>
      <c r="C52" s="56"/>
      <c r="D52" s="70"/>
      <c r="E52" s="65"/>
      <c r="F52" s="71"/>
      <c r="G52" s="72"/>
      <c r="H52" s="42"/>
      <c r="I52" s="44"/>
      <c r="J52" s="60"/>
      <c r="Q52" s="58" t="n">
        <v>0</v>
      </c>
    </row>
    <row r="53" s="42" customFormat="true" ht="27" hidden="false" customHeight="true" outlineLevel="0" collapsed="false">
      <c r="A53" s="102"/>
      <c r="B53" s="40"/>
      <c r="C53" s="41"/>
      <c r="D53" s="44"/>
      <c r="E53" s="67" t="s">
        <v>60</v>
      </c>
      <c r="F53" s="104" t="s">
        <v>61</v>
      </c>
      <c r="G53" s="43"/>
      <c r="I53" s="44"/>
      <c r="J53" s="45"/>
      <c r="P53" s="103"/>
      <c r="Q53" s="42" t="n">
        <v>0</v>
      </c>
    </row>
    <row r="54" s="42" customFormat="true" ht="27" hidden="false" customHeight="true" outlineLevel="0" collapsed="false">
      <c r="A54" s="102"/>
      <c r="B54" s="40"/>
      <c r="C54" s="41"/>
      <c r="D54" s="44"/>
      <c r="E54" s="67" t="s">
        <v>62</v>
      </c>
      <c r="F54" s="105" t="n">
        <v>45380.4759259259</v>
      </c>
      <c r="G54" s="43"/>
      <c r="I54" s="44"/>
      <c r="J54" s="45"/>
      <c r="P54" s="103"/>
      <c r="Q54" s="42" t="n">
        <v>0</v>
      </c>
    </row>
    <row r="55" s="58" customFormat="true" ht="6" hidden="false" customHeight="true" outlineLevel="0" collapsed="false">
      <c r="A55" s="69"/>
      <c r="B55" s="55"/>
      <c r="C55" s="56"/>
      <c r="D55" s="70"/>
      <c r="E55" s="65"/>
      <c r="F55" s="71"/>
      <c r="G55" s="72"/>
      <c r="H55" s="42"/>
      <c r="I55" s="44"/>
      <c r="J55" s="60"/>
      <c r="Q55" s="58" t="n">
        <v>0</v>
      </c>
    </row>
    <row r="56" s="42" customFormat="true" ht="25.5" hidden="false" customHeight="true" outlineLevel="0" collapsed="false">
      <c r="A56" s="102"/>
      <c r="B56" s="40"/>
      <c r="C56" s="41"/>
      <c r="D56" s="44"/>
      <c r="E56" s="67" t="s">
        <v>63</v>
      </c>
      <c r="F56" s="104" t="s">
        <v>61</v>
      </c>
      <c r="G56" s="43"/>
      <c r="I56" s="44"/>
      <c r="J56" s="45"/>
      <c r="P56" s="103"/>
      <c r="Q56" s="42" t="n">
        <v>0</v>
      </c>
    </row>
    <row r="57" s="58" customFormat="true" ht="6" hidden="false" customHeight="true" outlineLevel="0" collapsed="false">
      <c r="A57" s="69"/>
      <c r="B57" s="55"/>
      <c r="C57" s="56"/>
      <c r="D57" s="70"/>
      <c r="E57" s="65"/>
      <c r="F57" s="71"/>
      <c r="G57" s="72"/>
      <c r="H57" s="42"/>
      <c r="I57" s="44"/>
      <c r="J57" s="60"/>
      <c r="Q57" s="58" t="n">
        <v>0</v>
      </c>
    </row>
    <row r="58" s="42" customFormat="true" ht="15" hidden="false" customHeight="true" outlineLevel="0" collapsed="false">
      <c r="A58" s="102"/>
      <c r="B58" s="40"/>
      <c r="C58" s="41"/>
      <c r="D58" s="44"/>
      <c r="E58" s="67" t="s">
        <v>64</v>
      </c>
      <c r="F58" s="104" t="s">
        <v>61</v>
      </c>
      <c r="G58" s="43"/>
      <c r="I58" s="44"/>
      <c r="J58" s="45"/>
      <c r="P58" s="103"/>
      <c r="Q58" s="42" t="n">
        <v>0</v>
      </c>
    </row>
    <row r="59" s="42" customFormat="true" ht="75" hidden="false" customHeight="true" outlineLevel="0" collapsed="false">
      <c r="A59" s="102"/>
      <c r="B59" s="40"/>
      <c r="C59" s="41"/>
      <c r="D59" s="44"/>
      <c r="E59" s="67" t="str">
        <f aca="false">"Инвестиционная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4" t="s">
        <v>61</v>
      </c>
      <c r="G59" s="43"/>
      <c r="I59" s="44"/>
      <c r="J59" s="45"/>
      <c r="P59" s="103"/>
      <c r="Q59" s="42" t="n">
        <v>0</v>
      </c>
    </row>
    <row r="60" s="42" customFormat="true" ht="15" hidden="false" customHeight="true" outlineLevel="0" collapsed="false">
      <c r="A60" s="102"/>
      <c r="B60" s="40"/>
      <c r="C60" s="41"/>
      <c r="D60" s="44"/>
      <c r="E60" s="67" t="s">
        <v>65</v>
      </c>
      <c r="F60" s="98" t="s">
        <v>66</v>
      </c>
      <c r="G60" s="43"/>
      <c r="I60" s="44"/>
      <c r="J60" s="45"/>
      <c r="P60" s="103"/>
      <c r="Q60" s="42" t="n">
        <v>0</v>
      </c>
    </row>
    <row r="61" s="58" customFormat="true" ht="6" hidden="true" customHeight="true" outlineLevel="0" collapsed="false">
      <c r="A61" s="69"/>
      <c r="B61" s="55"/>
      <c r="C61" s="56"/>
      <c r="D61" s="57"/>
      <c r="E61" s="99"/>
      <c r="F61" s="100"/>
      <c r="G61" s="80"/>
      <c r="H61" s="42"/>
      <c r="I61" s="44"/>
      <c r="J61" s="45"/>
      <c r="Q61" s="58" t="n">
        <v>0</v>
      </c>
    </row>
    <row r="62" s="42" customFormat="true" ht="33.75" hidden="true" customHeight="true" outlineLevel="0" collapsed="false">
      <c r="A62" s="69"/>
      <c r="B62" s="40"/>
      <c r="C62" s="41"/>
      <c r="D62" s="61"/>
      <c r="E62" s="67" t="s">
        <v>67</v>
      </c>
      <c r="F62" s="76" t="s">
        <v>61</v>
      </c>
      <c r="G62" s="80"/>
      <c r="H62" s="79" t="s">
        <v>22</v>
      </c>
      <c r="I62" s="44"/>
      <c r="J62" s="45"/>
      <c r="Q62" s="42" t="n">
        <v>0</v>
      </c>
    </row>
    <row r="63" s="58" customFormat="true" ht="6" hidden="false" customHeight="true" outlineLevel="0" collapsed="false">
      <c r="A63" s="69"/>
      <c r="B63" s="55"/>
      <c r="C63" s="56"/>
      <c r="D63" s="70"/>
      <c r="E63" s="65"/>
      <c r="F63" s="71"/>
      <c r="G63" s="72"/>
      <c r="H63" s="42"/>
      <c r="I63" s="44"/>
      <c r="J63" s="60"/>
      <c r="Q63" s="58" t="n">
        <v>6</v>
      </c>
    </row>
    <row r="64" customFormat="false" ht="21" hidden="false" customHeight="true" outlineLevel="0" collapsed="false">
      <c r="B64" s="106"/>
      <c r="D64" s="107"/>
      <c r="E64" s="67" t="s">
        <v>68</v>
      </c>
      <c r="F64" s="84" t="s">
        <v>69</v>
      </c>
      <c r="G64" s="72"/>
      <c r="Q64" s="42" t="n">
        <v>20</v>
      </c>
    </row>
    <row r="65" customFormat="false" ht="21" hidden="false" customHeight="true" outlineLevel="0" collapsed="false">
      <c r="B65" s="106"/>
      <c r="D65" s="107"/>
      <c r="E65" s="67" t="s">
        <v>70</v>
      </c>
      <c r="F65" s="84" t="s">
        <v>71</v>
      </c>
      <c r="G65" s="72"/>
      <c r="Q65" s="42" t="n">
        <v>20</v>
      </c>
    </row>
    <row r="66" customFormat="false" ht="36.75" hidden="false" customHeight="true" outlineLevel="0" collapsed="false">
      <c r="D66" s="61"/>
      <c r="E66" s="108" t="s">
        <v>72</v>
      </c>
      <c r="F66" s="109"/>
      <c r="G66" s="80"/>
      <c r="Q66" s="42" t="n">
        <v>35</v>
      </c>
    </row>
    <row r="67" customFormat="false" ht="21" hidden="false" customHeight="true" outlineLevel="0" collapsed="false">
      <c r="D67" s="61"/>
      <c r="E67" s="67" t="s">
        <v>73</v>
      </c>
      <c r="F67" s="84" t="s">
        <v>74</v>
      </c>
      <c r="G67" s="72"/>
      <c r="Q67" s="42" t="n">
        <v>20</v>
      </c>
    </row>
    <row r="68" customFormat="false" ht="21" hidden="false" customHeight="true" outlineLevel="0" collapsed="false">
      <c r="B68" s="106"/>
      <c r="D68" s="107"/>
      <c r="E68" s="67" t="s">
        <v>75</v>
      </c>
      <c r="F68" s="84" t="s">
        <v>76</v>
      </c>
      <c r="G68" s="72"/>
      <c r="Q68" s="42" t="n">
        <v>20</v>
      </c>
    </row>
    <row r="69" customFormat="false" ht="21" hidden="false" customHeight="true" outlineLevel="0" collapsed="false">
      <c r="B69" s="106"/>
      <c r="D69" s="107"/>
      <c r="E69" s="67" t="s">
        <v>77</v>
      </c>
      <c r="F69" s="84" t="s">
        <v>78</v>
      </c>
      <c r="G69" s="72"/>
      <c r="Q69" s="42" t="n">
        <v>20</v>
      </c>
    </row>
    <row r="70" customFormat="false" ht="21" hidden="false" customHeight="true" outlineLevel="0" collapsed="false">
      <c r="D70" s="61"/>
      <c r="E70" s="67" t="s">
        <v>79</v>
      </c>
      <c r="F70" s="110" t="s">
        <v>80</v>
      </c>
      <c r="G70" s="80"/>
      <c r="Q70" s="42" t="n">
        <v>20</v>
      </c>
    </row>
    <row r="71" customFormat="false" ht="21" hidden="false" customHeight="true" outlineLevel="0" collapsed="false">
      <c r="D71" s="80"/>
      <c r="F71" s="111"/>
      <c r="G71" s="72"/>
      <c r="Q71" s="42" t="n">
        <v>20</v>
      </c>
    </row>
    <row r="72" customFormat="false" ht="21" hidden="false" customHeight="true" outlineLevel="0" collapsed="false">
      <c r="B72" s="106"/>
      <c r="D72" s="107"/>
      <c r="E72" s="112"/>
      <c r="F72" s="113" t="s">
        <v>13</v>
      </c>
      <c r="G72" s="72"/>
      <c r="Q72" s="42" t="n">
        <v>20</v>
      </c>
    </row>
    <row r="73" customFormat="false" ht="21" hidden="false" customHeight="true" outlineLevel="0" collapsed="false">
      <c r="B73" s="106"/>
      <c r="D73" s="107"/>
      <c r="E73" s="112"/>
      <c r="F73" s="114"/>
      <c r="G73" s="72"/>
      <c r="Q73" s="42" t="n">
        <v>20</v>
      </c>
    </row>
    <row r="74" customFormat="false" ht="21" hidden="false" customHeight="true" outlineLevel="0" collapsed="false">
      <c r="B74" s="106"/>
      <c r="D74" s="107"/>
      <c r="E74" s="115"/>
      <c r="F74" s="114"/>
      <c r="G74" s="72"/>
      <c r="Q74" s="42" t="n">
        <v>20</v>
      </c>
    </row>
    <row r="75" customFormat="false" ht="21" hidden="false" customHeight="true" outlineLevel="0" collapsed="false">
      <c r="B75" s="106"/>
      <c r="D75" s="107"/>
      <c r="E75" s="112"/>
      <c r="F75" s="114"/>
      <c r="G75" s="72"/>
      <c r="Q75" s="42" t="n">
        <v>20</v>
      </c>
    </row>
    <row r="76" customFormat="false" ht="11.25" hidden="false" customHeight="true" outlineLevel="0" collapsed="false">
      <c r="Q76" s="42" t="n">
        <v>11</v>
      </c>
    </row>
    <row r="77" customFormat="false" ht="11.25" hidden="false" customHeight="true" outlineLevel="0" collapsed="false">
      <c r="Q77" s="42" t="n">
        <v>11</v>
      </c>
    </row>
    <row r="78" customFormat="false" ht="11.25" hidden="false" customHeight="true" outlineLevel="0" collapsed="false">
      <c r="E78" s="116"/>
      <c r="F78" s="116"/>
      <c r="G78" s="116"/>
      <c r="H78" s="116"/>
      <c r="I78" s="116"/>
      <c r="Q78" s="42" t="n">
        <v>11</v>
      </c>
    </row>
    <row r="79" customFormat="false" ht="11.25" hidden="true" customHeight="true" outlineLevel="0" collapsed="false">
      <c r="A79" s="39" t="s">
        <v>81</v>
      </c>
      <c r="B79" s="40" t="n">
        <v>0</v>
      </c>
      <c r="C79" s="41" t="n">
        <v>3</v>
      </c>
      <c r="D79" s="42" t="n">
        <v>1</v>
      </c>
      <c r="E79" s="42" t="n">
        <v>55</v>
      </c>
      <c r="F79" s="42" t="n">
        <v>54</v>
      </c>
      <c r="G79" s="43" t="n">
        <v>1</v>
      </c>
      <c r="H79" s="42" t="n">
        <v>0</v>
      </c>
      <c r="I79" s="44" t="n">
        <v>59</v>
      </c>
      <c r="J79" s="45" t="n">
        <v>0</v>
      </c>
      <c r="K79" s="42" t="n">
        <v>8</v>
      </c>
      <c r="L79" s="42" t="n">
        <v>77</v>
      </c>
      <c r="M79" s="42" t="n">
        <v>8</v>
      </c>
      <c r="N79" s="42" t="n">
        <v>8</v>
      </c>
      <c r="O79" s="42" t="n">
        <v>8</v>
      </c>
      <c r="P79" s="42" t="n">
        <v>8</v>
      </c>
      <c r="Q79" s="42" t="n">
        <v>11</v>
      </c>
    </row>
  </sheetData>
  <mergeCells count="3">
    <mergeCell ref="E5:F5"/>
    <mergeCell ref="A11:A12"/>
    <mergeCell ref="J18:J19"/>
  </mergeCells>
  <dataValidations count="13">
    <dataValidation allowBlank="true" error="Допускается ввод не более 900 символов!" errorStyle="stop" errorTitle="Ошибка" operator="lessThanOrEqual" showDropDown="false" showErrorMessage="true" showInputMessage="true" sqref="F22:F24 F27:F29 F32 F64:F65 F67:F70 F72:F75"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8 F61" type="list">
      <formula1>kind_of_NDS</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1:F13 F18:F19 F21 F26"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7" type="list">
      <formula1>kind_of_data_type</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0 F39:F41 F43 F45:F47 F49 F51 F53 F56 F58 F6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6" type="list">
      <formula1>kind_of_org_type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4" type="list">
      <formula1>year_list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5" type="list">
      <formula1>QUARTER</formula1>
      <formula2>0</formula2>
    </dataValidation>
    <dataValidation allowBlank="true" errorStyle="stop" operator="between" prompt="Выберите значение из календаря (иконка справа от выбранной ячейки), либо введите дату непосредственно в ячейку в формате - 'ДД.ММ.ГГГГ'" showDropDown="false" showErrorMessage="true" showInputMessage="true" sqref="F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60" type="list">
      <formula1>TITLE_IP_DETAILED_METHOD_LIST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9" type="list">
      <formula1>ROIV_INFO_LIST</formula1>
      <formula2>0</formula2>
    </dataValidation>
    <dataValidation allowBlank="true" errorStyle="stop" operator="between" prompt="Выбор организации двойным щелчком левой клавиши мыши" showDropDown="false" showErrorMessage="true" showInputMessage="true" sqref="F31" type="none">
      <formula1>0</formula1>
      <formula2>0</formula2>
    </dataValidation>
    <dataValidation allowBlank="true" error="Выберите значение из списка" errorStyle="stop" errorTitle="Ошибка" operator="between" prompt="Выберите значение из списка:&#10;ОСН - Общая система налогообложения&#10;УСН - Упрощённая система налогообложения&#10;ЕСХН - Единый сельскохозяйственный налог&#10;ПСН - Патентная система налогообложения&#10;НПД - Налог на профессиональный доход" showDropDown="false" showErrorMessage="true" showInputMessage="true" sqref="F37" type="list">
      <formula1>kind_of_NDS</formula1>
      <formula2>0</formula2>
    </dataValidation>
  </dataValidations>
  <hyperlinks>
    <hyperlink ref="H11" location="Титульный!H9" display="Как заполнить?"/>
    <hyperlink ref="H17" location="Титульный!H9" display="Как заполнить?"/>
    <hyperlink ref="H39" location="Титульный!H9" display="Как заполнить?"/>
    <hyperlink ref="H62" location="Титульный!H9" display="Как заполнить?"/>
    <hyperlink ref="F70" r:id="rId2" display="u1577@gpte76.ru"/>
  </hyperlinks>
  <printOptions headings="false" gridLines="false" gridLinesSet="true" horizontalCentered="false" verticalCentered="false"/>
  <pageMargins left="0.75" right="0.75" top="0.875" bottom="0.875" header="0.5" footer="0.5"/>
  <pageSetup paperSize="8" scale="100" fitToWidth="1" fitToHeight="1" pageOrder="downThenOver" orientation="portrait" blackAndWhite="false" draft="false" cellComments="none" horizontalDpi="300" verticalDpi="300" copies="1"/>
  <headerFooter differentFirst="false" differentOddEven="false">
    <oddHeader/>
    <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AC3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G18" activeCellId="0" sqref="G18"/>
    </sheetView>
  </sheetViews>
  <sheetFormatPr defaultColWidth="9.14453125" defaultRowHeight="14.25" zeroHeight="false" outlineLevelRow="0" outlineLevelCol="0"/>
  <cols>
    <col collapsed="false" customWidth="true" hidden="true" outlineLevel="0" max="1" min="1" style="42" width="8"/>
    <col collapsed="false" customWidth="true" hidden="true" outlineLevel="0" max="2" min="2" style="45" width="6"/>
    <col collapsed="false" customWidth="true" hidden="false" outlineLevel="0" max="3" min="3" style="42" width="3"/>
    <col collapsed="false" customWidth="true" hidden="false" outlineLevel="0" max="4" min="4" style="117" width="3"/>
    <col collapsed="false" customWidth="true" hidden="false" outlineLevel="0" max="5" min="5" style="42" width="6"/>
    <col collapsed="false" customWidth="true" hidden="true" outlineLevel="0" max="6" min="6" style="42" width="2.71"/>
    <col collapsed="false" customWidth="true" hidden="false" outlineLevel="0" max="7" min="7" style="42" width="46.71"/>
    <col collapsed="false" customWidth="true" hidden="false" outlineLevel="0" max="8" min="8" style="42" width="42"/>
    <col collapsed="false" customWidth="true" hidden="false" outlineLevel="0" max="9" min="9" style="42" width="14"/>
    <col collapsed="false" customWidth="true" hidden="false" outlineLevel="0" max="10" min="10" style="118" width="3"/>
    <col collapsed="false" customWidth="false" hidden="true" outlineLevel="0" max="13" min="11" style="118" width="9.14"/>
    <col collapsed="false" customWidth="true" hidden="true" outlineLevel="0" max="14" min="14" style="118" width="25.71"/>
    <col collapsed="false" customWidth="true" hidden="true" outlineLevel="0" max="15" min="15" style="118" width="14.42"/>
    <col collapsed="false" customWidth="false" hidden="true" outlineLevel="0" max="19" min="16" style="119" width="9.14"/>
    <col collapsed="false" customWidth="false" hidden="true" outlineLevel="0" max="27" min="20" style="42" width="9.14"/>
    <col collapsed="false" customWidth="true" hidden="false" outlineLevel="0" max="28" min="28" style="42" width="8"/>
    <col collapsed="false" customWidth="false" hidden="true" outlineLevel="0" max="29" min="29" style="42" width="9.14"/>
  </cols>
  <sheetData>
    <row r="1" s="47" customFormat="true" ht="5.25" hidden="true" customHeight="true" outlineLevel="0" collapsed="false">
      <c r="A1" s="120"/>
      <c r="D1" s="121"/>
      <c r="G1" s="122" t="s">
        <v>82</v>
      </c>
      <c r="H1" s="121" t="s">
        <v>83</v>
      </c>
      <c r="I1" s="123" t="s">
        <v>84</v>
      </c>
      <c r="J1" s="122" t="s">
        <v>82</v>
      </c>
      <c r="K1" s="122"/>
      <c r="L1" s="122"/>
      <c r="M1" s="122"/>
      <c r="N1" s="122"/>
      <c r="O1" s="122"/>
      <c r="P1" s="122"/>
      <c r="Q1" s="122"/>
      <c r="R1" s="122"/>
      <c r="S1" s="122"/>
      <c r="T1" s="123"/>
      <c r="U1" s="123"/>
      <c r="V1" s="123"/>
      <c r="W1" s="123"/>
      <c r="X1" s="123"/>
      <c r="Y1" s="123"/>
      <c r="Z1" s="123"/>
      <c r="AA1" s="123"/>
      <c r="AB1" s="123"/>
      <c r="AC1" s="47" t="s">
        <v>14</v>
      </c>
    </row>
    <row r="2" s="127" customFormat="true" ht="11.25" hidden="false" customHeight="true" outlineLevel="0" collapsed="false">
      <c r="A2" s="109"/>
      <c r="B2" s="124"/>
      <c r="C2" s="124"/>
      <c r="D2" s="125"/>
      <c r="E2" s="124"/>
      <c r="F2" s="124"/>
      <c r="G2" s="124"/>
      <c r="H2" s="124"/>
      <c r="I2" s="124"/>
      <c r="J2" s="122"/>
      <c r="K2" s="122"/>
      <c r="L2" s="122"/>
      <c r="M2" s="122"/>
      <c r="N2" s="122"/>
      <c r="O2" s="122"/>
      <c r="P2" s="126"/>
      <c r="Q2" s="126"/>
      <c r="R2" s="126"/>
      <c r="S2" s="126"/>
      <c r="T2" s="125"/>
      <c r="U2" s="125"/>
      <c r="V2" s="125"/>
      <c r="W2" s="125"/>
      <c r="X2" s="125"/>
      <c r="Y2" s="125"/>
      <c r="Z2" s="125"/>
      <c r="AA2" s="125"/>
      <c r="AB2" s="125"/>
      <c r="AC2" s="127" t="n">
        <v>11</v>
      </c>
    </row>
    <row r="3" s="129" customFormat="true" ht="3" hidden="false" customHeight="true" outlineLevel="0" collapsed="false">
      <c r="A3" s="42"/>
      <c r="B3" s="45"/>
      <c r="C3" s="42"/>
      <c r="D3" s="117"/>
      <c r="E3" s="42"/>
      <c r="F3" s="42"/>
      <c r="G3" s="42"/>
      <c r="H3" s="42"/>
      <c r="I3" s="128"/>
      <c r="J3" s="122"/>
      <c r="K3" s="118"/>
      <c r="L3" s="118"/>
      <c r="M3" s="118"/>
      <c r="N3" s="118"/>
      <c r="O3" s="118"/>
      <c r="P3" s="119"/>
      <c r="Q3" s="119"/>
      <c r="R3" s="119"/>
      <c r="S3" s="119"/>
      <c r="AC3" s="129" t="n">
        <v>3</v>
      </c>
    </row>
    <row r="4" s="129" customFormat="true" ht="27" hidden="false" customHeight="true" outlineLevel="0" collapsed="false">
      <c r="A4" s="42"/>
      <c r="B4" s="45"/>
      <c r="C4" s="42"/>
      <c r="D4" s="117"/>
      <c r="E4" s="130" t="str">
        <f aca="false">NameTemplatesInListMO</f>
        <v>Перечень муниципальных районов и муниципальных образований (территорий оказания услуг)</v>
      </c>
      <c r="F4" s="130"/>
      <c r="G4" s="130"/>
      <c r="H4" s="130"/>
      <c r="I4" s="130"/>
      <c r="J4" s="122"/>
      <c r="K4" s="118"/>
      <c r="L4" s="118"/>
      <c r="M4" s="118"/>
      <c r="N4" s="118"/>
      <c r="O4" s="118"/>
      <c r="P4" s="119"/>
      <c r="Q4" s="119"/>
      <c r="R4" s="119"/>
      <c r="S4" s="119"/>
      <c r="AC4" s="129" t="n">
        <v>26</v>
      </c>
    </row>
    <row r="5" s="129" customFormat="true" ht="3" hidden="false" customHeight="true" outlineLevel="0" collapsed="false">
      <c r="A5" s="42"/>
      <c r="B5" s="45"/>
      <c r="C5" s="42"/>
      <c r="D5" s="117"/>
      <c r="E5" s="42"/>
      <c r="F5" s="42"/>
      <c r="G5" s="131"/>
      <c r="H5" s="131"/>
      <c r="I5" s="109"/>
      <c r="J5" s="118"/>
      <c r="K5" s="118"/>
      <c r="L5" s="118"/>
      <c r="M5" s="118"/>
      <c r="N5" s="118"/>
      <c r="O5" s="118"/>
      <c r="P5" s="119"/>
      <c r="Q5" s="119"/>
      <c r="R5" s="119"/>
      <c r="S5" s="119"/>
      <c r="AC5" s="129" t="n">
        <v>3</v>
      </c>
    </row>
    <row r="6" s="129" customFormat="true" ht="20.25" hidden="true" customHeight="true" outlineLevel="0" collapsed="false">
      <c r="A6" s="132"/>
      <c r="B6" s="54"/>
      <c r="C6" s="132"/>
      <c r="D6" s="117"/>
      <c r="E6" s="114"/>
      <c r="F6" s="114"/>
      <c r="G6" s="131"/>
      <c r="H6" s="133"/>
      <c r="I6" s="133"/>
      <c r="J6" s="118"/>
      <c r="K6" s="118"/>
      <c r="L6" s="118"/>
      <c r="M6" s="118"/>
      <c r="N6" s="118"/>
      <c r="O6" s="118"/>
      <c r="P6" s="119"/>
      <c r="Q6" s="119"/>
      <c r="R6" s="119"/>
      <c r="S6" s="119"/>
      <c r="AC6" s="129" t="n">
        <v>0</v>
      </c>
    </row>
    <row r="7" customFormat="false" ht="25.5" hidden="true" customHeight="true" outlineLevel="0" collapsed="false">
      <c r="AC7" s="42" t="n">
        <v>0</v>
      </c>
    </row>
    <row r="8" s="129" customFormat="true" ht="14.25" hidden="false" customHeight="true" outlineLevel="0" collapsed="false">
      <c r="A8" s="42"/>
      <c r="B8" s="45"/>
      <c r="C8" s="42"/>
      <c r="D8" s="117"/>
      <c r="E8" s="134" t="s">
        <v>85</v>
      </c>
      <c r="F8" s="134"/>
      <c r="G8" s="134"/>
      <c r="H8" s="135" t="s">
        <v>86</v>
      </c>
      <c r="I8" s="135"/>
      <c r="J8" s="118"/>
      <c r="K8" s="118"/>
      <c r="L8" s="118"/>
      <c r="M8" s="118"/>
      <c r="N8" s="118"/>
      <c r="O8" s="118"/>
      <c r="P8" s="119"/>
      <c r="Q8" s="119"/>
      <c r="R8" s="119"/>
      <c r="S8" s="119"/>
      <c r="AC8" s="129" t="n">
        <v>14</v>
      </c>
    </row>
    <row r="9" s="129" customFormat="true" ht="21" hidden="false" customHeight="true" outlineLevel="0" collapsed="false">
      <c r="A9" s="42"/>
      <c r="B9" s="45"/>
      <c r="C9" s="42"/>
      <c r="D9" s="117"/>
      <c r="E9" s="136" t="s">
        <v>87</v>
      </c>
      <c r="F9" s="136"/>
      <c r="G9" s="137" t="s">
        <v>88</v>
      </c>
      <c r="H9" s="137" t="s">
        <v>88</v>
      </c>
      <c r="I9" s="137" t="s">
        <v>84</v>
      </c>
      <c r="J9" s="118"/>
      <c r="K9" s="118"/>
      <c r="L9" s="118"/>
      <c r="M9" s="118"/>
      <c r="N9" s="118"/>
      <c r="O9" s="118"/>
      <c r="P9" s="119"/>
      <c r="Q9" s="119"/>
      <c r="R9" s="119"/>
      <c r="S9" s="119"/>
      <c r="AC9" s="129" t="n">
        <v>20</v>
      </c>
    </row>
    <row r="10" customFormat="false" ht="11.25" hidden="false" customHeight="true" outlineLevel="0" collapsed="false">
      <c r="D10" s="138"/>
      <c r="E10" s="139" t="s">
        <v>89</v>
      </c>
      <c r="F10" s="139"/>
      <c r="G10" s="139" t="s">
        <v>90</v>
      </c>
      <c r="H10" s="139" t="s">
        <v>91</v>
      </c>
      <c r="I10" s="139" t="s">
        <v>92</v>
      </c>
      <c r="J10" s="140"/>
      <c r="K10" s="140"/>
      <c r="L10" s="140"/>
      <c r="M10" s="140"/>
      <c r="N10" s="140"/>
      <c r="O10" s="140"/>
      <c r="P10" s="141"/>
      <c r="Q10" s="141"/>
      <c r="R10" s="141"/>
      <c r="S10" s="141"/>
      <c r="AC10" s="42" t="n">
        <v>11</v>
      </c>
    </row>
    <row r="11" s="129" customFormat="true" ht="0.75" hidden="false" customHeight="true" outlineLevel="0" collapsed="false">
      <c r="A11" s="42"/>
      <c r="B11" s="45"/>
      <c r="C11" s="42"/>
      <c r="D11" s="117"/>
      <c r="E11" s="142"/>
      <c r="F11" s="142"/>
      <c r="G11" s="143"/>
      <c r="H11" s="143"/>
      <c r="I11" s="144"/>
      <c r="J11" s="145" t="s">
        <v>93</v>
      </c>
      <c r="K11" s="118"/>
      <c r="L11" s="118"/>
      <c r="M11" s="118" t="s">
        <v>94</v>
      </c>
      <c r="N11" s="118" t="s">
        <v>95</v>
      </c>
      <c r="O11" s="118" t="s">
        <v>96</v>
      </c>
      <c r="P11" s="119"/>
      <c r="Q11" s="119"/>
      <c r="R11" s="119"/>
      <c r="S11" s="119"/>
      <c r="AC11" s="129" t="n">
        <v>1</v>
      </c>
    </row>
    <row r="12" s="129" customFormat="true" ht="15" hidden="false" customHeight="true" outlineLevel="0" collapsed="false">
      <c r="A12" s="43" t="n">
        <v>1</v>
      </c>
      <c r="B12" s="45"/>
      <c r="C12" s="42"/>
      <c r="D12" s="117"/>
      <c r="E12" s="146" t="n">
        <f aca="false">A12</f>
        <v>1</v>
      </c>
      <c r="F12" s="147" t="s">
        <v>97</v>
      </c>
      <c r="G12" s="148" t="str">
        <f aca="false">"Территория "&amp;E12</f>
        <v>Территория 1</v>
      </c>
      <c r="H12" s="149"/>
      <c r="I12" s="149"/>
      <c r="J12" s="118"/>
      <c r="K12" s="118"/>
      <c r="L12" s="118"/>
      <c r="M12" s="118"/>
      <c r="N12" s="118"/>
      <c r="O12" s="118"/>
      <c r="P12" s="119"/>
      <c r="Q12" s="119"/>
      <c r="R12" s="119"/>
      <c r="S12" s="119"/>
      <c r="AC12" s="129" t="n">
        <v>14</v>
      </c>
    </row>
    <row r="13" s="53" customFormat="true" ht="15.75" hidden="false" customHeight="true" outlineLevel="0" collapsed="false">
      <c r="A13" s="43"/>
      <c r="B13" s="45" t="n">
        <v>1</v>
      </c>
      <c r="C13" s="45"/>
      <c r="D13" s="150"/>
      <c r="E13" s="151" t="str">
        <f aca="false">A12&amp;"."&amp;B13</f>
        <v>1.1</v>
      </c>
      <c r="F13" s="152" t="s">
        <v>98</v>
      </c>
      <c r="G13" s="153" t="s">
        <v>99</v>
      </c>
      <c r="H13" s="153" t="s">
        <v>99</v>
      </c>
      <c r="I13" s="154" t="s">
        <v>100</v>
      </c>
      <c r="J13" s="118" t="e">
        <f aca="false">mergevalue(G13)</f>
        <v>#NAME?</v>
      </c>
      <c r="K13" s="47"/>
      <c r="L13" s="47"/>
      <c r="M13" s="118" t="str">
        <f aca="false" t="array" ref="M13:M13">IF(ISERROR(MATCH(MID(N13,1,250),MID(note_ter,1,250),0)),"n","y")</f>
        <v>n</v>
      </c>
      <c r="N13" s="47"/>
      <c r="O13" s="118" t="str">
        <f aca="false">H13&amp;"("&amp;I13&amp;")"</f>
        <v>город Ярославль(78701000)</v>
      </c>
      <c r="P13" s="45"/>
      <c r="Q13" s="45"/>
      <c r="R13" s="155"/>
      <c r="S13" s="45"/>
      <c r="T13" s="45"/>
      <c r="U13" s="45"/>
      <c r="V13" s="54"/>
      <c r="W13" s="54"/>
      <c r="X13" s="156"/>
      <c r="Y13" s="156"/>
      <c r="Z13" s="156"/>
      <c r="AA13" s="156"/>
      <c r="AB13" s="156"/>
      <c r="AC13" s="53" t="n">
        <v>15</v>
      </c>
    </row>
    <row r="14" s="53" customFormat="true" ht="15.75" hidden="false" customHeight="true" outlineLevel="0" collapsed="false">
      <c r="A14" s="43"/>
      <c r="B14" s="45"/>
      <c r="C14" s="157"/>
      <c r="D14" s="158"/>
      <c r="E14" s="159"/>
      <c r="F14" s="160"/>
      <c r="G14" s="161" t="s">
        <v>101</v>
      </c>
      <c r="H14" s="162"/>
      <c r="I14" s="163"/>
      <c r="J14" s="47"/>
      <c r="K14" s="47"/>
      <c r="L14" s="47"/>
      <c r="M14" s="47"/>
      <c r="N14" s="118"/>
      <c r="O14" s="47"/>
      <c r="P14" s="45"/>
      <c r="Q14" s="45"/>
      <c r="R14" s="155"/>
      <c r="S14" s="45"/>
      <c r="T14" s="45"/>
      <c r="U14" s="45"/>
      <c r="V14" s="54"/>
      <c r="W14" s="54"/>
      <c r="X14" s="156"/>
      <c r="Y14" s="156"/>
      <c r="Z14" s="156"/>
      <c r="AA14" s="156"/>
      <c r="AB14" s="156"/>
      <c r="AC14" s="53" t="n">
        <v>15</v>
      </c>
    </row>
    <row r="15" customFormat="false" ht="15" hidden="false" customHeight="true" outlineLevel="0" collapsed="false">
      <c r="A15" s="44" t="s">
        <v>102</v>
      </c>
      <c r="C15" s="158" t="s">
        <v>103</v>
      </c>
      <c r="E15" s="146" t="str">
        <f aca="false">A15</f>
        <v>2</v>
      </c>
      <c r="F15" s="164" t="s">
        <v>104</v>
      </c>
      <c r="G15" s="148" t="str">
        <f aca="false">"Территория "&amp;E15</f>
        <v>Территория 2</v>
      </c>
      <c r="H15" s="149"/>
      <c r="I15" s="149"/>
      <c r="T15" s="129"/>
      <c r="U15" s="129"/>
      <c r="V15" s="129"/>
      <c r="W15" s="129"/>
      <c r="X15" s="129"/>
      <c r="Y15" s="129"/>
      <c r="Z15" s="129"/>
      <c r="AA15" s="129"/>
      <c r="AB15" s="129"/>
      <c r="AC15" s="129"/>
    </row>
    <row r="16" customFormat="false" ht="15" hidden="false" customHeight="true" outlineLevel="0" collapsed="false">
      <c r="A16" s="44"/>
      <c r="B16" s="45" t="n">
        <v>1</v>
      </c>
      <c r="C16" s="45"/>
      <c r="D16" s="150"/>
      <c r="E16" s="151" t="str">
        <f aca="false">A15&amp;"."&amp;B16</f>
        <v>2.1</v>
      </c>
      <c r="F16" s="165" t="s">
        <v>105</v>
      </c>
      <c r="G16" s="153" t="s">
        <v>106</v>
      </c>
      <c r="H16" s="153" t="s">
        <v>107</v>
      </c>
      <c r="I16" s="154" t="s">
        <v>108</v>
      </c>
      <c r="K16" s="47"/>
      <c r="L16" s="47"/>
      <c r="M16" s="118" t="str">
        <f aca="false" t="array" ref="M16:M16">IF(ISERROR(MATCH(MID(N16,1,250),MID(note_ter,1,250),0)),"n","y")</f>
        <v>n</v>
      </c>
      <c r="N16" s="47"/>
      <c r="O16" s="118" t="str">
        <f aca="false">H16&amp;"("&amp;I16&amp;")"</f>
        <v>Семибратово сельское поселение(78637447)</v>
      </c>
      <c r="P16" s="45"/>
      <c r="Q16" s="45"/>
      <c r="R16" s="155"/>
      <c r="S16" s="45"/>
      <c r="T16" s="45"/>
      <c r="U16" s="45"/>
      <c r="V16" s="54"/>
      <c r="W16" s="54"/>
      <c r="X16" s="156"/>
      <c r="Y16" s="156"/>
      <c r="Z16" s="156"/>
      <c r="AA16" s="156"/>
      <c r="AB16" s="156"/>
      <c r="AC16" s="156"/>
    </row>
    <row r="17" customFormat="false" ht="15" hidden="false" customHeight="true" outlineLevel="0" collapsed="false">
      <c r="A17" s="44"/>
      <c r="C17" s="157"/>
      <c r="D17" s="158"/>
      <c r="E17" s="159"/>
      <c r="F17" s="160"/>
      <c r="G17" s="161" t="s">
        <v>101</v>
      </c>
      <c r="H17" s="162"/>
      <c r="I17" s="163"/>
      <c r="J17" s="47"/>
      <c r="K17" s="47"/>
      <c r="L17" s="47"/>
      <c r="M17" s="47"/>
      <c r="O17" s="47"/>
      <c r="P17" s="45"/>
      <c r="Q17" s="45"/>
      <c r="R17" s="155"/>
      <c r="S17" s="45"/>
      <c r="T17" s="45"/>
      <c r="U17" s="45"/>
      <c r="V17" s="54"/>
      <c r="W17" s="54"/>
      <c r="X17" s="156"/>
      <c r="Y17" s="156"/>
      <c r="Z17" s="156"/>
      <c r="AA17" s="156"/>
      <c r="AB17" s="156"/>
      <c r="AC17" s="156"/>
    </row>
    <row r="18" customFormat="false" ht="15" hidden="false" customHeight="true" outlineLevel="0" collapsed="false">
      <c r="A18" s="44" t="s">
        <v>89</v>
      </c>
      <c r="C18" s="158" t="s">
        <v>103</v>
      </c>
      <c r="E18" s="146" t="str">
        <f aca="false">A18</f>
        <v>3</v>
      </c>
      <c r="F18" s="164" t="s">
        <v>109</v>
      </c>
      <c r="G18" s="148" t="str">
        <f aca="false">"Территория "&amp;E18</f>
        <v>Территория 3</v>
      </c>
      <c r="H18" s="149"/>
      <c r="I18" s="149"/>
      <c r="T18" s="129"/>
      <c r="U18" s="129"/>
      <c r="V18" s="129"/>
      <c r="W18" s="129"/>
      <c r="X18" s="129"/>
      <c r="Y18" s="129"/>
      <c r="Z18" s="129"/>
      <c r="AA18" s="129"/>
      <c r="AB18" s="129"/>
      <c r="AC18" s="129"/>
    </row>
    <row r="19" customFormat="false" ht="15" hidden="false" customHeight="true" outlineLevel="0" collapsed="false">
      <c r="A19" s="44"/>
      <c r="B19" s="45" t="n">
        <v>1</v>
      </c>
      <c r="C19" s="45"/>
      <c r="D19" s="150"/>
      <c r="E19" s="151" t="str">
        <f aca="false">A18&amp;"."&amp;B19</f>
        <v>3.1</v>
      </c>
      <c r="F19" s="165" t="s">
        <v>110</v>
      </c>
      <c r="G19" s="153" t="s">
        <v>111</v>
      </c>
      <c r="H19" s="153" t="s">
        <v>112</v>
      </c>
      <c r="I19" s="154" t="s">
        <v>113</v>
      </c>
      <c r="K19" s="47"/>
      <c r="L19" s="47"/>
      <c r="M19" s="118" t="str">
        <f aca="false" t="array" ref="M19:M19">IF(ISERROR(MATCH(MID(N19,1,250),MID(note_ter,1,250),0)),"n","y")</f>
        <v>n</v>
      </c>
      <c r="N19" s="47"/>
      <c r="O19" s="118" t="str">
        <f aca="false">H19&amp;"("&amp;I19&amp;")"</f>
        <v>Городское поселение г.Углич(78646101)</v>
      </c>
      <c r="P19" s="45"/>
      <c r="Q19" s="45"/>
      <c r="R19" s="155"/>
      <c r="S19" s="45"/>
      <c r="T19" s="45"/>
      <c r="U19" s="45"/>
      <c r="V19" s="54"/>
      <c r="W19" s="54"/>
      <c r="X19" s="156"/>
      <c r="Y19" s="156"/>
      <c r="Z19" s="156"/>
      <c r="AA19" s="156"/>
      <c r="AB19" s="156"/>
      <c r="AC19" s="156"/>
    </row>
    <row r="20" customFormat="false" ht="15" hidden="false" customHeight="true" outlineLevel="0" collapsed="false">
      <c r="A20" s="44"/>
      <c r="C20" s="157"/>
      <c r="D20" s="158"/>
      <c r="E20" s="159"/>
      <c r="F20" s="160"/>
      <c r="G20" s="161" t="s">
        <v>101</v>
      </c>
      <c r="H20" s="162"/>
      <c r="I20" s="163"/>
      <c r="J20" s="47"/>
      <c r="K20" s="47"/>
      <c r="L20" s="47"/>
      <c r="M20" s="47"/>
      <c r="O20" s="47"/>
      <c r="P20" s="45"/>
      <c r="Q20" s="45"/>
      <c r="R20" s="155"/>
      <c r="S20" s="45"/>
      <c r="T20" s="45"/>
      <c r="U20" s="45"/>
      <c r="V20" s="54"/>
      <c r="W20" s="54"/>
      <c r="X20" s="156"/>
      <c r="Y20" s="156"/>
      <c r="Z20" s="156"/>
      <c r="AA20" s="156"/>
      <c r="AB20" s="156"/>
      <c r="AC20" s="156"/>
    </row>
    <row r="21" s="129" customFormat="true" ht="14.25" hidden="false" customHeight="true" outlineLevel="0" collapsed="false">
      <c r="A21" s="42"/>
      <c r="B21" s="45"/>
      <c r="C21" s="42"/>
      <c r="D21" s="117"/>
      <c r="E21" s="166"/>
      <c r="F21" s="167"/>
      <c r="G21" s="168" t="s">
        <v>114</v>
      </c>
      <c r="H21" s="167"/>
      <c r="I21" s="169"/>
      <c r="J21" s="145"/>
      <c r="K21" s="118"/>
      <c r="L21" s="118"/>
      <c r="M21" s="118"/>
      <c r="N21" s="118" t="s">
        <v>115</v>
      </c>
      <c r="O21" s="118"/>
      <c r="P21" s="119"/>
      <c r="Q21" s="119"/>
      <c r="R21" s="119"/>
      <c r="S21" s="119"/>
      <c r="AC21" s="129" t="n">
        <v>14</v>
      </c>
    </row>
    <row r="22" s="129" customFormat="true" ht="21.75" hidden="false" customHeight="true" outlineLevel="0" collapsed="false">
      <c r="A22" s="42"/>
      <c r="B22" s="45"/>
      <c r="C22" s="42"/>
      <c r="D22" s="117"/>
      <c r="E22" s="170"/>
      <c r="F22" s="170"/>
      <c r="G22" s="170"/>
      <c r="H22" s="170"/>
      <c r="I22" s="170"/>
      <c r="J22" s="118"/>
      <c r="K22" s="118"/>
      <c r="L22" s="118"/>
      <c r="M22" s="118"/>
      <c r="N22" s="118"/>
      <c r="O22" s="118"/>
      <c r="P22" s="119"/>
      <c r="Q22" s="119"/>
      <c r="R22" s="119"/>
      <c r="S22" s="119"/>
      <c r="AC22" s="129" t="n">
        <v>21</v>
      </c>
    </row>
    <row r="23" s="129" customFormat="true" ht="14.25" hidden="false" customHeight="true" outlineLevel="0" collapsed="false">
      <c r="A23" s="42"/>
      <c r="B23" s="45"/>
      <c r="C23" s="42"/>
      <c r="D23" s="117"/>
      <c r="E23" s="42"/>
      <c r="F23" s="42"/>
      <c r="G23" s="42"/>
      <c r="H23" s="42"/>
      <c r="I23" s="42"/>
      <c r="J23" s="118"/>
      <c r="K23" s="118"/>
      <c r="L23" s="118"/>
      <c r="M23" s="118"/>
      <c r="N23" s="118"/>
      <c r="O23" s="118"/>
      <c r="P23" s="119"/>
      <c r="Q23" s="119"/>
      <c r="R23" s="119"/>
      <c r="S23" s="119"/>
      <c r="AC23" s="129" t="n">
        <v>14</v>
      </c>
    </row>
    <row r="24" s="129" customFormat="true" ht="0.75" hidden="false" customHeight="true" outlineLevel="0" collapsed="false">
      <c r="A24" s="42"/>
      <c r="B24" s="45"/>
      <c r="C24" s="42"/>
      <c r="D24" s="117"/>
      <c r="E24" s="42"/>
      <c r="F24" s="42"/>
      <c r="G24" s="42"/>
      <c r="H24" s="42"/>
      <c r="I24" s="42"/>
      <c r="J24" s="118"/>
      <c r="K24" s="118"/>
      <c r="L24" s="118"/>
      <c r="M24" s="118"/>
      <c r="N24" s="118"/>
      <c r="O24" s="118"/>
      <c r="P24" s="119"/>
      <c r="Q24" s="119"/>
      <c r="R24" s="119"/>
      <c r="S24" s="119"/>
      <c r="AC24" s="129" t="n">
        <v>1</v>
      </c>
    </row>
    <row r="25" s="171" customFormat="true" ht="10.5" hidden="false" customHeight="true" outlineLevel="0" collapsed="false">
      <c r="B25" s="172"/>
      <c r="D25" s="173"/>
      <c r="J25" s="118"/>
      <c r="K25" s="118"/>
      <c r="L25" s="118"/>
      <c r="M25" s="118"/>
      <c r="N25" s="118"/>
      <c r="O25" s="118"/>
      <c r="P25" s="119"/>
      <c r="Q25" s="119"/>
      <c r="R25" s="119"/>
      <c r="S25" s="119"/>
      <c r="AC25" s="171" t="n">
        <v>10</v>
      </c>
    </row>
    <row r="26" s="171" customFormat="true" ht="10.5" hidden="false" customHeight="true" outlineLevel="0" collapsed="false">
      <c r="B26" s="172"/>
      <c r="D26" s="173"/>
      <c r="J26" s="118"/>
      <c r="K26" s="118"/>
      <c r="L26" s="118"/>
      <c r="M26" s="118"/>
      <c r="N26" s="118"/>
      <c r="O26" s="118"/>
      <c r="P26" s="119"/>
      <c r="Q26" s="119"/>
      <c r="R26" s="119"/>
      <c r="S26" s="119"/>
      <c r="AC26" s="171" t="n">
        <v>10</v>
      </c>
    </row>
    <row r="27" customFormat="false" ht="14.25" hidden="false" customHeight="true" outlineLevel="0" collapsed="false">
      <c r="AC27" s="42" t="n">
        <v>14</v>
      </c>
    </row>
    <row r="28" customFormat="false" ht="14.25" hidden="false" customHeight="true" outlineLevel="0" collapsed="false">
      <c r="AC28" s="42" t="n">
        <v>14</v>
      </c>
    </row>
    <row r="29" customFormat="false" ht="14.25" hidden="false" customHeight="true" outlineLevel="0" collapsed="false">
      <c r="AC29" s="42" t="n">
        <v>14</v>
      </c>
    </row>
    <row r="30" customFormat="false" ht="14.25" hidden="false" customHeight="true" outlineLevel="0" collapsed="false">
      <c r="H30" s="174"/>
      <c r="AC30" s="42" t="n">
        <v>14</v>
      </c>
    </row>
    <row r="31" customFormat="false" ht="14.25" hidden="false" customHeight="true" outlineLevel="0" collapsed="false">
      <c r="AC31" s="42" t="n">
        <v>14</v>
      </c>
    </row>
    <row r="32" customFormat="false" ht="14.25" hidden="false" customHeight="true" outlineLevel="0" collapsed="false">
      <c r="AC32" s="42" t="n">
        <v>14</v>
      </c>
    </row>
    <row r="33" customFormat="false" ht="14.25" hidden="false" customHeight="true" outlineLevel="0" collapsed="false">
      <c r="AC33" s="42" t="n">
        <v>14</v>
      </c>
    </row>
    <row r="34" customFormat="false" ht="14.25" hidden="false" customHeight="true" outlineLevel="0" collapsed="false">
      <c r="J34" s="42"/>
      <c r="K34" s="42"/>
      <c r="L34" s="42"/>
      <c r="AC34" s="42" t="n">
        <v>14</v>
      </c>
    </row>
    <row r="35" customFormat="false" ht="22.5" hidden="true" customHeight="true" outlineLevel="0" collapsed="false">
      <c r="A35" s="42" t="s">
        <v>81</v>
      </c>
      <c r="B35" s="45" t="n">
        <v>0</v>
      </c>
      <c r="C35" s="42" t="n">
        <v>3</v>
      </c>
      <c r="D35" s="117" t="n">
        <v>3</v>
      </c>
      <c r="E35" s="42" t="n">
        <v>6</v>
      </c>
      <c r="F35" s="42" t="n">
        <v>0</v>
      </c>
      <c r="G35" s="42" t="n">
        <v>46</v>
      </c>
      <c r="H35" s="42" t="n">
        <v>42</v>
      </c>
      <c r="I35" s="42" t="n">
        <v>14</v>
      </c>
      <c r="J35" s="118" t="n">
        <v>3</v>
      </c>
      <c r="K35" s="118" t="n">
        <v>0</v>
      </c>
      <c r="L35" s="118" t="n">
        <v>0</v>
      </c>
      <c r="M35" s="118" t="n">
        <v>0</v>
      </c>
      <c r="N35" s="118" t="n">
        <v>0</v>
      </c>
      <c r="O35" s="118" t="n">
        <v>0</v>
      </c>
      <c r="P35" s="119" t="n">
        <v>0</v>
      </c>
      <c r="Q35" s="119" t="n">
        <v>0</v>
      </c>
      <c r="R35" s="119" t="n">
        <v>0</v>
      </c>
      <c r="S35" s="119" t="n">
        <v>0</v>
      </c>
      <c r="T35" s="42" t="n">
        <v>0</v>
      </c>
      <c r="U35" s="42" t="n">
        <v>0</v>
      </c>
      <c r="V35" s="42" t="n">
        <v>0</v>
      </c>
      <c r="W35" s="42" t="n">
        <v>0</v>
      </c>
      <c r="X35" s="42" t="n">
        <v>0</v>
      </c>
      <c r="Y35" s="42" t="n">
        <v>0</v>
      </c>
      <c r="Z35" s="42" t="n">
        <v>0</v>
      </c>
      <c r="AA35" s="42" t="n">
        <v>0</v>
      </c>
      <c r="AB35" s="42" t="n">
        <v>8</v>
      </c>
      <c r="AC35" s="42" t="n">
        <v>23</v>
      </c>
    </row>
  </sheetData>
  <mergeCells count="6">
    <mergeCell ref="E4:I4"/>
    <mergeCell ref="E8:G8"/>
    <mergeCell ref="H8:I8"/>
    <mergeCell ref="A12:A14"/>
    <mergeCell ref="A15:A17"/>
    <mergeCell ref="A18:A20"/>
  </mergeCells>
  <dataValidations count="3">
    <dataValidation allowBlank="true" error="Допускается ввод не более 900 символов!" errorStyle="stop" errorTitle="Ошибка" operator="lessThanOrEqual" showDropDown="false" showErrorMessage="true" showInputMessage="true" sqref="G12"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G15"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G18"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M2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I20" activeCellId="0" sqref="I20"/>
    </sheetView>
  </sheetViews>
  <sheetFormatPr defaultColWidth="9.14453125" defaultRowHeight="11.25" zeroHeight="false" outlineLevelRow="0" outlineLevelCol="0"/>
  <cols>
    <col collapsed="false" customWidth="true" hidden="true" outlineLevel="0" max="1" min="1" style="175" width="6.42"/>
    <col collapsed="false" customWidth="true" hidden="true" outlineLevel="0" max="2" min="2" style="175" width="2"/>
    <col collapsed="false" customWidth="true" hidden="false" outlineLevel="0" max="3" min="3" style="175" width="3"/>
    <col collapsed="false" customWidth="true" hidden="false" outlineLevel="0" max="4" min="4" style="175" width="4"/>
    <col collapsed="false" customWidth="true" hidden="false" outlineLevel="0" max="5" min="5" style="175" width="44"/>
    <col collapsed="false" customWidth="true" hidden="false" outlineLevel="0" max="6" min="6" style="175" width="6.42"/>
    <col collapsed="false" customWidth="true" hidden="false" outlineLevel="0" max="7" min="7" style="175" width="4"/>
    <col collapsed="false" customWidth="true" hidden="false" outlineLevel="0" max="8" min="8" style="175" width="5"/>
    <col collapsed="false" customWidth="true" hidden="false" outlineLevel="0" max="9" min="9" style="175" width="52"/>
    <col collapsed="false" customWidth="true" hidden="false" outlineLevel="0" max="10" min="10" style="175" width="7"/>
    <col collapsed="false" customWidth="true" hidden="false" outlineLevel="0" max="11" min="11" style="175" width="3"/>
    <col collapsed="false" customWidth="true" hidden="false" outlineLevel="0" max="12" min="12" style="175" width="6"/>
    <col collapsed="false" customWidth="true" hidden="false" outlineLevel="0" max="13" min="13" style="175" width="56"/>
    <col collapsed="false" customWidth="true" hidden="false" outlineLevel="0" max="14" min="14" style="140" width="8"/>
    <col collapsed="false" customWidth="false" hidden="true" outlineLevel="0" max="20" min="15" style="118" width="9.14"/>
    <col collapsed="false" customWidth="false" hidden="true" outlineLevel="0" max="24" min="21" style="96" width="9.14"/>
    <col collapsed="false" customWidth="false" hidden="true" outlineLevel="0" max="37" min="25" style="140" width="9.14"/>
    <col collapsed="false" customWidth="true" hidden="false" outlineLevel="0" max="38" min="38" style="140" width="8"/>
    <col collapsed="false" customWidth="false" hidden="true" outlineLevel="0" max="39" min="39" style="175" width="9.14"/>
  </cols>
  <sheetData>
    <row r="1" customFormat="false" ht="11.25" hidden="true" customHeight="true" outlineLevel="0" collapsed="false">
      <c r="AM1" s="175" t="s">
        <v>14</v>
      </c>
    </row>
    <row r="2" customFormat="false" ht="11.25" hidden="true" customHeight="true" outlineLevel="0" collapsed="false">
      <c r="AM2" s="175" t="n">
        <v>0</v>
      </c>
    </row>
    <row r="3" customFormat="false" ht="11.25" hidden="false" customHeight="true" outlineLevel="0" collapsed="false">
      <c r="AM3" s="175" t="n">
        <v>11</v>
      </c>
    </row>
    <row r="4" customFormat="false" ht="35.25" hidden="false" customHeight="true" outlineLevel="0" collapsed="false">
      <c r="A4" s="96"/>
      <c r="B4" s="96"/>
      <c r="D4" s="176" t="str">
        <f aca="false">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76"/>
      <c r="F4" s="176"/>
      <c r="G4" s="176"/>
      <c r="H4" s="176"/>
      <c r="I4" s="176"/>
      <c r="J4" s="140"/>
      <c r="K4" s="140"/>
      <c r="L4" s="140"/>
      <c r="M4" s="140"/>
      <c r="AM4" s="175" t="n">
        <v>34</v>
      </c>
    </row>
    <row r="5" s="181" customFormat="true" ht="14.25" hidden="false" customHeight="true" outlineLevel="0" collapsed="false">
      <c r="A5" s="96"/>
      <c r="B5" s="96"/>
      <c r="C5" s="96"/>
      <c r="D5" s="177" t="str">
        <f aca="false">IF(org=0,"Не определено",org)</f>
        <v>ООО "Газпром теплоэнерго Ярославль"</v>
      </c>
      <c r="E5" s="177"/>
      <c r="F5" s="177"/>
      <c r="G5" s="177"/>
      <c r="H5" s="177"/>
      <c r="I5" s="177"/>
      <c r="J5" s="178"/>
      <c r="K5" s="178"/>
      <c r="L5" s="178"/>
      <c r="M5" s="178"/>
      <c r="N5" s="178"/>
      <c r="O5" s="179"/>
      <c r="P5" s="179"/>
      <c r="Q5" s="179"/>
      <c r="R5" s="179"/>
      <c r="S5" s="179"/>
      <c r="T5" s="179"/>
      <c r="U5" s="180"/>
      <c r="V5" s="180"/>
      <c r="W5" s="180"/>
      <c r="X5" s="180"/>
      <c r="Y5" s="178"/>
      <c r="Z5" s="178"/>
      <c r="AA5" s="178"/>
      <c r="AB5" s="178"/>
      <c r="AC5" s="178"/>
      <c r="AD5" s="178"/>
      <c r="AE5" s="178"/>
      <c r="AF5" s="178"/>
      <c r="AG5" s="178"/>
      <c r="AH5" s="178"/>
      <c r="AI5" s="178"/>
      <c r="AJ5" s="178"/>
      <c r="AK5" s="178"/>
      <c r="AL5" s="178"/>
      <c r="AM5" s="181" t="n">
        <v>14</v>
      </c>
    </row>
    <row r="6" s="181" customFormat="true" ht="6" hidden="false" customHeight="true" outlineLevel="0" collapsed="false">
      <c r="A6" s="43"/>
      <c r="B6" s="43"/>
      <c r="C6" s="43"/>
      <c r="D6" s="43"/>
      <c r="E6" s="43"/>
      <c r="F6" s="43"/>
      <c r="G6" s="42"/>
      <c r="H6" s="42"/>
      <c r="I6" s="42"/>
      <c r="J6" s="42"/>
      <c r="K6" s="42"/>
      <c r="N6" s="178"/>
      <c r="O6" s="179"/>
      <c r="P6" s="179"/>
      <c r="Q6" s="179"/>
      <c r="R6" s="179"/>
      <c r="S6" s="179"/>
      <c r="T6" s="179"/>
      <c r="U6" s="180"/>
      <c r="V6" s="180"/>
      <c r="W6" s="180"/>
      <c r="X6" s="180"/>
      <c r="Y6" s="178"/>
      <c r="Z6" s="178"/>
      <c r="AA6" s="178"/>
      <c r="AB6" s="178"/>
      <c r="AC6" s="178"/>
      <c r="AD6" s="178"/>
      <c r="AE6" s="178"/>
      <c r="AF6" s="178"/>
      <c r="AG6" s="178"/>
      <c r="AH6" s="178"/>
      <c r="AI6" s="178"/>
      <c r="AJ6" s="178"/>
      <c r="AK6" s="178"/>
      <c r="AL6" s="178"/>
      <c r="AM6" s="181" t="n">
        <v>6</v>
      </c>
    </row>
    <row r="7" customFormat="false" ht="45.75" hidden="true" customHeight="true" outlineLevel="0" collapsed="false">
      <c r="E7" s="182" t="str">
        <f aca="false">"1.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2"/>
      <c r="G7" s="182"/>
      <c r="H7" s="182"/>
      <c r="I7" s="182"/>
      <c r="J7" s="182"/>
      <c r="K7" s="182"/>
      <c r="L7" s="182"/>
      <c r="M7" s="182"/>
      <c r="AM7" s="175" t="n">
        <v>0</v>
      </c>
    </row>
    <row r="8" s="181" customFormat="true" ht="6" hidden="false" customHeight="true" outlineLevel="0" collapsed="false">
      <c r="A8" s="183"/>
      <c r="B8" s="183"/>
      <c r="C8" s="183"/>
      <c r="D8" s="183"/>
      <c r="E8" s="183"/>
      <c r="F8" s="183"/>
      <c r="G8" s="183"/>
      <c r="H8" s="183"/>
      <c r="I8" s="183"/>
      <c r="J8" s="183"/>
      <c r="K8" s="183"/>
      <c r="L8" s="183"/>
      <c r="N8" s="178"/>
      <c r="O8" s="179"/>
      <c r="P8" s="179"/>
      <c r="Q8" s="179"/>
      <c r="R8" s="179"/>
      <c r="S8" s="179"/>
      <c r="T8" s="179"/>
      <c r="U8" s="180"/>
      <c r="V8" s="180"/>
      <c r="W8" s="180"/>
      <c r="X8" s="180"/>
      <c r="Y8" s="178"/>
      <c r="Z8" s="178"/>
      <c r="AA8" s="178"/>
      <c r="AB8" s="178"/>
      <c r="AC8" s="178"/>
      <c r="AD8" s="178"/>
      <c r="AE8" s="178"/>
      <c r="AF8" s="178"/>
      <c r="AG8" s="178"/>
      <c r="AH8" s="178"/>
      <c r="AI8" s="178"/>
      <c r="AJ8" s="178"/>
      <c r="AK8" s="178"/>
      <c r="AL8" s="178"/>
      <c r="AM8" s="181" t="n">
        <v>6</v>
      </c>
    </row>
    <row r="9" customFormat="false" ht="18.75" hidden="false" customHeight="true" outlineLevel="0" collapsed="false">
      <c r="A9" s="72"/>
      <c r="B9" s="42"/>
      <c r="C9" s="42"/>
      <c r="D9" s="134" t="s">
        <v>116</v>
      </c>
      <c r="E9" s="134"/>
      <c r="F9" s="184" t="s">
        <v>117</v>
      </c>
      <c r="G9" s="184"/>
      <c r="H9" s="184"/>
      <c r="I9" s="184"/>
      <c r="J9" s="185" t="s">
        <v>118</v>
      </c>
      <c r="K9" s="185"/>
      <c r="L9" s="185"/>
      <c r="M9" s="185"/>
      <c r="AM9" s="175" t="n">
        <v>18</v>
      </c>
    </row>
    <row r="10" customFormat="false" ht="24" hidden="false" customHeight="true" outlineLevel="0" collapsed="false">
      <c r="A10" s="72"/>
      <c r="B10" s="43"/>
      <c r="C10" s="186"/>
      <c r="D10" s="146" t="s">
        <v>87</v>
      </c>
      <c r="E10" s="146" t="s">
        <v>88</v>
      </c>
      <c r="F10" s="146" t="s">
        <v>119</v>
      </c>
      <c r="G10" s="187" t="s">
        <v>87</v>
      </c>
      <c r="H10" s="187"/>
      <c r="I10" s="146" t="s">
        <v>88</v>
      </c>
      <c r="J10" s="146" t="s">
        <v>119</v>
      </c>
      <c r="K10" s="187" t="s">
        <v>87</v>
      </c>
      <c r="L10" s="187"/>
      <c r="M10" s="146" t="s">
        <v>88</v>
      </c>
      <c r="N10" s="188"/>
      <c r="AM10" s="175" t="n">
        <v>23</v>
      </c>
    </row>
    <row r="11" s="175" customFormat="true" ht="11.25" hidden="true" customHeight="true" outlineLevel="0" collapsed="false">
      <c r="A11" s="189"/>
      <c r="B11" s="189"/>
      <c r="C11" s="189"/>
      <c r="D11" s="190" t="s">
        <v>120</v>
      </c>
      <c r="E11" s="190" t="s">
        <v>102</v>
      </c>
      <c r="F11" s="190" t="s">
        <v>89</v>
      </c>
      <c r="G11" s="191" t="s">
        <v>90</v>
      </c>
      <c r="H11" s="191"/>
      <c r="I11" s="190" t="s">
        <v>121</v>
      </c>
      <c r="J11" s="190" t="s">
        <v>91</v>
      </c>
      <c r="K11" s="190" t="s">
        <v>92</v>
      </c>
      <c r="L11" s="190"/>
      <c r="M11" s="190" t="s">
        <v>122</v>
      </c>
      <c r="N11" s="188"/>
      <c r="O11" s="118"/>
      <c r="P11" s="118"/>
      <c r="Q11" s="118"/>
      <c r="R11" s="118"/>
      <c r="S11" s="118"/>
      <c r="T11" s="118"/>
      <c r="U11" s="96"/>
      <c r="V11" s="96"/>
      <c r="W11" s="96"/>
      <c r="X11" s="96"/>
      <c r="Y11" s="140"/>
      <c r="Z11" s="140"/>
      <c r="AA11" s="140"/>
      <c r="AB11" s="140"/>
      <c r="AC11" s="140"/>
      <c r="AD11" s="140"/>
      <c r="AE11" s="140"/>
      <c r="AF11" s="140"/>
      <c r="AG11" s="140"/>
      <c r="AH11" s="140"/>
      <c r="AI11" s="140"/>
      <c r="AJ11" s="140"/>
      <c r="AK11" s="140"/>
      <c r="AL11" s="140"/>
      <c r="AM11" s="175" t="n">
        <v>0</v>
      </c>
    </row>
    <row r="12" customFormat="false" ht="0.75" hidden="false" customHeight="true" outlineLevel="0" collapsed="false">
      <c r="A12" s="192"/>
      <c r="B12" s="43"/>
      <c r="C12" s="43"/>
      <c r="D12" s="193"/>
      <c r="E12" s="194"/>
      <c r="F12" s="194"/>
      <c r="G12" s="195"/>
      <c r="H12" s="195"/>
      <c r="I12" s="194"/>
      <c r="J12" s="194"/>
      <c r="K12" s="196"/>
      <c r="L12" s="194"/>
      <c r="M12" s="197"/>
      <c r="N12" s="188"/>
      <c r="O12" s="118" t="s">
        <v>123</v>
      </c>
      <c r="P12" s="118" t="s">
        <v>124</v>
      </c>
      <c r="Q12" s="118" t="s">
        <v>125</v>
      </c>
      <c r="R12" s="118" t="s">
        <v>126</v>
      </c>
      <c r="AM12" s="175" t="n">
        <v>1</v>
      </c>
    </row>
    <row r="13" s="175" customFormat="true" ht="15.75" hidden="false" customHeight="true" outlineLevel="0" collapsed="false">
      <c r="A13" s="53"/>
      <c r="B13" s="53"/>
      <c r="C13" s="117"/>
      <c r="D13" s="198" t="s">
        <v>120</v>
      </c>
      <c r="E13" s="199" t="str">
        <f aca="false">INDEX(VD_NAME_LIST,MATCH("4190064",VD_ID_LIST,0))</f>
        <v>Производство тепловой энергии. Некомбинированная выработка</v>
      </c>
      <c r="F13" s="200" t="s">
        <v>61</v>
      </c>
      <c r="G13" s="201"/>
      <c r="H13" s="202" t="n">
        <v>1</v>
      </c>
      <c r="I13" s="203" t="str">
        <f aca="false">IF(U13="","",INDEX(TERRITORY_MR_LIST,MATCH(U13,TERRITORY_LIST_ID,0)))</f>
        <v>Территория 1</v>
      </c>
      <c r="J13" s="204" t="s">
        <v>19</v>
      </c>
      <c r="K13" s="205"/>
      <c r="L13" s="198" t="s">
        <v>120</v>
      </c>
      <c r="M13" s="206"/>
      <c r="N13" s="188"/>
      <c r="O13" s="118" t="s">
        <v>127</v>
      </c>
      <c r="P13" s="118" t="str">
        <f aca="false">$E$13</f>
        <v>Производство тепловой энергии. Некомбинированная выработка</v>
      </c>
      <c r="Q13" s="118" t="str">
        <f aca="false">IF($F$13="нет","без дифференциации",$I$13)</f>
        <v>Территория 1</v>
      </c>
      <c r="R13" s="118" t="str">
        <f aca="false">IF($J$13="нет","без дифференциации",M13)</f>
        <v>без дифференциации</v>
      </c>
      <c r="S13" s="118"/>
      <c r="T13" s="118"/>
      <c r="U13" s="96" t="s">
        <v>97</v>
      </c>
      <c r="V13" s="96" t="s">
        <v>128</v>
      </c>
      <c r="W13" s="96"/>
      <c r="X13" s="96"/>
      <c r="Y13" s="140" t="s">
        <v>129</v>
      </c>
      <c r="Z13" s="140" t="n">
        <v>1705000</v>
      </c>
      <c r="AA13" s="140"/>
      <c r="AB13" s="140"/>
      <c r="AC13" s="140"/>
      <c r="AD13" s="140"/>
      <c r="AE13" s="140"/>
      <c r="AF13" s="140"/>
      <c r="AG13" s="140"/>
      <c r="AH13" s="140"/>
      <c r="AI13" s="140"/>
      <c r="AJ13" s="140"/>
      <c r="AK13" s="140"/>
      <c r="AL13" s="140"/>
      <c r="AM13" s="175" t="n">
        <v>15</v>
      </c>
    </row>
    <row r="14" s="175" customFormat="true" ht="15.75" hidden="false" customHeight="true" outlineLevel="0" collapsed="false">
      <c r="A14" s="53"/>
      <c r="B14" s="53"/>
      <c r="C14" s="138"/>
      <c r="D14" s="198"/>
      <c r="E14" s="199"/>
      <c r="F14" s="200"/>
      <c r="G14" s="201"/>
      <c r="H14" s="202"/>
      <c r="I14" s="203"/>
      <c r="J14" s="204"/>
      <c r="K14" s="159"/>
      <c r="L14" s="160"/>
      <c r="M14" s="207" t="s">
        <v>130</v>
      </c>
      <c r="N14" s="188"/>
      <c r="O14" s="118"/>
      <c r="P14" s="118"/>
      <c r="Q14" s="118"/>
      <c r="R14" s="118"/>
      <c r="S14" s="118"/>
      <c r="T14" s="118"/>
      <c r="U14" s="96"/>
      <c r="V14" s="96"/>
      <c r="W14" s="96"/>
      <c r="X14" s="96"/>
      <c r="Y14" s="140"/>
      <c r="Z14" s="140"/>
      <c r="AA14" s="140"/>
      <c r="AB14" s="140"/>
      <c r="AC14" s="140"/>
      <c r="AD14" s="140"/>
      <c r="AE14" s="140"/>
      <c r="AF14" s="140"/>
      <c r="AG14" s="140"/>
      <c r="AH14" s="140"/>
      <c r="AI14" s="140"/>
      <c r="AJ14" s="140"/>
      <c r="AK14" s="140"/>
      <c r="AL14" s="140"/>
      <c r="AM14" s="175" t="n">
        <v>15</v>
      </c>
    </row>
    <row r="15" customFormat="false" ht="15" hidden="false" customHeight="true" outlineLevel="0" collapsed="false">
      <c r="A15" s="53"/>
      <c r="B15" s="53"/>
      <c r="C15" s="138"/>
      <c r="D15" s="198"/>
      <c r="E15" s="198"/>
      <c r="F15" s="198"/>
      <c r="G15" s="208" t="s">
        <v>103</v>
      </c>
      <c r="H15" s="209" t="s">
        <v>102</v>
      </c>
      <c r="I15" s="203" t="str">
        <f aca="false">IF(U15="","",INDEX(TERRITORY_MR_LIST,MATCH(U15,TERRITORY_LIST_ID,0)))</f>
        <v>Территория 2</v>
      </c>
      <c r="J15" s="204" t="s">
        <v>19</v>
      </c>
      <c r="K15" s="210"/>
      <c r="L15" s="198" t="s">
        <v>120</v>
      </c>
      <c r="M15" s="206"/>
      <c r="O15" s="140" t="s">
        <v>131</v>
      </c>
      <c r="P15" s="140" t="str">
        <f aca="false">$E$13</f>
        <v>Производство тепловой энергии. Некомбинированная выработка</v>
      </c>
      <c r="Q15" s="140" t="str">
        <f aca="false">IF($F$15="нет","без дифференциации",$I$15)</f>
        <v>Территория 2</v>
      </c>
      <c r="R15" s="140" t="str">
        <f aca="false">IF($J$15="нет","без дифференциации",$M$15)</f>
        <v>без дифференциации</v>
      </c>
      <c r="S15" s="140"/>
      <c r="T15" s="140"/>
      <c r="U15" s="211" t="s">
        <v>104</v>
      </c>
      <c r="V15" s="140"/>
      <c r="W15" s="140"/>
      <c r="X15" s="140"/>
      <c r="Y15" s="140" t="s">
        <v>129</v>
      </c>
      <c r="Z15" s="140" t="n">
        <v>1705000</v>
      </c>
    </row>
    <row r="16" customFormat="false" ht="15" hidden="false" customHeight="true" outlineLevel="0" collapsed="false">
      <c r="A16" s="53"/>
      <c r="B16" s="53"/>
      <c r="C16" s="138"/>
      <c r="D16" s="198"/>
      <c r="E16" s="198"/>
      <c r="F16" s="198"/>
      <c r="G16" s="208"/>
      <c r="H16" s="209"/>
      <c r="I16" s="203"/>
      <c r="J16" s="204"/>
      <c r="K16" s="159"/>
      <c r="L16" s="160"/>
      <c r="M16" s="207" t="s">
        <v>130</v>
      </c>
      <c r="O16" s="140"/>
      <c r="P16" s="140"/>
      <c r="Q16" s="140"/>
      <c r="R16" s="140"/>
      <c r="S16" s="140"/>
      <c r="T16" s="140"/>
      <c r="U16" s="211"/>
      <c r="V16" s="140"/>
      <c r="W16" s="140"/>
      <c r="X16" s="140"/>
    </row>
    <row r="17" customFormat="false" ht="15" hidden="false" customHeight="true" outlineLevel="0" collapsed="false">
      <c r="A17" s="53"/>
      <c r="B17" s="53"/>
      <c r="C17" s="138"/>
      <c r="D17" s="198"/>
      <c r="E17" s="198"/>
      <c r="F17" s="198"/>
      <c r="G17" s="208" t="s">
        <v>103</v>
      </c>
      <c r="H17" s="209" t="s">
        <v>89</v>
      </c>
      <c r="I17" s="203" t="str">
        <f aca="false">IF(U17="","",INDEX(TERRITORY_MR_LIST,MATCH(U17,TERRITORY_LIST_ID,0)))</f>
        <v>Территория 3</v>
      </c>
      <c r="J17" s="204" t="s">
        <v>19</v>
      </c>
      <c r="K17" s="210"/>
      <c r="L17" s="198" t="s">
        <v>120</v>
      </c>
      <c r="M17" s="206"/>
      <c r="O17" s="140" t="s">
        <v>132</v>
      </c>
      <c r="P17" s="140" t="str">
        <f aca="false">$E$13</f>
        <v>Производство тепловой энергии. Некомбинированная выработка</v>
      </c>
      <c r="Q17" s="140" t="str">
        <f aca="false">IF($F$17="нет","без дифференциации",$I$17)</f>
        <v>Территория 3</v>
      </c>
      <c r="R17" s="140" t="str">
        <f aca="false">IF($J$17="нет","без дифференциации",$M$17)</f>
        <v>без дифференциации</v>
      </c>
      <c r="S17" s="140"/>
      <c r="T17" s="140"/>
      <c r="U17" s="211" t="s">
        <v>109</v>
      </c>
      <c r="V17" s="140"/>
      <c r="W17" s="140"/>
      <c r="X17" s="140"/>
      <c r="Y17" s="140" t="s">
        <v>129</v>
      </c>
      <c r="Z17" s="140" t="n">
        <v>1705000</v>
      </c>
    </row>
    <row r="18" customFormat="false" ht="15" hidden="false" customHeight="true" outlineLevel="0" collapsed="false">
      <c r="A18" s="53"/>
      <c r="B18" s="53"/>
      <c r="C18" s="138"/>
      <c r="D18" s="198"/>
      <c r="E18" s="198"/>
      <c r="F18" s="198"/>
      <c r="G18" s="208"/>
      <c r="H18" s="209"/>
      <c r="I18" s="203"/>
      <c r="J18" s="204"/>
      <c r="K18" s="159"/>
      <c r="L18" s="160"/>
      <c r="M18" s="207" t="s">
        <v>130</v>
      </c>
      <c r="O18" s="140"/>
      <c r="P18" s="140"/>
      <c r="Q18" s="140"/>
      <c r="R18" s="140"/>
      <c r="S18" s="140"/>
      <c r="T18" s="140"/>
      <c r="U18" s="211"/>
      <c r="V18" s="140"/>
      <c r="W18" s="140"/>
      <c r="X18" s="140"/>
    </row>
    <row r="19" s="175" customFormat="true" ht="15.75" hidden="false" customHeight="true" outlineLevel="0" collapsed="false">
      <c r="A19" s="53"/>
      <c r="B19" s="53"/>
      <c r="C19" s="138"/>
      <c r="D19" s="198"/>
      <c r="E19" s="199"/>
      <c r="F19" s="200"/>
      <c r="G19" s="212"/>
      <c r="H19" s="213"/>
      <c r="I19" s="161" t="s">
        <v>133</v>
      </c>
      <c r="J19" s="160"/>
      <c r="K19" s="160"/>
      <c r="L19" s="160"/>
      <c r="M19" s="214"/>
      <c r="N19" s="188"/>
      <c r="O19" s="118"/>
      <c r="P19" s="118"/>
      <c r="Q19" s="118"/>
      <c r="R19" s="118"/>
      <c r="S19" s="118"/>
      <c r="T19" s="118"/>
      <c r="U19" s="96"/>
      <c r="V19" s="96"/>
      <c r="W19" s="96"/>
      <c r="X19" s="96"/>
      <c r="Y19" s="140"/>
      <c r="Z19" s="140"/>
      <c r="AA19" s="140"/>
      <c r="AB19" s="140"/>
      <c r="AC19" s="140"/>
      <c r="AD19" s="140"/>
      <c r="AE19" s="140"/>
      <c r="AF19" s="140"/>
      <c r="AG19" s="140"/>
      <c r="AH19" s="140"/>
      <c r="AI19" s="140"/>
      <c r="AJ19" s="140"/>
      <c r="AK19" s="140"/>
      <c r="AL19" s="140"/>
      <c r="AM19" s="175" t="n">
        <v>15</v>
      </c>
    </row>
    <row r="20" customFormat="false" ht="15" hidden="false" customHeight="true" outlineLevel="0" collapsed="false">
      <c r="A20" s="53"/>
      <c r="B20" s="53"/>
      <c r="C20" s="215" t="s">
        <v>103</v>
      </c>
      <c r="D20" s="198" t="s">
        <v>102</v>
      </c>
      <c r="E20" s="199" t="str">
        <f aca="false">INDEX(VD_NAME_LIST,MATCH("4190067",VD_ID_LIST,0))</f>
        <v>Производство. Теплоноситель</v>
      </c>
      <c r="F20" s="204" t="s">
        <v>61</v>
      </c>
      <c r="G20" s="216"/>
      <c r="H20" s="134" t="n">
        <v>1</v>
      </c>
      <c r="I20" s="217" t="str">
        <f aca="false">IF($U$20="","",INDEX(TERRITORY_MR_LIST,MATCH($U$20,TERRITORY_LIST_ID,0)))</f>
        <v>Территория 1</v>
      </c>
      <c r="J20" s="204" t="s">
        <v>19</v>
      </c>
      <c r="K20" s="210"/>
      <c r="L20" s="198" t="s">
        <v>120</v>
      </c>
      <c r="M20" s="206"/>
      <c r="O20" s="140" t="s">
        <v>134</v>
      </c>
      <c r="P20" s="140" t="str">
        <f aca="false">$E$20</f>
        <v>Производство. Теплоноситель</v>
      </c>
      <c r="Q20" s="140" t="str">
        <f aca="false">IF($F$20="нет","без дифференциации",$I$20)</f>
        <v>Территория 1</v>
      </c>
      <c r="R20" s="140" t="str">
        <f aca="false">IF($J$20="нет","без дифференциации",$M$20)</f>
        <v>без дифференциации</v>
      </c>
      <c r="S20" s="140"/>
      <c r="T20" s="140"/>
      <c r="U20" s="211" t="s">
        <v>97</v>
      </c>
      <c r="V20" s="140" t="s">
        <v>135</v>
      </c>
      <c r="W20" s="140"/>
      <c r="X20" s="140"/>
      <c r="Y20" s="140" t="s">
        <v>129</v>
      </c>
      <c r="Z20" s="140" t="n">
        <v>1705000</v>
      </c>
    </row>
    <row r="21" customFormat="false" ht="15" hidden="false" customHeight="true" outlineLevel="0" collapsed="false">
      <c r="A21" s="53"/>
      <c r="B21" s="53"/>
      <c r="C21" s="215"/>
      <c r="D21" s="198"/>
      <c r="E21" s="199"/>
      <c r="F21" s="204"/>
      <c r="G21" s="216"/>
      <c r="H21" s="134"/>
      <c r="I21" s="217" t="str">
        <f aca="false">IF($U$20="","",INDEX(TERRITORY_MR_LIST,MATCH($U$20,TERRITORY_LIST_ID,0)))</f>
        <v>Территория 1</v>
      </c>
      <c r="J21" s="204"/>
      <c r="K21" s="159"/>
      <c r="L21" s="160"/>
      <c r="M21" s="207" t="s">
        <v>130</v>
      </c>
      <c r="O21" s="140"/>
      <c r="P21" s="140"/>
      <c r="Q21" s="140"/>
      <c r="R21" s="140"/>
      <c r="S21" s="140"/>
      <c r="T21" s="140"/>
      <c r="U21" s="211"/>
      <c r="V21" s="140"/>
      <c r="W21" s="140"/>
      <c r="X21" s="140"/>
    </row>
    <row r="22" customFormat="false" ht="15" hidden="false" customHeight="true" outlineLevel="0" collapsed="false">
      <c r="A22" s="53"/>
      <c r="B22" s="53"/>
      <c r="C22" s="215"/>
      <c r="D22" s="198"/>
      <c r="E22" s="199"/>
      <c r="F22" s="204"/>
      <c r="G22" s="159"/>
      <c r="H22" s="160"/>
      <c r="I22" s="161" t="s">
        <v>133</v>
      </c>
      <c r="J22" s="160"/>
      <c r="K22" s="160"/>
      <c r="L22" s="160"/>
      <c r="M22" s="214"/>
      <c r="O22" s="140"/>
      <c r="P22" s="140"/>
      <c r="Q22" s="140"/>
      <c r="R22" s="140"/>
      <c r="S22" s="140"/>
      <c r="T22" s="140"/>
      <c r="U22" s="211"/>
      <c r="V22" s="140"/>
      <c r="W22" s="140"/>
      <c r="X22" s="140"/>
    </row>
    <row r="23" customFormat="false" ht="15.75" hidden="false" customHeight="true" outlineLevel="0" collapsed="false">
      <c r="A23" s="218"/>
      <c r="B23" s="50"/>
      <c r="C23" s="114"/>
      <c r="D23" s="159"/>
      <c r="E23" s="219" t="s">
        <v>136</v>
      </c>
      <c r="F23" s="160"/>
      <c r="G23" s="160"/>
      <c r="H23" s="160"/>
      <c r="I23" s="160"/>
      <c r="J23" s="160"/>
      <c r="K23" s="160"/>
      <c r="L23" s="160"/>
      <c r="M23" s="214"/>
      <c r="N23" s="188"/>
      <c r="AM23" s="175" t="n">
        <v>15</v>
      </c>
    </row>
    <row r="24" customFormat="false" ht="11.25" hidden="true" customHeight="true" outlineLevel="0" collapsed="false">
      <c r="A24" s="175" t="s">
        <v>81</v>
      </c>
      <c r="B24" s="175" t="n">
        <v>0</v>
      </c>
      <c r="C24" s="175" t="n">
        <v>3</v>
      </c>
      <c r="E24" s="175" t="n">
        <v>44</v>
      </c>
      <c r="F24" s="175" t="n">
        <v>6</v>
      </c>
      <c r="G24" s="175" t="n">
        <v>4</v>
      </c>
      <c r="H24" s="175" t="n">
        <v>5</v>
      </c>
      <c r="I24" s="175" t="n">
        <v>52</v>
      </c>
      <c r="J24" s="175" t="n">
        <v>6</v>
      </c>
      <c r="K24" s="175" t="n">
        <v>3</v>
      </c>
      <c r="L24" s="175" t="n">
        <v>6</v>
      </c>
      <c r="M24" s="175" t="n">
        <v>56</v>
      </c>
      <c r="N24" s="140" t="n">
        <v>8</v>
      </c>
      <c r="O24" s="118" t="n">
        <v>0</v>
      </c>
      <c r="P24" s="118" t="n">
        <v>0</v>
      </c>
      <c r="Q24" s="118" t="n">
        <v>0</v>
      </c>
      <c r="R24" s="118" t="n">
        <v>0</v>
      </c>
      <c r="S24" s="118" t="n">
        <v>0</v>
      </c>
      <c r="T24" s="118" t="n">
        <v>0</v>
      </c>
      <c r="U24" s="96" t="n">
        <v>0</v>
      </c>
      <c r="V24" s="96" t="n">
        <v>0</v>
      </c>
      <c r="W24" s="96" t="n">
        <v>0</v>
      </c>
      <c r="X24" s="96" t="n">
        <v>0</v>
      </c>
      <c r="Y24" s="140" t="n">
        <v>0</v>
      </c>
      <c r="Z24" s="140" t="n">
        <v>0</v>
      </c>
      <c r="AA24" s="140" t="n">
        <v>0</v>
      </c>
      <c r="AB24" s="140" t="n">
        <v>0</v>
      </c>
      <c r="AC24" s="140" t="n">
        <v>0</v>
      </c>
      <c r="AD24" s="140" t="n">
        <v>0</v>
      </c>
      <c r="AE24" s="140" t="n">
        <v>0</v>
      </c>
      <c r="AF24" s="140" t="n">
        <v>0</v>
      </c>
      <c r="AG24" s="140" t="n">
        <v>0</v>
      </c>
      <c r="AH24" s="140" t="n">
        <v>0</v>
      </c>
      <c r="AI24" s="140" t="n">
        <v>0</v>
      </c>
      <c r="AJ24" s="140" t="n">
        <v>0</v>
      </c>
      <c r="AK24" s="140" t="n">
        <v>0</v>
      </c>
      <c r="AL24" s="140" t="n">
        <v>8</v>
      </c>
      <c r="AM24" s="175" t="n">
        <v>11</v>
      </c>
    </row>
  </sheetData>
  <mergeCells count="35">
    <mergeCell ref="D4:I4"/>
    <mergeCell ref="D5:I5"/>
    <mergeCell ref="A6:F6"/>
    <mergeCell ref="E7:M7"/>
    <mergeCell ref="A9:A10"/>
    <mergeCell ref="D9:E9"/>
    <mergeCell ref="F9:I9"/>
    <mergeCell ref="J9:M9"/>
    <mergeCell ref="G10:H10"/>
    <mergeCell ref="K10:L10"/>
    <mergeCell ref="G11:H11"/>
    <mergeCell ref="K11:L11"/>
    <mergeCell ref="D13:D19"/>
    <mergeCell ref="E13:E19"/>
    <mergeCell ref="F13:F19"/>
    <mergeCell ref="G13:G14"/>
    <mergeCell ref="H13:H14"/>
    <mergeCell ref="I13:I14"/>
    <mergeCell ref="J13:J14"/>
    <mergeCell ref="G15:G16"/>
    <mergeCell ref="H15:H16"/>
    <mergeCell ref="I15:I16"/>
    <mergeCell ref="J15:J16"/>
    <mergeCell ref="G17:G18"/>
    <mergeCell ref="H17:H18"/>
    <mergeCell ref="I17:I18"/>
    <mergeCell ref="J17:J18"/>
    <mergeCell ref="C20:C22"/>
    <mergeCell ref="D20:D22"/>
    <mergeCell ref="E20:E22"/>
    <mergeCell ref="F20:F22"/>
    <mergeCell ref="G20:G21"/>
    <mergeCell ref="H20:H21"/>
    <mergeCell ref="I20:I21"/>
    <mergeCell ref="J20:J21"/>
  </mergeCells>
  <dataValidations count="4">
    <dataValidation allowBlank="true" error="Допускается ввод не более 900 символов!" errorStyle="stop" operator="lessThan" showDropDown="false" showErrorMessage="true" showInputMessage="true" sqref="M20" type="textLength">
      <formula1>900</formula1>
      <formula2>0</formula2>
    </dataValidation>
    <dataValidation allowBlank="true" error="Допускается ввод не более 900 символов!" errorStyle="stop" operator="lessThan" showDropDown="false" showErrorMessage="true" showInputMessage="true" sqref="M17" type="textLength">
      <formula1>900</formula1>
      <formula2>0</formula2>
    </dataValidation>
    <dataValidation allowBlank="true" error="Допускается ввод не более 900 символов!" errorStyle="stop" operator="lessThan" showDropDown="false" showErrorMessage="true" showInputMessage="true" sqref="M15" type="textLength">
      <formula1>900</formula1>
      <formula2>0</formula2>
    </dataValidation>
    <dataValidation allowBlank="true" error="Допускается ввод не более 900 символов!" errorStyle="stop" operator="lessThan" showDropDown="false" showErrorMessage="true" showInputMessage="true" sqref="M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R14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1.25" zeroHeight="false" outlineLevelRow="0" outlineLevelCol="0"/>
  <cols>
    <col collapsed="false" customWidth="true" hidden="true" outlineLevel="0" max="2" min="1" style="118" width="3.71"/>
    <col collapsed="false" customWidth="true" hidden="false" outlineLevel="0" max="3" min="3" style="175" width="3"/>
    <col collapsed="false" customWidth="true" hidden="false" outlineLevel="0" max="4" min="4" style="175" width="6"/>
    <col collapsed="false" customWidth="true" hidden="false" outlineLevel="0" max="5" min="5" style="175" width="42"/>
    <col collapsed="false" customWidth="true" hidden="false" outlineLevel="0" max="6" min="6" style="175" width="15"/>
    <col collapsed="false" customWidth="true" hidden="false" outlineLevel="0" max="7" min="7" style="175" width="42"/>
    <col collapsed="false" customWidth="true" hidden="false" outlineLevel="0" max="8" min="8" style="175" width="3"/>
    <col collapsed="false" customWidth="true" hidden="false" outlineLevel="0" max="9" min="9" style="175" width="5"/>
    <col collapsed="false" customWidth="true" hidden="false" outlineLevel="0" max="10" min="10" style="175" width="47"/>
    <col collapsed="false" customWidth="true" hidden="false" outlineLevel="0" max="12" min="11" style="175" width="3"/>
    <col collapsed="false" customWidth="true" hidden="false" outlineLevel="0" max="13" min="13" style="175" width="5"/>
    <col collapsed="false" customWidth="true" hidden="false" outlineLevel="0" max="14" min="14" style="175" width="28"/>
    <col collapsed="false" customWidth="true" hidden="false" outlineLevel="0" max="16" min="15" style="175" width="3"/>
    <col collapsed="false" customWidth="true" hidden="false" outlineLevel="0" max="17" min="17" style="175" width="5"/>
    <col collapsed="false" customWidth="true" hidden="false" outlineLevel="0" max="18" min="18" style="175" width="34"/>
    <col collapsed="false" customWidth="true" hidden="false" outlineLevel="0" max="20" min="19" style="175" width="3.71"/>
    <col collapsed="false" customWidth="true" hidden="false" outlineLevel="0" max="21" min="21" style="175" width="5.71"/>
    <col collapsed="false" customWidth="true" hidden="false" outlineLevel="0" max="22" min="22" style="175" width="34.42"/>
    <col collapsed="false" customWidth="true" hidden="false" outlineLevel="0" max="23" min="23" style="175" width="30"/>
    <col collapsed="false" customWidth="true" hidden="false" outlineLevel="0" max="24" min="24" style="175" width="3"/>
    <col collapsed="false" customWidth="true" hidden="true" outlineLevel="0" max="28" min="25" style="96" width="9.85"/>
    <col collapsed="false" customWidth="true" hidden="true" outlineLevel="0" max="29" min="29" style="96" width="27"/>
    <col collapsed="false" customWidth="true" hidden="true" outlineLevel="0" max="30" min="30" style="96" width="10.57"/>
    <col collapsed="false" customWidth="true" hidden="true" outlineLevel="0" max="31" min="31" style="96" width="10.71"/>
    <col collapsed="false" customWidth="true" hidden="true" outlineLevel="0" max="32" min="32" style="96" width="10"/>
    <col collapsed="false" customWidth="true" hidden="true" outlineLevel="0" max="33" min="33" style="96" width="12.85"/>
    <col collapsed="false" customWidth="true" hidden="true" outlineLevel="0" max="34" min="34" style="96" width="24.42"/>
    <col collapsed="false" customWidth="true" hidden="true" outlineLevel="0" max="35" min="35" style="96" width="15.85"/>
    <col collapsed="false" customWidth="true" hidden="true" outlineLevel="0" max="36" min="36" style="96" width="19.42"/>
    <col collapsed="false" customWidth="true" hidden="true" outlineLevel="0" max="37" min="37" style="96" width="11"/>
    <col collapsed="false" customWidth="true" hidden="true" outlineLevel="0" max="38" min="38" style="96" width="23.57"/>
    <col collapsed="false" customWidth="true" hidden="true" outlineLevel="0" max="39" min="39" style="96" width="23.85"/>
    <col collapsed="false" customWidth="true" hidden="true" outlineLevel="0" max="40" min="40" style="96" width="25.28"/>
    <col collapsed="false" customWidth="true" hidden="true" outlineLevel="0" max="41" min="41" style="96" width="16.85"/>
    <col collapsed="false" customWidth="true" hidden="true" outlineLevel="0" max="42" min="42" style="96" width="29.57"/>
    <col collapsed="false" customWidth="true" hidden="true" outlineLevel="0" max="43" min="43" style="96" width="29.85"/>
    <col collapsed="false" customWidth="false" hidden="true" outlineLevel="0" max="44" min="44" style="175" width="9.14"/>
  </cols>
  <sheetData>
    <row r="1" customFormat="false" ht="11.25" hidden="true" customHeight="true" outlineLevel="0" collapsed="false">
      <c r="AR1" s="175" t="s">
        <v>14</v>
      </c>
    </row>
    <row r="2" customFormat="false" ht="11.25" hidden="true" customHeight="true" outlineLevel="0" collapsed="false">
      <c r="AR2" s="175" t="n">
        <v>0</v>
      </c>
    </row>
    <row r="3" customFormat="false" ht="11.25" hidden="true" customHeight="true" outlineLevel="0" collapsed="false">
      <c r="AR3" s="175" t="n">
        <v>0</v>
      </c>
    </row>
    <row r="4" customFormat="false" ht="3" hidden="false" customHeight="true" outlineLevel="0" collapsed="false">
      <c r="AR4" s="175" t="n">
        <v>3</v>
      </c>
    </row>
    <row r="5" s="181" customFormat="true" ht="30" hidden="false" customHeight="true" outlineLevel="0" collapsed="false">
      <c r="A5" s="179"/>
      <c r="B5" s="179"/>
      <c r="D5" s="220" t="str">
        <f aca="false">"Перечень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0"/>
      <c r="F5" s="220"/>
      <c r="G5" s="220"/>
      <c r="H5" s="220"/>
      <c r="I5" s="220"/>
      <c r="J5" s="220"/>
      <c r="K5" s="221"/>
      <c r="L5" s="222"/>
      <c r="M5" s="222"/>
      <c r="N5" s="222"/>
      <c r="O5" s="222"/>
      <c r="P5" s="222"/>
      <c r="Q5" s="222"/>
      <c r="R5" s="222"/>
      <c r="S5" s="222"/>
      <c r="T5" s="222"/>
      <c r="U5" s="222"/>
      <c r="V5" s="222"/>
      <c r="W5" s="222"/>
      <c r="Y5" s="180"/>
      <c r="Z5" s="180"/>
      <c r="AA5" s="180"/>
      <c r="AB5" s="180"/>
      <c r="AC5" s="180"/>
      <c r="AD5" s="180"/>
      <c r="AE5" s="180"/>
      <c r="AF5" s="180"/>
      <c r="AG5" s="180"/>
      <c r="AH5" s="180"/>
      <c r="AI5" s="180"/>
      <c r="AJ5" s="180"/>
      <c r="AK5" s="180"/>
      <c r="AL5" s="180"/>
      <c r="AM5" s="180"/>
      <c r="AN5" s="180"/>
      <c r="AO5" s="180"/>
      <c r="AP5" s="180"/>
      <c r="AQ5" s="180"/>
      <c r="AR5" s="181" t="n">
        <v>29</v>
      </c>
    </row>
    <row r="6" s="181" customFormat="true" ht="14.25" hidden="false" customHeight="true" outlineLevel="0" collapsed="false">
      <c r="A6" s="96"/>
      <c r="B6" s="96"/>
      <c r="C6" s="96"/>
      <c r="D6" s="177" t="str">
        <f aca="false">IF(org=0,"Не определено",org)</f>
        <v>ООО "Газпром теплоэнерго Ярославль"</v>
      </c>
      <c r="E6" s="177"/>
      <c r="F6" s="177"/>
      <c r="G6" s="177"/>
      <c r="H6" s="177"/>
      <c r="I6" s="177"/>
      <c r="J6" s="177"/>
      <c r="K6" s="178"/>
      <c r="L6" s="178"/>
      <c r="M6" s="178"/>
      <c r="N6" s="178"/>
      <c r="O6" s="179"/>
      <c r="P6" s="179"/>
      <c r="Q6" s="179"/>
      <c r="R6" s="179"/>
      <c r="S6" s="179"/>
      <c r="T6" s="179"/>
      <c r="U6" s="179"/>
      <c r="V6" s="179"/>
      <c r="W6" s="179"/>
      <c r="X6" s="178"/>
      <c r="Y6" s="180"/>
      <c r="Z6" s="180"/>
      <c r="AA6" s="180"/>
      <c r="AB6" s="180"/>
      <c r="AC6" s="180"/>
      <c r="AD6" s="180"/>
      <c r="AE6" s="180"/>
      <c r="AF6" s="180"/>
      <c r="AG6" s="180"/>
      <c r="AH6" s="180"/>
      <c r="AI6" s="180"/>
      <c r="AJ6" s="180"/>
      <c r="AK6" s="180"/>
      <c r="AL6" s="180"/>
      <c r="AM6" s="180"/>
      <c r="AN6" s="180"/>
      <c r="AO6" s="180"/>
      <c r="AP6" s="180"/>
      <c r="AQ6" s="180"/>
      <c r="AR6" s="181" t="n">
        <v>14</v>
      </c>
    </row>
    <row r="7" s="223" customFormat="true" ht="11.25" hidden="false" customHeight="true" outlineLevel="0" collapsed="false">
      <c r="A7" s="118"/>
      <c r="B7" s="118"/>
      <c r="D7" s="224"/>
      <c r="E7" s="224"/>
      <c r="F7" s="224"/>
      <c r="G7" s="224"/>
      <c r="H7" s="224"/>
      <c r="I7" s="224"/>
      <c r="J7" s="224"/>
      <c r="Y7" s="96"/>
      <c r="Z7" s="96"/>
      <c r="AA7" s="96"/>
      <c r="AB7" s="96"/>
      <c r="AC7" s="96"/>
      <c r="AD7" s="96"/>
      <c r="AE7" s="96"/>
      <c r="AF7" s="96"/>
      <c r="AG7" s="96"/>
      <c r="AH7" s="96"/>
      <c r="AI7" s="96"/>
      <c r="AJ7" s="96"/>
      <c r="AK7" s="96"/>
      <c r="AL7" s="96"/>
      <c r="AM7" s="96"/>
      <c r="AN7" s="96"/>
      <c r="AO7" s="96"/>
      <c r="AP7" s="96"/>
      <c r="AQ7" s="96"/>
      <c r="AR7" s="223" t="n">
        <v>11</v>
      </c>
    </row>
    <row r="8" s="181" customFormat="true" ht="0.75" hidden="false" customHeight="true" outlineLevel="0" collapsed="false">
      <c r="A8" s="179"/>
      <c r="B8" s="179"/>
      <c r="D8" s="183"/>
      <c r="E8" s="183"/>
      <c r="F8" s="183"/>
      <c r="G8" s="183"/>
      <c r="H8" s="183"/>
      <c r="I8" s="183"/>
      <c r="J8" s="183"/>
      <c r="K8" s="183"/>
      <c r="L8" s="183"/>
      <c r="M8" s="183"/>
      <c r="N8" s="183"/>
      <c r="O8" s="183"/>
      <c r="P8" s="183"/>
      <c r="Q8" s="183"/>
      <c r="R8" s="183"/>
      <c r="S8" s="183"/>
      <c r="T8" s="183"/>
      <c r="U8" s="183"/>
      <c r="V8" s="183"/>
      <c r="W8" s="183"/>
      <c r="Y8" s="180"/>
      <c r="Z8" s="180"/>
      <c r="AA8" s="180"/>
      <c r="AB8" s="180"/>
      <c r="AC8" s="180"/>
      <c r="AD8" s="180"/>
      <c r="AE8" s="180"/>
      <c r="AF8" s="180"/>
      <c r="AG8" s="180"/>
      <c r="AH8" s="180"/>
      <c r="AI8" s="180"/>
      <c r="AJ8" s="180"/>
      <c r="AK8" s="180"/>
      <c r="AL8" s="180"/>
      <c r="AM8" s="180"/>
      <c r="AN8" s="180"/>
      <c r="AO8" s="180"/>
      <c r="AP8" s="180"/>
      <c r="AQ8" s="180"/>
      <c r="AR8" s="181" t="n">
        <v>1</v>
      </c>
    </row>
    <row r="9" customFormat="false" ht="28.5" hidden="false" customHeight="true" outlineLevel="0" collapsed="false">
      <c r="D9" s="134" t="s">
        <v>87</v>
      </c>
      <c r="E9" s="134" t="s">
        <v>137</v>
      </c>
      <c r="F9" s="134"/>
      <c r="G9" s="134" t="s">
        <v>116</v>
      </c>
      <c r="H9" s="134" t="s">
        <v>87</v>
      </c>
      <c r="I9" s="134"/>
      <c r="J9" s="134" t="s">
        <v>138</v>
      </c>
      <c r="K9" s="185" t="s">
        <v>139</v>
      </c>
      <c r="L9" s="185"/>
      <c r="M9" s="185"/>
      <c r="N9" s="185"/>
      <c r="O9" s="185" t="s">
        <v>140</v>
      </c>
      <c r="P9" s="185"/>
      <c r="Q9" s="185"/>
      <c r="R9" s="185"/>
      <c r="S9" s="185" t="s">
        <v>141</v>
      </c>
      <c r="T9" s="185"/>
      <c r="U9" s="185"/>
      <c r="V9" s="185"/>
      <c r="W9" s="134" t="s">
        <v>142</v>
      </c>
      <c r="AR9" s="175" t="n">
        <v>27</v>
      </c>
    </row>
    <row r="10" customFormat="false" ht="31.5" hidden="false" customHeight="true" outlineLevel="0" collapsed="false">
      <c r="D10" s="134"/>
      <c r="E10" s="146" t="s">
        <v>88</v>
      </c>
      <c r="F10" s="146" t="s">
        <v>143</v>
      </c>
      <c r="G10" s="134"/>
      <c r="H10" s="134"/>
      <c r="I10" s="134"/>
      <c r="J10" s="134"/>
      <c r="K10" s="146" t="s">
        <v>119</v>
      </c>
      <c r="L10" s="134" t="s">
        <v>87</v>
      </c>
      <c r="M10" s="134"/>
      <c r="N10" s="146" t="s">
        <v>144</v>
      </c>
      <c r="O10" s="146" t="s">
        <v>119</v>
      </c>
      <c r="P10" s="134" t="s">
        <v>87</v>
      </c>
      <c r="Q10" s="134"/>
      <c r="R10" s="146" t="s">
        <v>144</v>
      </c>
      <c r="S10" s="146" t="s">
        <v>119</v>
      </c>
      <c r="T10" s="134" t="s">
        <v>87</v>
      </c>
      <c r="U10" s="134"/>
      <c r="V10" s="146" t="s">
        <v>88</v>
      </c>
      <c r="W10" s="134"/>
      <c r="Z10" s="96" t="s">
        <v>145</v>
      </c>
      <c r="AA10" s="96" t="s">
        <v>146</v>
      </c>
      <c r="AB10" s="96" t="s">
        <v>147</v>
      </c>
      <c r="AC10" s="96" t="s">
        <v>148</v>
      </c>
      <c r="AD10" s="96" t="s">
        <v>149</v>
      </c>
      <c r="AE10" s="96" t="s">
        <v>150</v>
      </c>
      <c r="AF10" s="96" t="s">
        <v>151</v>
      </c>
      <c r="AG10" s="96" t="s">
        <v>152</v>
      </c>
      <c r="AH10" s="96" t="s">
        <v>153</v>
      </c>
      <c r="AI10" s="96" t="s">
        <v>154</v>
      </c>
      <c r="AJ10" s="96" t="s">
        <v>155</v>
      </c>
      <c r="AK10" s="96" t="s">
        <v>156</v>
      </c>
      <c r="AL10" s="96" t="s">
        <v>157</v>
      </c>
      <c r="AM10" s="96" t="s">
        <v>158</v>
      </c>
      <c r="AN10" s="96" t="s">
        <v>159</v>
      </c>
      <c r="AO10" s="96" t="s">
        <v>160</v>
      </c>
      <c r="AP10" s="96" t="s">
        <v>161</v>
      </c>
      <c r="AQ10" s="96" t="s">
        <v>162</v>
      </c>
      <c r="AR10" s="175" t="n">
        <v>30</v>
      </c>
    </row>
    <row r="11" s="118" customFormat="true" ht="12" hidden="true" customHeight="true" outlineLevel="0" collapsed="false">
      <c r="D11" s="225" t="s">
        <v>120</v>
      </c>
      <c r="E11" s="225" t="s">
        <v>102</v>
      </c>
      <c r="F11" s="225"/>
      <c r="G11" s="225" t="s">
        <v>89</v>
      </c>
      <c r="H11" s="226" t="s">
        <v>121</v>
      </c>
      <c r="I11" s="226"/>
      <c r="J11" s="225" t="s">
        <v>91</v>
      </c>
      <c r="K11" s="225" t="s">
        <v>92</v>
      </c>
      <c r="L11" s="226" t="s">
        <v>122</v>
      </c>
      <c r="M11" s="226"/>
      <c r="N11" s="225" t="s">
        <v>163</v>
      </c>
      <c r="O11" s="225" t="s">
        <v>164</v>
      </c>
      <c r="P11" s="226" t="s">
        <v>165</v>
      </c>
      <c r="Q11" s="226"/>
      <c r="R11" s="225" t="s">
        <v>166</v>
      </c>
      <c r="S11" s="225" t="s">
        <v>165</v>
      </c>
      <c r="T11" s="226" t="s">
        <v>166</v>
      </c>
      <c r="U11" s="226"/>
      <c r="V11" s="225" t="s">
        <v>167</v>
      </c>
      <c r="W11" s="225" t="s">
        <v>168</v>
      </c>
      <c r="Y11" s="96"/>
      <c r="Z11" s="96"/>
      <c r="AA11" s="96"/>
      <c r="AB11" s="96"/>
      <c r="AC11" s="96"/>
      <c r="AD11" s="96"/>
      <c r="AE11" s="96"/>
      <c r="AF11" s="96"/>
      <c r="AG11" s="96"/>
      <c r="AH11" s="96"/>
      <c r="AI11" s="96"/>
      <c r="AJ11" s="96"/>
      <c r="AK11" s="96"/>
      <c r="AL11" s="96"/>
      <c r="AM11" s="96"/>
      <c r="AN11" s="96"/>
      <c r="AO11" s="96"/>
      <c r="AP11" s="96"/>
      <c r="AQ11" s="96"/>
      <c r="AR11" s="118" t="n">
        <v>0</v>
      </c>
    </row>
    <row r="12" customFormat="false" ht="14.25" hidden="true" customHeight="true" outlineLevel="0" collapsed="false">
      <c r="C12" s="117"/>
      <c r="D12" s="164" t="n">
        <v>0</v>
      </c>
      <c r="E12" s="146"/>
      <c r="F12" s="146"/>
      <c r="G12" s="146"/>
      <c r="H12" s="227"/>
      <c r="I12" s="227"/>
      <c r="J12" s="198"/>
      <c r="K12" s="198"/>
      <c r="L12" s="198"/>
      <c r="M12" s="198"/>
      <c r="N12" s="228"/>
      <c r="O12" s="198"/>
      <c r="P12" s="198"/>
      <c r="Q12" s="198"/>
      <c r="R12" s="229"/>
      <c r="S12" s="198"/>
      <c r="T12" s="198"/>
      <c r="U12" s="198"/>
      <c r="V12" s="229"/>
      <c r="W12" s="198"/>
      <c r="AR12" s="175" t="n">
        <v>0</v>
      </c>
    </row>
    <row r="13" s="175" customFormat="true" ht="17.25" hidden="true" customHeight="true" outlineLevel="0" collapsed="false">
      <c r="A13" s="230"/>
      <c r="C13" s="117"/>
      <c r="D13" s="231" t="n">
        <v>1</v>
      </c>
      <c r="E13" s="232" t="s">
        <v>169</v>
      </c>
      <c r="F13" s="233" t="s">
        <v>19</v>
      </c>
      <c r="G13" s="232"/>
      <c r="H13" s="234"/>
      <c r="I13" s="235"/>
      <c r="J13" s="236"/>
      <c r="K13" s="237"/>
      <c r="L13" s="237"/>
      <c r="M13" s="237"/>
      <c r="N13" s="238"/>
      <c r="O13" s="237"/>
      <c r="P13" s="237"/>
      <c r="Q13" s="237"/>
      <c r="R13" s="239"/>
      <c r="S13" s="237"/>
      <c r="T13" s="237"/>
      <c r="U13" s="237"/>
      <c r="V13" s="239"/>
      <c r="W13" s="240"/>
      <c r="Y13" s="241"/>
      <c r="Z13" s="241"/>
      <c r="AA13" s="241"/>
      <c r="AB13" s="241"/>
      <c r="AC13" s="241" t="s">
        <v>170</v>
      </c>
      <c r="AD13" s="241" t="s">
        <v>171</v>
      </c>
      <c r="AE13" s="241" t="s">
        <v>172</v>
      </c>
      <c r="AF13" s="241" t="s">
        <v>173</v>
      </c>
      <c r="AG13" s="241" t="s">
        <v>174</v>
      </c>
      <c r="AH13" s="241" t="str">
        <f aca="false">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41" t="str">
        <f aca="false">IF($G$13=0,"",$G$13)</f>
        <v/>
      </c>
      <c r="AJ13" s="241" t="str">
        <f aca="false">IF($J$13=0,"",$J$13)</f>
        <v/>
      </c>
      <c r="AK13" s="241" t="str">
        <f aca="false">IF($K$13="нет","без дифференциации",IF($N$13=0,"",$N$13))</f>
        <v/>
      </c>
      <c r="AL13" s="241" t="str">
        <f aca="false">IF($O$13="нет","без дифференциации",IF($R$13=0,"",$R$13))</f>
        <v/>
      </c>
      <c r="AM13" s="241" t="str">
        <f aca="false">IF($S$13="нет","без дифференциации",IF($V$13=0,"",$V$13))</f>
        <v/>
      </c>
      <c r="AN13" s="241" t="n">
        <f aca="false">$I$13</f>
        <v>0</v>
      </c>
      <c r="AO13" s="241" t="str">
        <f aca="false">$I$13&amp;"."&amp;$M$13</f>
        <v>.</v>
      </c>
      <c r="AP13" s="241" t="str">
        <f aca="false">$I$13&amp;"."&amp;$M$13&amp;"."&amp;$Q$13</f>
        <v>..</v>
      </c>
      <c r="AQ13" s="241" t="str">
        <f aca="false">$I$13&amp;"."&amp;$M$13&amp;"."&amp;$Q$13&amp;"."&amp;$U$13</f>
        <v>...</v>
      </c>
      <c r="AR13" s="175" t="n">
        <v>0</v>
      </c>
    </row>
    <row r="14" s="175" customFormat="true" ht="17.25" hidden="true" customHeight="true" outlineLevel="0" collapsed="false">
      <c r="A14" s="230"/>
      <c r="D14" s="231"/>
      <c r="E14" s="232"/>
      <c r="F14" s="233"/>
      <c r="G14" s="232"/>
      <c r="H14" s="234"/>
      <c r="I14" s="235"/>
      <c r="J14" s="236"/>
      <c r="K14" s="237"/>
      <c r="L14" s="237"/>
      <c r="M14" s="237"/>
      <c r="N14" s="238"/>
      <c r="O14" s="237"/>
      <c r="P14" s="237"/>
      <c r="Q14" s="237"/>
      <c r="R14" s="239"/>
      <c r="S14" s="237"/>
      <c r="T14" s="242"/>
      <c r="U14" s="242"/>
      <c r="V14" s="242"/>
      <c r="W14" s="243"/>
      <c r="Y14" s="96"/>
      <c r="Z14" s="96"/>
      <c r="AA14" s="96"/>
      <c r="AB14" s="96"/>
      <c r="AC14" s="96"/>
      <c r="AD14" s="96"/>
      <c r="AE14" s="96"/>
      <c r="AF14" s="96"/>
      <c r="AG14" s="96"/>
      <c r="AH14" s="96"/>
      <c r="AI14" s="96"/>
      <c r="AJ14" s="96"/>
      <c r="AK14" s="96"/>
      <c r="AL14" s="96"/>
      <c r="AM14" s="96"/>
      <c r="AN14" s="96"/>
      <c r="AO14" s="96"/>
      <c r="AP14" s="96"/>
      <c r="AQ14" s="96"/>
      <c r="AR14" s="175" t="n">
        <v>0</v>
      </c>
    </row>
    <row r="15" s="175" customFormat="true" ht="17.25" hidden="true" customHeight="true" outlineLevel="0" collapsed="false">
      <c r="A15" s="230"/>
      <c r="C15" s="117"/>
      <c r="D15" s="231"/>
      <c r="E15" s="232"/>
      <c r="F15" s="233"/>
      <c r="G15" s="232"/>
      <c r="H15" s="234"/>
      <c r="I15" s="235"/>
      <c r="J15" s="236"/>
      <c r="K15" s="237"/>
      <c r="L15" s="237"/>
      <c r="M15" s="237"/>
      <c r="N15" s="238"/>
      <c r="O15" s="237"/>
      <c r="P15" s="114"/>
      <c r="Q15" s="242"/>
      <c r="R15" s="242"/>
      <c r="W15" s="243"/>
      <c r="Y15" s="241"/>
      <c r="Z15" s="241"/>
      <c r="AA15" s="241"/>
      <c r="AB15" s="241"/>
      <c r="AC15" s="241"/>
      <c r="AD15" s="241"/>
      <c r="AE15" s="241"/>
      <c r="AF15" s="241"/>
      <c r="AG15" s="241"/>
      <c r="AH15" s="241"/>
      <c r="AI15" s="241"/>
      <c r="AJ15" s="241"/>
      <c r="AK15" s="241"/>
      <c r="AL15" s="241"/>
      <c r="AM15" s="241"/>
      <c r="AN15" s="241"/>
      <c r="AO15" s="241"/>
      <c r="AP15" s="241"/>
      <c r="AQ15" s="241"/>
      <c r="AR15" s="175" t="n">
        <v>0</v>
      </c>
    </row>
    <row r="16" s="175" customFormat="true" ht="17.25" hidden="true" customHeight="true" outlineLevel="0" collapsed="false">
      <c r="A16" s="230"/>
      <c r="D16" s="231"/>
      <c r="E16" s="232"/>
      <c r="F16" s="233"/>
      <c r="G16" s="232"/>
      <c r="H16" s="234"/>
      <c r="I16" s="235"/>
      <c r="J16" s="236"/>
      <c r="K16" s="237"/>
      <c r="L16" s="242"/>
      <c r="M16" s="242"/>
      <c r="N16" s="242"/>
      <c r="O16" s="242"/>
      <c r="P16" s="242"/>
      <c r="Q16" s="242"/>
      <c r="R16" s="242"/>
      <c r="W16" s="243"/>
      <c r="Y16" s="96"/>
      <c r="Z16" s="96"/>
      <c r="AA16" s="96"/>
      <c r="AB16" s="96"/>
      <c r="AC16" s="96"/>
      <c r="AD16" s="96"/>
      <c r="AE16" s="96"/>
      <c r="AF16" s="96"/>
      <c r="AG16" s="96"/>
      <c r="AH16" s="96"/>
      <c r="AI16" s="96"/>
      <c r="AJ16" s="96"/>
      <c r="AK16" s="96"/>
      <c r="AL16" s="96"/>
      <c r="AM16" s="96"/>
      <c r="AN16" s="96"/>
      <c r="AO16" s="96"/>
      <c r="AP16" s="96"/>
      <c r="AQ16" s="96"/>
      <c r="AR16" s="175" t="n">
        <v>0</v>
      </c>
    </row>
    <row r="17" s="175" customFormat="true" ht="17.25" hidden="true" customHeight="true" outlineLevel="0" collapsed="false">
      <c r="A17" s="230"/>
      <c r="D17" s="231"/>
      <c r="E17" s="232"/>
      <c r="F17" s="233"/>
      <c r="G17" s="232"/>
      <c r="H17" s="244"/>
      <c r="I17" s="245"/>
      <c r="J17" s="245"/>
      <c r="K17" s="245"/>
      <c r="L17" s="245"/>
      <c r="M17" s="245"/>
      <c r="N17" s="245"/>
      <c r="O17" s="245"/>
      <c r="P17" s="245"/>
      <c r="Q17" s="245"/>
      <c r="R17" s="245"/>
      <c r="S17" s="246"/>
      <c r="T17" s="246"/>
      <c r="U17" s="246"/>
      <c r="V17" s="246"/>
      <c r="W17" s="247"/>
      <c r="Y17" s="96"/>
      <c r="Z17" s="96"/>
      <c r="AA17" s="96"/>
      <c r="AB17" s="96"/>
      <c r="AC17" s="96"/>
      <c r="AD17" s="96"/>
      <c r="AE17" s="96"/>
      <c r="AF17" s="96"/>
      <c r="AG17" s="96"/>
      <c r="AH17" s="96"/>
      <c r="AI17" s="96"/>
      <c r="AJ17" s="96"/>
      <c r="AK17" s="96"/>
      <c r="AL17" s="96"/>
      <c r="AM17" s="96"/>
      <c r="AN17" s="96"/>
      <c r="AO17" s="96"/>
      <c r="AP17" s="96"/>
      <c r="AQ17" s="96"/>
      <c r="AR17" s="175" t="n">
        <v>0</v>
      </c>
    </row>
    <row r="18" s="175" customFormat="true" ht="17.25" hidden="true" customHeight="true" outlineLevel="0" collapsed="false">
      <c r="A18" s="230"/>
      <c r="C18" s="117"/>
      <c r="D18" s="231" t="n">
        <v>2</v>
      </c>
      <c r="E18" s="248"/>
      <c r="F18" s="233" t="s">
        <v>19</v>
      </c>
      <c r="G18" s="232"/>
      <c r="H18" s="234"/>
      <c r="I18" s="235"/>
      <c r="J18" s="236"/>
      <c r="K18" s="237"/>
      <c r="L18" s="237"/>
      <c r="M18" s="237"/>
      <c r="N18" s="238"/>
      <c r="O18" s="237"/>
      <c r="P18" s="237"/>
      <c r="Q18" s="237"/>
      <c r="R18" s="239"/>
      <c r="S18" s="237"/>
      <c r="T18" s="237"/>
      <c r="U18" s="237"/>
      <c r="V18" s="239"/>
      <c r="W18" s="240"/>
      <c r="X18" s="241"/>
      <c r="Y18" s="241"/>
      <c r="Z18" s="241"/>
      <c r="AA18" s="241"/>
      <c r="AB18" s="241"/>
      <c r="AC18" s="241" t="s">
        <v>175</v>
      </c>
      <c r="AD18" s="241" t="s">
        <v>176</v>
      </c>
      <c r="AE18" s="241" t="s">
        <v>177</v>
      </c>
      <c r="AF18" s="241" t="s">
        <v>178</v>
      </c>
      <c r="AG18" s="241" t="s">
        <v>179</v>
      </c>
      <c r="AH18" s="241" t="str">
        <f aca="false">IF($E$18=0,"",$E$18)</f>
        <v/>
      </c>
      <c r="AI18" s="241" t="str">
        <f aca="false">IF($G$18=0,"",$G$18)</f>
        <v/>
      </c>
      <c r="AJ18" s="241" t="str">
        <f aca="false">IF($J$18=0,"",$J$18)</f>
        <v/>
      </c>
      <c r="AK18" s="241" t="str">
        <f aca="false">IF($K$18="нет","без дифференциации",IF($N$18=0,"",$N$18))</f>
        <v/>
      </c>
      <c r="AL18" s="241" t="str">
        <f aca="false">IF($O$18="нет","без дифференциации",IF($R$18=0,"",$R$18))</f>
        <v/>
      </c>
      <c r="AM18" s="241" t="str">
        <f aca="false">IF($S$18="нет","без дифференциации",IF($V$18=0,"",$V$18))</f>
        <v/>
      </c>
      <c r="AN18" s="249" t="n">
        <f aca="false">$I$18</f>
        <v>0</v>
      </c>
      <c r="AO18" s="241" t="str">
        <f aca="false">$I$18&amp;"."&amp;$M$18</f>
        <v>.</v>
      </c>
      <c r="AP18" s="96" t="str">
        <f aca="false">$I$18&amp;"."&amp;$M$18&amp;"."&amp;$Q$18</f>
        <v>..</v>
      </c>
      <c r="AQ18" s="96" t="str">
        <f aca="false">$I$18&amp;"."&amp;$M$18&amp;"."&amp;$Q$18&amp;"."&amp;$U$18</f>
        <v>...</v>
      </c>
      <c r="AR18" s="175" t="n">
        <v>0</v>
      </c>
    </row>
    <row r="19" s="175" customFormat="true" ht="17.25" hidden="true" customHeight="true" outlineLevel="0" collapsed="false">
      <c r="A19" s="230"/>
      <c r="D19" s="231"/>
      <c r="E19" s="248"/>
      <c r="F19" s="233"/>
      <c r="G19" s="232"/>
      <c r="H19" s="234"/>
      <c r="I19" s="235"/>
      <c r="J19" s="236"/>
      <c r="K19" s="237"/>
      <c r="L19" s="237"/>
      <c r="M19" s="237"/>
      <c r="N19" s="238"/>
      <c r="O19" s="237"/>
      <c r="P19" s="237"/>
      <c r="Q19" s="237"/>
      <c r="R19" s="239"/>
      <c r="S19" s="237"/>
      <c r="T19" s="242"/>
      <c r="U19" s="242"/>
      <c r="V19" s="242"/>
      <c r="W19" s="243"/>
      <c r="X19" s="96"/>
      <c r="Y19" s="96"/>
      <c r="Z19" s="96"/>
      <c r="AA19" s="96"/>
      <c r="AB19" s="96"/>
      <c r="AC19" s="96"/>
      <c r="AD19" s="96"/>
      <c r="AE19" s="96"/>
      <c r="AF19" s="96"/>
      <c r="AG19" s="96"/>
      <c r="AH19" s="96"/>
      <c r="AI19" s="96"/>
      <c r="AJ19" s="96"/>
      <c r="AK19" s="96"/>
      <c r="AL19" s="96"/>
      <c r="AM19" s="96"/>
      <c r="AN19" s="96"/>
      <c r="AO19" s="96"/>
      <c r="AP19" s="96"/>
      <c r="AQ19" s="96"/>
      <c r="AR19" s="175" t="n">
        <v>0</v>
      </c>
    </row>
    <row r="20" s="175" customFormat="true" ht="17.25" hidden="true" customHeight="true" outlineLevel="0" collapsed="false">
      <c r="A20" s="230"/>
      <c r="D20" s="231"/>
      <c r="E20" s="248"/>
      <c r="F20" s="233"/>
      <c r="G20" s="232"/>
      <c r="H20" s="234"/>
      <c r="I20" s="235"/>
      <c r="J20" s="236"/>
      <c r="K20" s="237"/>
      <c r="L20" s="237"/>
      <c r="M20" s="237"/>
      <c r="N20" s="238"/>
      <c r="O20" s="237"/>
      <c r="P20" s="114"/>
      <c r="Q20" s="242"/>
      <c r="R20" s="242"/>
      <c r="W20" s="243"/>
      <c r="X20" s="96"/>
      <c r="Y20" s="96"/>
      <c r="Z20" s="96"/>
      <c r="AA20" s="96"/>
      <c r="AB20" s="96"/>
      <c r="AC20" s="96"/>
      <c r="AD20" s="96"/>
      <c r="AE20" s="96"/>
      <c r="AF20" s="96"/>
      <c r="AG20" s="96"/>
      <c r="AH20" s="96"/>
      <c r="AI20" s="96"/>
      <c r="AJ20" s="96"/>
      <c r="AK20" s="96"/>
      <c r="AL20" s="96"/>
      <c r="AM20" s="96"/>
      <c r="AN20" s="96"/>
      <c r="AO20" s="96"/>
      <c r="AP20" s="96"/>
      <c r="AQ20" s="96"/>
      <c r="AR20" s="175" t="n">
        <v>0</v>
      </c>
    </row>
    <row r="21" s="175" customFormat="true" ht="17.25" hidden="true" customHeight="true" outlineLevel="0" collapsed="false">
      <c r="A21" s="230"/>
      <c r="D21" s="231"/>
      <c r="E21" s="248"/>
      <c r="F21" s="233"/>
      <c r="G21" s="232"/>
      <c r="H21" s="234"/>
      <c r="I21" s="235"/>
      <c r="J21" s="236"/>
      <c r="K21" s="237"/>
      <c r="L21" s="242"/>
      <c r="M21" s="242"/>
      <c r="N21" s="242"/>
      <c r="O21" s="242"/>
      <c r="P21" s="242"/>
      <c r="Q21" s="242"/>
      <c r="R21" s="242"/>
      <c r="W21" s="243"/>
      <c r="X21" s="96"/>
      <c r="Y21" s="96"/>
      <c r="Z21" s="96"/>
      <c r="AA21" s="96"/>
      <c r="AB21" s="96"/>
      <c r="AC21" s="96"/>
      <c r="AD21" s="96"/>
      <c r="AE21" s="96"/>
      <c r="AF21" s="96"/>
      <c r="AG21" s="96"/>
      <c r="AH21" s="96"/>
      <c r="AI21" s="96"/>
      <c r="AJ21" s="96"/>
      <c r="AK21" s="96"/>
      <c r="AL21" s="96"/>
      <c r="AM21" s="96"/>
      <c r="AN21" s="96"/>
      <c r="AO21" s="96"/>
      <c r="AP21" s="96"/>
      <c r="AQ21" s="96"/>
      <c r="AR21" s="175" t="n">
        <v>0</v>
      </c>
    </row>
    <row r="22" s="175" customFormat="true" ht="17.25" hidden="true" customHeight="true" outlineLevel="0" collapsed="false">
      <c r="A22" s="230"/>
      <c r="D22" s="231"/>
      <c r="E22" s="248"/>
      <c r="F22" s="233"/>
      <c r="G22" s="232"/>
      <c r="H22" s="244"/>
      <c r="I22" s="245"/>
      <c r="J22" s="245"/>
      <c r="K22" s="245"/>
      <c r="L22" s="245"/>
      <c r="M22" s="245"/>
      <c r="N22" s="245"/>
      <c r="O22" s="245"/>
      <c r="P22" s="245"/>
      <c r="Q22" s="245"/>
      <c r="R22" s="245"/>
      <c r="S22" s="246"/>
      <c r="T22" s="246"/>
      <c r="U22" s="246"/>
      <c r="V22" s="246"/>
      <c r="W22" s="247"/>
      <c r="X22" s="96"/>
      <c r="Y22" s="96"/>
      <c r="Z22" s="96"/>
      <c r="AA22" s="96"/>
      <c r="AB22" s="96"/>
      <c r="AC22" s="96"/>
      <c r="AD22" s="96"/>
      <c r="AE22" s="96"/>
      <c r="AF22" s="96"/>
      <c r="AG22" s="96"/>
      <c r="AH22" s="96"/>
      <c r="AI22" s="96"/>
      <c r="AJ22" s="96"/>
      <c r="AK22" s="96"/>
      <c r="AL22" s="96"/>
      <c r="AM22" s="96"/>
      <c r="AN22" s="96"/>
      <c r="AO22" s="96"/>
      <c r="AP22" s="96"/>
      <c r="AQ22" s="96"/>
      <c r="AR22" s="175" t="n">
        <v>0</v>
      </c>
    </row>
    <row r="23" s="175" customFormat="true" ht="17.25" hidden="true" customHeight="true" outlineLevel="0" collapsed="false">
      <c r="A23" s="230"/>
      <c r="C23" s="117"/>
      <c r="D23" s="231" t="n">
        <v>2</v>
      </c>
      <c r="E23" s="232" t="s">
        <v>180</v>
      </c>
      <c r="F23" s="233" t="s">
        <v>19</v>
      </c>
      <c r="G23" s="232"/>
      <c r="H23" s="234"/>
      <c r="I23" s="235"/>
      <c r="J23" s="236"/>
      <c r="K23" s="237"/>
      <c r="L23" s="237"/>
      <c r="M23" s="237"/>
      <c r="N23" s="238"/>
      <c r="O23" s="237"/>
      <c r="P23" s="237"/>
      <c r="Q23" s="237"/>
      <c r="R23" s="239"/>
      <c r="S23" s="237"/>
      <c r="T23" s="237"/>
      <c r="U23" s="237"/>
      <c r="V23" s="239"/>
      <c r="W23" s="240"/>
      <c r="X23" s="241"/>
      <c r="Y23" s="241"/>
      <c r="Z23" s="241"/>
      <c r="AA23" s="241"/>
      <c r="AB23" s="241"/>
      <c r="AC23" s="241" t="s">
        <v>175</v>
      </c>
      <c r="AD23" s="241" t="s">
        <v>176</v>
      </c>
      <c r="AE23" s="241" t="s">
        <v>177</v>
      </c>
      <c r="AF23" s="241" t="s">
        <v>178</v>
      </c>
      <c r="AG23" s="241" t="s">
        <v>179</v>
      </c>
      <c r="AH23" s="241" t="str">
        <f aca="false">IF($E$23=0,"",$E$23)</f>
        <v>Тарифы на тепловую энергию (мощность), поставляемую теплоснабжающими организациями потребителям, другим теплоснабжающим организациям</v>
      </c>
      <c r="AI23" s="241" t="str">
        <f aca="false">IF($G$23=0,"",$G$23)</f>
        <v/>
      </c>
      <c r="AJ23" s="241" t="str">
        <f aca="false">IF($J$23=0,"",$J$23)</f>
        <v/>
      </c>
      <c r="AK23" s="241" t="str">
        <f aca="false">IF($K$23="нет","без дифференциации",IF($N$23=0,"",$N$23))</f>
        <v/>
      </c>
      <c r="AL23" s="241" t="str">
        <f aca="false">IF($O$23="нет","без дифференциации",IF($R$23=0,"",$R$23))</f>
        <v/>
      </c>
      <c r="AM23" s="241" t="str">
        <f aca="false">IF($S$23="нет","без дифференциации",IF($V$23=0,"",$V$23))</f>
        <v/>
      </c>
      <c r="AN23" s="249" t="n">
        <f aca="false">$I$23</f>
        <v>0</v>
      </c>
      <c r="AO23" s="241" t="str">
        <f aca="false">$I$23&amp;"."&amp;$M$23</f>
        <v>.</v>
      </c>
      <c r="AP23" s="96" t="str">
        <f aca="false">$I$23&amp;"."&amp;$M$23&amp;"."&amp;$Q$23</f>
        <v>..</v>
      </c>
      <c r="AQ23" s="96" t="str">
        <f aca="false">$I$23&amp;"."&amp;$M$23&amp;"."&amp;$Q$23&amp;"."&amp;$U$23</f>
        <v>...</v>
      </c>
      <c r="AR23" s="175" t="n">
        <v>0</v>
      </c>
    </row>
    <row r="24" s="175" customFormat="true" ht="17.25" hidden="true" customHeight="true" outlineLevel="0" collapsed="false">
      <c r="A24" s="230"/>
      <c r="D24" s="231"/>
      <c r="E24" s="232"/>
      <c r="F24" s="233"/>
      <c r="G24" s="232"/>
      <c r="H24" s="234"/>
      <c r="I24" s="235"/>
      <c r="J24" s="236"/>
      <c r="K24" s="237"/>
      <c r="L24" s="237"/>
      <c r="M24" s="237"/>
      <c r="N24" s="238"/>
      <c r="O24" s="237"/>
      <c r="P24" s="237"/>
      <c r="Q24" s="237"/>
      <c r="R24" s="239"/>
      <c r="S24" s="237"/>
      <c r="T24" s="242"/>
      <c r="U24" s="242"/>
      <c r="V24" s="242"/>
      <c r="W24" s="243"/>
      <c r="X24" s="96"/>
      <c r="Y24" s="96"/>
      <c r="Z24" s="96"/>
      <c r="AA24" s="96"/>
      <c r="AB24" s="96"/>
      <c r="AC24" s="96"/>
      <c r="AD24" s="96"/>
      <c r="AE24" s="96"/>
      <c r="AF24" s="96"/>
      <c r="AG24" s="96"/>
      <c r="AH24" s="96"/>
      <c r="AI24" s="96"/>
      <c r="AJ24" s="96"/>
      <c r="AK24" s="96"/>
      <c r="AL24" s="96"/>
      <c r="AM24" s="96"/>
      <c r="AN24" s="96"/>
      <c r="AO24" s="96"/>
      <c r="AP24" s="96"/>
      <c r="AQ24" s="96"/>
      <c r="AR24" s="175" t="n">
        <v>0</v>
      </c>
    </row>
    <row r="25" s="175" customFormat="true" ht="17.25" hidden="true" customHeight="true" outlineLevel="0" collapsed="false">
      <c r="A25" s="230"/>
      <c r="D25" s="231"/>
      <c r="E25" s="232"/>
      <c r="F25" s="233"/>
      <c r="G25" s="232"/>
      <c r="H25" s="234"/>
      <c r="I25" s="235"/>
      <c r="J25" s="236"/>
      <c r="K25" s="237"/>
      <c r="L25" s="237"/>
      <c r="M25" s="237"/>
      <c r="N25" s="238"/>
      <c r="O25" s="237"/>
      <c r="P25" s="114"/>
      <c r="Q25" s="242"/>
      <c r="R25" s="242"/>
      <c r="W25" s="243"/>
      <c r="X25" s="96"/>
      <c r="Y25" s="96"/>
      <c r="Z25" s="96"/>
      <c r="AA25" s="96"/>
      <c r="AB25" s="96"/>
      <c r="AC25" s="96"/>
      <c r="AD25" s="96"/>
      <c r="AE25" s="96"/>
      <c r="AF25" s="96"/>
      <c r="AG25" s="96"/>
      <c r="AH25" s="96"/>
      <c r="AI25" s="96"/>
      <c r="AJ25" s="96"/>
      <c r="AK25" s="96"/>
      <c r="AL25" s="96"/>
      <c r="AM25" s="96"/>
      <c r="AN25" s="96"/>
      <c r="AO25" s="96"/>
      <c r="AP25" s="96"/>
      <c r="AQ25" s="96"/>
      <c r="AR25" s="175" t="n">
        <v>0</v>
      </c>
    </row>
    <row r="26" s="175" customFormat="true" ht="17.25" hidden="true" customHeight="true" outlineLevel="0" collapsed="false">
      <c r="A26" s="230"/>
      <c r="D26" s="231"/>
      <c r="E26" s="232"/>
      <c r="F26" s="233"/>
      <c r="G26" s="232"/>
      <c r="H26" s="234"/>
      <c r="I26" s="235"/>
      <c r="J26" s="236"/>
      <c r="K26" s="237"/>
      <c r="L26" s="242"/>
      <c r="M26" s="242"/>
      <c r="N26" s="242"/>
      <c r="O26" s="242"/>
      <c r="P26" s="242"/>
      <c r="Q26" s="242"/>
      <c r="R26" s="242"/>
      <c r="W26" s="243"/>
      <c r="X26" s="96"/>
      <c r="Y26" s="96"/>
      <c r="Z26" s="96"/>
      <c r="AA26" s="96"/>
      <c r="AB26" s="96"/>
      <c r="AC26" s="96"/>
      <c r="AD26" s="96"/>
      <c r="AE26" s="96"/>
      <c r="AF26" s="96"/>
      <c r="AG26" s="96"/>
      <c r="AH26" s="96"/>
      <c r="AI26" s="96"/>
      <c r="AJ26" s="96"/>
      <c r="AK26" s="96"/>
      <c r="AL26" s="96"/>
      <c r="AM26" s="96"/>
      <c r="AN26" s="96"/>
      <c r="AO26" s="96"/>
      <c r="AP26" s="96"/>
      <c r="AQ26" s="96"/>
      <c r="AR26" s="175" t="n">
        <v>0</v>
      </c>
    </row>
    <row r="27" s="175" customFormat="true" ht="17.25" hidden="true" customHeight="true" outlineLevel="0" collapsed="false">
      <c r="A27" s="230"/>
      <c r="D27" s="231"/>
      <c r="E27" s="232"/>
      <c r="F27" s="233"/>
      <c r="G27" s="232"/>
      <c r="H27" s="244"/>
      <c r="I27" s="245"/>
      <c r="J27" s="245"/>
      <c r="K27" s="245"/>
      <c r="L27" s="245"/>
      <c r="M27" s="245"/>
      <c r="N27" s="245"/>
      <c r="O27" s="245"/>
      <c r="P27" s="245"/>
      <c r="Q27" s="245"/>
      <c r="R27" s="245"/>
      <c r="S27" s="246"/>
      <c r="T27" s="246"/>
      <c r="U27" s="246"/>
      <c r="V27" s="246"/>
      <c r="W27" s="247"/>
      <c r="X27" s="96"/>
      <c r="Y27" s="96"/>
      <c r="Z27" s="96"/>
      <c r="AA27" s="96"/>
      <c r="AB27" s="96"/>
      <c r="AC27" s="96"/>
      <c r="AD27" s="96"/>
      <c r="AE27" s="96"/>
      <c r="AF27" s="96"/>
      <c r="AG27" s="96"/>
      <c r="AH27" s="96"/>
      <c r="AI27" s="96"/>
      <c r="AJ27" s="96"/>
      <c r="AK27" s="96"/>
      <c r="AL27" s="96"/>
      <c r="AM27" s="96"/>
      <c r="AN27" s="96"/>
      <c r="AO27" s="96"/>
      <c r="AP27" s="96"/>
      <c r="AQ27" s="96"/>
      <c r="AR27" s="175" t="n">
        <v>0</v>
      </c>
    </row>
    <row r="28" s="175" customFormat="true" ht="17.25" hidden="true" customHeight="true" outlineLevel="0" collapsed="false">
      <c r="A28" s="230"/>
      <c r="C28" s="117"/>
      <c r="D28" s="231" t="n">
        <v>3</v>
      </c>
      <c r="E28" s="232" t="s">
        <v>181</v>
      </c>
      <c r="F28" s="233" t="s">
        <v>19</v>
      </c>
      <c r="G28" s="232"/>
      <c r="H28" s="234"/>
      <c r="I28" s="235"/>
      <c r="J28" s="236"/>
      <c r="K28" s="237"/>
      <c r="L28" s="237"/>
      <c r="M28" s="237"/>
      <c r="N28" s="238"/>
      <c r="O28" s="237"/>
      <c r="P28" s="237"/>
      <c r="Q28" s="237"/>
      <c r="R28" s="239"/>
      <c r="S28" s="237"/>
      <c r="T28" s="237"/>
      <c r="U28" s="237"/>
      <c r="V28" s="239"/>
      <c r="W28" s="240"/>
      <c r="X28" s="241"/>
      <c r="Y28" s="241"/>
      <c r="Z28" s="241"/>
      <c r="AA28" s="241"/>
      <c r="AB28" s="241"/>
      <c r="AC28" s="241" t="s">
        <v>182</v>
      </c>
      <c r="AD28" s="241" t="s">
        <v>183</v>
      </c>
      <c r="AE28" s="241" t="s">
        <v>184</v>
      </c>
      <c r="AF28" s="241" t="s">
        <v>185</v>
      </c>
      <c r="AG28" s="241" t="s">
        <v>186</v>
      </c>
      <c r="AH28" s="241" t="str">
        <f aca="false">IF($E$28=0,"",$E$28)</f>
        <v>Тарифы на теплоноситель, поставляемый теплоснабжающими организациями потребителям, другим теплоснабжающим организациям</v>
      </c>
      <c r="AI28" s="241" t="str">
        <f aca="false">IF($G$28=0,"",$G$28)</f>
        <v/>
      </c>
      <c r="AJ28" s="241" t="str">
        <f aca="false">IF($J$28=0,"",$J$28)</f>
        <v/>
      </c>
      <c r="AK28" s="241" t="str">
        <f aca="false">IF($K$28="нет","без дифференциации",IF($N$28=0,"",$N$28))</f>
        <v/>
      </c>
      <c r="AL28" s="241" t="str">
        <f aca="false">IF($O$28="нет","без дифференциации",IF($R$28=0,"",$R$28))</f>
        <v/>
      </c>
      <c r="AM28" s="241" t="str">
        <f aca="false">IF($S$28="нет","без дифференциации",IF($V$28=0,"",$V$28))</f>
        <v/>
      </c>
      <c r="AN28" s="249" t="n">
        <f aca="false">$I$28</f>
        <v>0</v>
      </c>
      <c r="AO28" s="241" t="str">
        <f aca="false">$I$28&amp;"."&amp;$M$28</f>
        <v>.</v>
      </c>
      <c r="AP28" s="96" t="str">
        <f aca="false">$I$28&amp;"."&amp;$M$28&amp;"."&amp;$Q$28</f>
        <v>..</v>
      </c>
      <c r="AQ28" s="96" t="str">
        <f aca="false">$I$28&amp;"."&amp;$M$28&amp;"."&amp;$Q$28&amp;"."&amp;$U$28</f>
        <v>...</v>
      </c>
      <c r="AR28" s="175" t="n">
        <v>0</v>
      </c>
    </row>
    <row r="29" s="175" customFormat="true" ht="17.25" hidden="true" customHeight="true" outlineLevel="0" collapsed="false">
      <c r="A29" s="230"/>
      <c r="D29" s="231"/>
      <c r="E29" s="232"/>
      <c r="F29" s="233"/>
      <c r="G29" s="232"/>
      <c r="H29" s="234"/>
      <c r="I29" s="235"/>
      <c r="J29" s="236"/>
      <c r="K29" s="237"/>
      <c r="L29" s="237"/>
      <c r="M29" s="237"/>
      <c r="N29" s="238"/>
      <c r="O29" s="237"/>
      <c r="P29" s="237"/>
      <c r="Q29" s="237"/>
      <c r="R29" s="239"/>
      <c r="S29" s="237"/>
      <c r="T29" s="242"/>
      <c r="U29" s="242"/>
      <c r="V29" s="242"/>
      <c r="W29" s="243"/>
      <c r="X29" s="96"/>
      <c r="Y29" s="96"/>
      <c r="Z29" s="96"/>
      <c r="AA29" s="96"/>
      <c r="AB29" s="96"/>
      <c r="AC29" s="96"/>
      <c r="AD29" s="96"/>
      <c r="AE29" s="96"/>
      <c r="AF29" s="96"/>
      <c r="AG29" s="96"/>
      <c r="AH29" s="96"/>
      <c r="AI29" s="96"/>
      <c r="AJ29" s="96"/>
      <c r="AK29" s="96"/>
      <c r="AL29" s="96"/>
      <c r="AM29" s="96"/>
      <c r="AN29" s="96"/>
      <c r="AO29" s="96"/>
      <c r="AP29" s="96"/>
      <c r="AQ29" s="96"/>
      <c r="AR29" s="175" t="n">
        <v>0</v>
      </c>
    </row>
    <row r="30" s="175" customFormat="true" ht="17.25" hidden="true" customHeight="true" outlineLevel="0" collapsed="false">
      <c r="A30" s="230"/>
      <c r="D30" s="231"/>
      <c r="E30" s="232"/>
      <c r="F30" s="233"/>
      <c r="G30" s="232"/>
      <c r="H30" s="234"/>
      <c r="I30" s="235"/>
      <c r="J30" s="236"/>
      <c r="K30" s="237"/>
      <c r="L30" s="237"/>
      <c r="M30" s="237"/>
      <c r="N30" s="238"/>
      <c r="O30" s="237"/>
      <c r="P30" s="114"/>
      <c r="Q30" s="242"/>
      <c r="R30" s="242"/>
      <c r="W30" s="243"/>
      <c r="X30" s="96"/>
      <c r="Y30" s="96"/>
      <c r="Z30" s="96"/>
      <c r="AA30" s="96"/>
      <c r="AB30" s="96"/>
      <c r="AC30" s="96"/>
      <c r="AD30" s="96"/>
      <c r="AE30" s="96"/>
      <c r="AF30" s="96"/>
      <c r="AG30" s="96"/>
      <c r="AH30" s="96"/>
      <c r="AI30" s="96"/>
      <c r="AJ30" s="96"/>
      <c r="AK30" s="96"/>
      <c r="AL30" s="96"/>
      <c r="AM30" s="96"/>
      <c r="AN30" s="96"/>
      <c r="AO30" s="96"/>
      <c r="AP30" s="96"/>
      <c r="AQ30" s="96"/>
      <c r="AR30" s="175" t="n">
        <v>0</v>
      </c>
    </row>
    <row r="31" s="175" customFormat="true" ht="17.25" hidden="true" customHeight="true" outlineLevel="0" collapsed="false">
      <c r="A31" s="230"/>
      <c r="D31" s="231"/>
      <c r="E31" s="232"/>
      <c r="F31" s="233"/>
      <c r="G31" s="232"/>
      <c r="H31" s="234"/>
      <c r="I31" s="235"/>
      <c r="J31" s="236"/>
      <c r="K31" s="237"/>
      <c r="L31" s="242"/>
      <c r="M31" s="242"/>
      <c r="N31" s="242"/>
      <c r="O31" s="242"/>
      <c r="P31" s="242"/>
      <c r="Q31" s="242"/>
      <c r="R31" s="242"/>
      <c r="W31" s="243"/>
      <c r="X31" s="96"/>
      <c r="Y31" s="96"/>
      <c r="Z31" s="96"/>
      <c r="AA31" s="96"/>
      <c r="AB31" s="96"/>
      <c r="AC31" s="96"/>
      <c r="AD31" s="96"/>
      <c r="AE31" s="96"/>
      <c r="AF31" s="96"/>
      <c r="AG31" s="96"/>
      <c r="AH31" s="96"/>
      <c r="AI31" s="96"/>
      <c r="AJ31" s="96"/>
      <c r="AK31" s="96"/>
      <c r="AL31" s="96"/>
      <c r="AM31" s="96"/>
      <c r="AN31" s="96"/>
      <c r="AO31" s="96"/>
      <c r="AP31" s="96"/>
      <c r="AQ31" s="96"/>
      <c r="AR31" s="175" t="n">
        <v>0</v>
      </c>
    </row>
    <row r="32" s="175" customFormat="true" ht="17.25" hidden="true" customHeight="true" outlineLevel="0" collapsed="false">
      <c r="A32" s="230"/>
      <c r="D32" s="231"/>
      <c r="E32" s="232"/>
      <c r="F32" s="233"/>
      <c r="G32" s="232"/>
      <c r="H32" s="244"/>
      <c r="I32" s="245"/>
      <c r="J32" s="245"/>
      <c r="K32" s="245"/>
      <c r="L32" s="245"/>
      <c r="M32" s="245"/>
      <c r="N32" s="245"/>
      <c r="O32" s="245"/>
      <c r="P32" s="245"/>
      <c r="Q32" s="245"/>
      <c r="R32" s="245"/>
      <c r="S32" s="246"/>
      <c r="T32" s="246"/>
      <c r="U32" s="246"/>
      <c r="V32" s="246"/>
      <c r="W32" s="247"/>
      <c r="X32" s="96"/>
      <c r="Y32" s="96"/>
      <c r="Z32" s="96"/>
      <c r="AA32" s="96"/>
      <c r="AB32" s="96"/>
      <c r="AC32" s="96"/>
      <c r="AD32" s="96"/>
      <c r="AE32" s="96"/>
      <c r="AF32" s="96"/>
      <c r="AG32" s="96"/>
      <c r="AH32" s="96"/>
      <c r="AI32" s="96"/>
      <c r="AJ32" s="96"/>
      <c r="AK32" s="96"/>
      <c r="AL32" s="96"/>
      <c r="AM32" s="96"/>
      <c r="AN32" s="96"/>
      <c r="AO32" s="96"/>
      <c r="AP32" s="96"/>
      <c r="AQ32" s="96"/>
      <c r="AR32" s="175" t="n">
        <v>0</v>
      </c>
    </row>
    <row r="33" s="175" customFormat="true" ht="17.25" hidden="true" customHeight="true" outlineLevel="0" collapsed="false">
      <c r="A33" s="230"/>
      <c r="C33" s="117"/>
      <c r="D33" s="231" t="n">
        <v>4</v>
      </c>
      <c r="E33" s="232" t="s">
        <v>187</v>
      </c>
      <c r="F33" s="233" t="s">
        <v>19</v>
      </c>
      <c r="G33" s="232"/>
      <c r="H33" s="234"/>
      <c r="I33" s="235"/>
      <c r="J33" s="236"/>
      <c r="K33" s="237"/>
      <c r="L33" s="237"/>
      <c r="M33" s="237"/>
      <c r="N33" s="238"/>
      <c r="O33" s="237"/>
      <c r="P33" s="237"/>
      <c r="Q33" s="237"/>
      <c r="R33" s="239"/>
      <c r="S33" s="237"/>
      <c r="T33" s="237"/>
      <c r="U33" s="237"/>
      <c r="V33" s="239"/>
      <c r="W33" s="240"/>
      <c r="X33" s="241"/>
      <c r="Y33" s="241"/>
      <c r="Z33" s="241"/>
      <c r="AA33" s="241"/>
      <c r="AB33" s="241"/>
      <c r="AC33" s="241" t="s">
        <v>188</v>
      </c>
      <c r="AD33" s="241" t="s">
        <v>189</v>
      </c>
      <c r="AE33" s="241" t="s">
        <v>190</v>
      </c>
      <c r="AF33" s="241" t="s">
        <v>191</v>
      </c>
      <c r="AG33" s="241" t="s">
        <v>192</v>
      </c>
      <c r="AH33" s="241" t="str">
        <f aca="false">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241" t="str">
        <f aca="false">IF($G$33=0,"",$G$33)</f>
        <v/>
      </c>
      <c r="AJ33" s="241" t="str">
        <f aca="false">IF($J$33=0,"",$J$33)</f>
        <v/>
      </c>
      <c r="AK33" s="241" t="str">
        <f aca="false">IF($K$33="нет","без дифференциации",IF($N$33=0,"",$N$33))</f>
        <v/>
      </c>
      <c r="AL33" s="241" t="str">
        <f aca="false">IF($O$33="нет","без дифференциации",IF($R$33=0,"",$R$33))</f>
        <v/>
      </c>
      <c r="AM33" s="241" t="str">
        <f aca="false">IF($S$33="нет","без дифференциации",IF($V$33=0,"",$V$33))</f>
        <v/>
      </c>
      <c r="AN33" s="249" t="n">
        <f aca="false">$I$33</f>
        <v>0</v>
      </c>
      <c r="AO33" s="241" t="str">
        <f aca="false">$I$33&amp;"."&amp;$M$33</f>
        <v>.</v>
      </c>
      <c r="AP33" s="96" t="str">
        <f aca="false">$I$33&amp;"."&amp;$M$33&amp;"."&amp;$Q$33</f>
        <v>..</v>
      </c>
      <c r="AQ33" s="96" t="str">
        <f aca="false">$I$33&amp;"."&amp;$M$33&amp;"."&amp;$Q$33&amp;"."&amp;$U$33</f>
        <v>...</v>
      </c>
      <c r="AR33" s="175" t="n">
        <v>0</v>
      </c>
    </row>
    <row r="34" s="175" customFormat="true" ht="17.25" hidden="true" customHeight="true" outlineLevel="0" collapsed="false">
      <c r="A34" s="230"/>
      <c r="D34" s="231"/>
      <c r="E34" s="232"/>
      <c r="F34" s="233"/>
      <c r="G34" s="232"/>
      <c r="H34" s="234"/>
      <c r="I34" s="235"/>
      <c r="J34" s="236"/>
      <c r="K34" s="237"/>
      <c r="L34" s="237"/>
      <c r="M34" s="237"/>
      <c r="N34" s="238"/>
      <c r="O34" s="237"/>
      <c r="P34" s="237"/>
      <c r="Q34" s="237"/>
      <c r="R34" s="239"/>
      <c r="S34" s="237"/>
      <c r="T34" s="242"/>
      <c r="U34" s="242"/>
      <c r="V34" s="242"/>
      <c r="W34" s="243"/>
      <c r="X34" s="96"/>
      <c r="Y34" s="96"/>
      <c r="Z34" s="96"/>
      <c r="AA34" s="96"/>
      <c r="AB34" s="96"/>
      <c r="AC34" s="96"/>
      <c r="AD34" s="96"/>
      <c r="AE34" s="96"/>
      <c r="AF34" s="96"/>
      <c r="AG34" s="96"/>
      <c r="AH34" s="96"/>
      <c r="AI34" s="96"/>
      <c r="AJ34" s="96"/>
      <c r="AK34" s="96"/>
      <c r="AL34" s="96"/>
      <c r="AM34" s="96"/>
      <c r="AN34" s="96"/>
      <c r="AO34" s="96"/>
      <c r="AP34" s="96"/>
      <c r="AQ34" s="96"/>
      <c r="AR34" s="175" t="n">
        <v>0</v>
      </c>
    </row>
    <row r="35" s="175" customFormat="true" ht="17.25" hidden="true" customHeight="true" outlineLevel="0" collapsed="false">
      <c r="A35" s="230"/>
      <c r="D35" s="231"/>
      <c r="E35" s="232"/>
      <c r="F35" s="233"/>
      <c r="G35" s="232"/>
      <c r="H35" s="234"/>
      <c r="I35" s="235"/>
      <c r="J35" s="236"/>
      <c r="K35" s="237"/>
      <c r="L35" s="237"/>
      <c r="M35" s="237"/>
      <c r="N35" s="238"/>
      <c r="O35" s="237"/>
      <c r="P35" s="114"/>
      <c r="Q35" s="242"/>
      <c r="R35" s="242"/>
      <c r="W35" s="243"/>
      <c r="X35" s="96"/>
      <c r="Y35" s="96"/>
      <c r="Z35" s="96"/>
      <c r="AA35" s="96"/>
      <c r="AB35" s="96"/>
      <c r="AC35" s="96"/>
      <c r="AD35" s="96"/>
      <c r="AE35" s="96"/>
      <c r="AF35" s="96"/>
      <c r="AG35" s="96"/>
      <c r="AH35" s="96"/>
      <c r="AI35" s="96"/>
      <c r="AJ35" s="96"/>
      <c r="AK35" s="96"/>
      <c r="AL35" s="96"/>
      <c r="AM35" s="96"/>
      <c r="AN35" s="96"/>
      <c r="AO35" s="96"/>
      <c r="AP35" s="96"/>
      <c r="AQ35" s="96"/>
      <c r="AR35" s="175" t="n">
        <v>0</v>
      </c>
    </row>
    <row r="36" s="175" customFormat="true" ht="17.25" hidden="true" customHeight="true" outlineLevel="0" collapsed="false">
      <c r="A36" s="230"/>
      <c r="D36" s="231"/>
      <c r="E36" s="232"/>
      <c r="F36" s="233"/>
      <c r="G36" s="232"/>
      <c r="H36" s="234"/>
      <c r="I36" s="235"/>
      <c r="J36" s="236"/>
      <c r="K36" s="237"/>
      <c r="L36" s="242"/>
      <c r="M36" s="242"/>
      <c r="N36" s="242"/>
      <c r="O36" s="242"/>
      <c r="P36" s="242"/>
      <c r="Q36" s="242"/>
      <c r="R36" s="242"/>
      <c r="W36" s="243"/>
      <c r="X36" s="96"/>
      <c r="Y36" s="96"/>
      <c r="Z36" s="96"/>
      <c r="AA36" s="96"/>
      <c r="AB36" s="96"/>
      <c r="AC36" s="96"/>
      <c r="AD36" s="96"/>
      <c r="AE36" s="96"/>
      <c r="AF36" s="96"/>
      <c r="AG36" s="96"/>
      <c r="AH36" s="96"/>
      <c r="AI36" s="96"/>
      <c r="AJ36" s="96"/>
      <c r="AK36" s="96"/>
      <c r="AL36" s="96"/>
      <c r="AM36" s="96"/>
      <c r="AN36" s="96"/>
      <c r="AO36" s="96"/>
      <c r="AP36" s="96"/>
      <c r="AQ36" s="96"/>
      <c r="AR36" s="175" t="n">
        <v>0</v>
      </c>
    </row>
    <row r="37" s="175" customFormat="true" ht="17.25" hidden="true" customHeight="true" outlineLevel="0" collapsed="false">
      <c r="A37" s="230"/>
      <c r="D37" s="231"/>
      <c r="E37" s="232"/>
      <c r="F37" s="233"/>
      <c r="G37" s="232"/>
      <c r="H37" s="244"/>
      <c r="I37" s="245"/>
      <c r="J37" s="245"/>
      <c r="K37" s="245"/>
      <c r="L37" s="245"/>
      <c r="M37" s="245"/>
      <c r="N37" s="245"/>
      <c r="O37" s="245"/>
      <c r="P37" s="245"/>
      <c r="Q37" s="245"/>
      <c r="R37" s="245"/>
      <c r="S37" s="246"/>
      <c r="T37" s="246"/>
      <c r="U37" s="246"/>
      <c r="V37" s="246"/>
      <c r="W37" s="247"/>
      <c r="X37" s="96"/>
      <c r="Y37" s="96"/>
      <c r="Z37" s="96"/>
      <c r="AA37" s="96"/>
      <c r="AB37" s="96"/>
      <c r="AC37" s="96"/>
      <c r="AD37" s="96"/>
      <c r="AE37" s="96"/>
      <c r="AF37" s="96"/>
      <c r="AG37" s="96"/>
      <c r="AH37" s="96"/>
      <c r="AI37" s="96"/>
      <c r="AJ37" s="96"/>
      <c r="AK37" s="96"/>
      <c r="AL37" s="96"/>
      <c r="AM37" s="96"/>
      <c r="AN37" s="96"/>
      <c r="AO37" s="96"/>
      <c r="AP37" s="96"/>
      <c r="AQ37" s="96"/>
      <c r="AR37" s="175" t="n">
        <v>0</v>
      </c>
    </row>
    <row r="38" s="175" customFormat="true" ht="17.25" hidden="true" customHeight="true" outlineLevel="0" collapsed="false">
      <c r="A38" s="230"/>
      <c r="C38" s="117"/>
      <c r="D38" s="231" t="n">
        <v>5</v>
      </c>
      <c r="E38" s="232" t="s">
        <v>193</v>
      </c>
      <c r="F38" s="233" t="s">
        <v>19</v>
      </c>
      <c r="G38" s="232"/>
      <c r="H38" s="234"/>
      <c r="I38" s="235"/>
      <c r="J38" s="236"/>
      <c r="K38" s="237"/>
      <c r="L38" s="237"/>
      <c r="M38" s="237"/>
      <c r="N38" s="238"/>
      <c r="O38" s="237"/>
      <c r="P38" s="237"/>
      <c r="Q38" s="237"/>
      <c r="R38" s="239"/>
      <c r="S38" s="237"/>
      <c r="T38" s="237"/>
      <c r="U38" s="237"/>
      <c r="V38" s="239"/>
      <c r="W38" s="240"/>
      <c r="X38" s="241"/>
      <c r="Y38" s="241"/>
      <c r="Z38" s="241"/>
      <c r="AA38" s="241"/>
      <c r="AB38" s="241"/>
      <c r="AC38" s="241" t="s">
        <v>194</v>
      </c>
      <c r="AD38" s="241" t="s">
        <v>195</v>
      </c>
      <c r="AE38" s="241" t="s">
        <v>196</v>
      </c>
      <c r="AF38" s="241" t="s">
        <v>197</v>
      </c>
      <c r="AG38" s="241" t="s">
        <v>198</v>
      </c>
      <c r="AH38" s="241" t="str">
        <f aca="false">IF($E$38=0,"",$E$38)</f>
        <v>Тарифы на услуги по передаче тепловой энергии</v>
      </c>
      <c r="AI38" s="241" t="str">
        <f aca="false">IF($G$38=0,"",$G$38)</f>
        <v/>
      </c>
      <c r="AJ38" s="241" t="str">
        <f aca="false">IF($J$38=0,"",$J$38)</f>
        <v/>
      </c>
      <c r="AK38" s="241" t="str">
        <f aca="false">IF($K$38="нет","без дифференциации",IF($N$38=0,"",$N$38))</f>
        <v/>
      </c>
      <c r="AL38" s="241" t="str">
        <f aca="false">IF($O$38="нет","без дифференциации",IF($R$38=0,"",$R$38))</f>
        <v/>
      </c>
      <c r="AM38" s="241" t="str">
        <f aca="false">IF($S$38="нет","без дифференциации",IF($V$38=0,"",$V$38))</f>
        <v/>
      </c>
      <c r="AN38" s="249" t="n">
        <f aca="false">$I$38</f>
        <v>0</v>
      </c>
      <c r="AO38" s="241" t="str">
        <f aca="false">$I$38&amp;"."&amp;$M$38</f>
        <v>.</v>
      </c>
      <c r="AP38" s="96" t="str">
        <f aca="false">$I$38&amp;"."&amp;$M$38&amp;"."&amp;$Q$38</f>
        <v>..</v>
      </c>
      <c r="AQ38" s="96" t="str">
        <f aca="false">$I$38&amp;"."&amp;$M$38&amp;"."&amp;$Q$38&amp;"."&amp;$U$38</f>
        <v>...</v>
      </c>
      <c r="AR38" s="175" t="n">
        <v>0</v>
      </c>
    </row>
    <row r="39" s="175" customFormat="true" ht="17.25" hidden="true" customHeight="true" outlineLevel="0" collapsed="false">
      <c r="A39" s="230"/>
      <c r="D39" s="231"/>
      <c r="E39" s="232"/>
      <c r="F39" s="233"/>
      <c r="G39" s="232"/>
      <c r="H39" s="234"/>
      <c r="I39" s="235"/>
      <c r="J39" s="236"/>
      <c r="K39" s="237"/>
      <c r="L39" s="237"/>
      <c r="M39" s="237"/>
      <c r="N39" s="238"/>
      <c r="O39" s="237"/>
      <c r="P39" s="237"/>
      <c r="Q39" s="237"/>
      <c r="R39" s="239"/>
      <c r="S39" s="237"/>
      <c r="T39" s="242"/>
      <c r="U39" s="242"/>
      <c r="V39" s="242"/>
      <c r="W39" s="243"/>
      <c r="X39" s="96"/>
      <c r="Y39" s="96"/>
      <c r="Z39" s="96"/>
      <c r="AA39" s="96"/>
      <c r="AB39" s="96"/>
      <c r="AC39" s="96"/>
      <c r="AD39" s="96"/>
      <c r="AE39" s="96"/>
      <c r="AF39" s="96"/>
      <c r="AG39" s="96"/>
      <c r="AH39" s="96"/>
      <c r="AI39" s="96"/>
      <c r="AJ39" s="96"/>
      <c r="AK39" s="96"/>
      <c r="AL39" s="96"/>
      <c r="AM39" s="96"/>
      <c r="AN39" s="96"/>
      <c r="AO39" s="96"/>
      <c r="AP39" s="96"/>
      <c r="AQ39" s="96"/>
      <c r="AR39" s="175" t="n">
        <v>0</v>
      </c>
    </row>
    <row r="40" s="175" customFormat="true" ht="17.25" hidden="true" customHeight="true" outlineLevel="0" collapsed="false">
      <c r="A40" s="230"/>
      <c r="D40" s="231"/>
      <c r="E40" s="232"/>
      <c r="F40" s="233"/>
      <c r="G40" s="232"/>
      <c r="H40" s="234"/>
      <c r="I40" s="235"/>
      <c r="J40" s="236"/>
      <c r="K40" s="237"/>
      <c r="L40" s="237"/>
      <c r="M40" s="237"/>
      <c r="N40" s="238"/>
      <c r="O40" s="237"/>
      <c r="P40" s="114"/>
      <c r="Q40" s="242"/>
      <c r="R40" s="242"/>
      <c r="W40" s="243"/>
      <c r="X40" s="96"/>
      <c r="Y40" s="96"/>
      <c r="Z40" s="96"/>
      <c r="AA40" s="96"/>
      <c r="AB40" s="96"/>
      <c r="AC40" s="96"/>
      <c r="AD40" s="96"/>
      <c r="AE40" s="96"/>
      <c r="AF40" s="96"/>
      <c r="AG40" s="96"/>
      <c r="AH40" s="96"/>
      <c r="AI40" s="96"/>
      <c r="AJ40" s="96"/>
      <c r="AK40" s="96"/>
      <c r="AL40" s="96"/>
      <c r="AM40" s="96"/>
      <c r="AN40" s="96"/>
      <c r="AO40" s="96"/>
      <c r="AP40" s="96"/>
      <c r="AQ40" s="96"/>
      <c r="AR40" s="175" t="n">
        <v>0</v>
      </c>
    </row>
    <row r="41" s="175" customFormat="true" ht="17.25" hidden="true" customHeight="true" outlineLevel="0" collapsed="false">
      <c r="A41" s="230"/>
      <c r="D41" s="231"/>
      <c r="E41" s="232"/>
      <c r="F41" s="233"/>
      <c r="G41" s="232"/>
      <c r="H41" s="234"/>
      <c r="I41" s="235"/>
      <c r="J41" s="236"/>
      <c r="K41" s="237"/>
      <c r="L41" s="242"/>
      <c r="M41" s="242"/>
      <c r="N41" s="242"/>
      <c r="O41" s="242"/>
      <c r="P41" s="242"/>
      <c r="Q41" s="242"/>
      <c r="R41" s="242"/>
      <c r="W41" s="243"/>
      <c r="X41" s="96"/>
      <c r="Y41" s="96"/>
      <c r="Z41" s="96"/>
      <c r="AA41" s="96"/>
      <c r="AB41" s="96"/>
      <c r="AC41" s="96"/>
      <c r="AD41" s="96"/>
      <c r="AE41" s="96"/>
      <c r="AF41" s="96"/>
      <c r="AG41" s="96"/>
      <c r="AH41" s="96"/>
      <c r="AI41" s="96"/>
      <c r="AJ41" s="96"/>
      <c r="AK41" s="96"/>
      <c r="AL41" s="96"/>
      <c r="AM41" s="96"/>
      <c r="AN41" s="96"/>
      <c r="AO41" s="96"/>
      <c r="AP41" s="96"/>
      <c r="AQ41" s="96"/>
      <c r="AR41" s="175" t="n">
        <v>0</v>
      </c>
    </row>
    <row r="42" s="175" customFormat="true" ht="17.25" hidden="true" customHeight="true" outlineLevel="0" collapsed="false">
      <c r="A42" s="230"/>
      <c r="D42" s="231"/>
      <c r="E42" s="232"/>
      <c r="F42" s="233"/>
      <c r="G42" s="232"/>
      <c r="H42" s="244"/>
      <c r="I42" s="245"/>
      <c r="J42" s="245"/>
      <c r="K42" s="245"/>
      <c r="L42" s="245"/>
      <c r="M42" s="245"/>
      <c r="N42" s="245"/>
      <c r="O42" s="245"/>
      <c r="P42" s="245"/>
      <c r="Q42" s="245"/>
      <c r="R42" s="245"/>
      <c r="S42" s="246"/>
      <c r="T42" s="246"/>
      <c r="U42" s="246"/>
      <c r="V42" s="246"/>
      <c r="W42" s="247"/>
      <c r="X42" s="96"/>
      <c r="Y42" s="96"/>
      <c r="Z42" s="96"/>
      <c r="AA42" s="96"/>
      <c r="AB42" s="96"/>
      <c r="AC42" s="96"/>
      <c r="AD42" s="96"/>
      <c r="AE42" s="96"/>
      <c r="AF42" s="96"/>
      <c r="AG42" s="96"/>
      <c r="AH42" s="96"/>
      <c r="AI42" s="96"/>
      <c r="AJ42" s="96"/>
      <c r="AK42" s="96"/>
      <c r="AL42" s="96"/>
      <c r="AM42" s="96"/>
      <c r="AN42" s="96"/>
      <c r="AO42" s="96"/>
      <c r="AP42" s="96"/>
      <c r="AQ42" s="96"/>
      <c r="AR42" s="175" t="n">
        <v>0</v>
      </c>
    </row>
    <row r="43" s="175" customFormat="true" ht="17.25" hidden="true" customHeight="true" outlineLevel="0" collapsed="false">
      <c r="A43" s="230"/>
      <c r="C43" s="117"/>
      <c r="D43" s="231" t="n">
        <v>6</v>
      </c>
      <c r="E43" s="232" t="s">
        <v>199</v>
      </c>
      <c r="F43" s="233" t="s">
        <v>19</v>
      </c>
      <c r="G43" s="232"/>
      <c r="H43" s="234"/>
      <c r="I43" s="235"/>
      <c r="J43" s="236"/>
      <c r="K43" s="237"/>
      <c r="L43" s="237"/>
      <c r="M43" s="237"/>
      <c r="N43" s="238"/>
      <c r="O43" s="237"/>
      <c r="P43" s="237"/>
      <c r="Q43" s="237"/>
      <c r="R43" s="239"/>
      <c r="S43" s="237"/>
      <c r="T43" s="237"/>
      <c r="U43" s="237"/>
      <c r="V43" s="239"/>
      <c r="W43" s="240"/>
      <c r="X43" s="241"/>
      <c r="Y43" s="241"/>
      <c r="Z43" s="241"/>
      <c r="AA43" s="241"/>
      <c r="AB43" s="241"/>
      <c r="AC43" s="241" t="s">
        <v>200</v>
      </c>
      <c r="AD43" s="241" t="s">
        <v>201</v>
      </c>
      <c r="AE43" s="241" t="s">
        <v>202</v>
      </c>
      <c r="AF43" s="241" t="s">
        <v>203</v>
      </c>
      <c r="AG43" s="241" t="s">
        <v>204</v>
      </c>
      <c r="AH43" s="241" t="str">
        <f aca="false">IF($E$43=0,"",$E$43)</f>
        <v>Тарифы на услуги по передаче теплоносителя</v>
      </c>
      <c r="AI43" s="241" t="str">
        <f aca="false">IF($G$43=0,"",$G$43)</f>
        <v/>
      </c>
      <c r="AJ43" s="241" t="str">
        <f aca="false">IF($J$43=0,"",$J$43)</f>
        <v/>
      </c>
      <c r="AK43" s="241" t="str">
        <f aca="false">IF($K$43="нет","без дифференциации",IF($N$43=0,"",$N$43))</f>
        <v/>
      </c>
      <c r="AL43" s="241" t="str">
        <f aca="false">IF($O$43="нет","без дифференциации",IF($R$43=0,"",$R$43))</f>
        <v/>
      </c>
      <c r="AM43" s="241" t="str">
        <f aca="false">IF($S$43="нет","без дифференциации",IF($V$43=0,"",$V$43))</f>
        <v/>
      </c>
      <c r="AN43" s="249" t="n">
        <f aca="false">$I$43</f>
        <v>0</v>
      </c>
      <c r="AO43" s="241" t="str">
        <f aca="false">$I$43&amp;"."&amp;$M$43</f>
        <v>.</v>
      </c>
      <c r="AP43" s="96" t="str">
        <f aca="false">$I$43&amp;"."&amp;$M$43&amp;"."&amp;$Q$43</f>
        <v>..</v>
      </c>
      <c r="AQ43" s="96" t="str">
        <f aca="false">$I$43&amp;"."&amp;$M$43&amp;"."&amp;$Q$43&amp;"."&amp;$U$43</f>
        <v>...</v>
      </c>
      <c r="AR43" s="175" t="n">
        <v>0</v>
      </c>
    </row>
    <row r="44" s="175" customFormat="true" ht="17.25" hidden="true" customHeight="true" outlineLevel="0" collapsed="false">
      <c r="A44" s="230"/>
      <c r="D44" s="231"/>
      <c r="E44" s="232"/>
      <c r="F44" s="233"/>
      <c r="G44" s="232"/>
      <c r="H44" s="234"/>
      <c r="I44" s="235"/>
      <c r="J44" s="236"/>
      <c r="K44" s="237"/>
      <c r="L44" s="237"/>
      <c r="M44" s="237"/>
      <c r="N44" s="238"/>
      <c r="O44" s="237"/>
      <c r="P44" s="237"/>
      <c r="Q44" s="237"/>
      <c r="R44" s="239"/>
      <c r="S44" s="237"/>
      <c r="T44" s="242"/>
      <c r="U44" s="242"/>
      <c r="V44" s="242"/>
      <c r="W44" s="243"/>
      <c r="X44" s="96"/>
      <c r="Y44" s="96"/>
      <c r="Z44" s="96"/>
      <c r="AA44" s="96"/>
      <c r="AB44" s="96"/>
      <c r="AC44" s="96"/>
      <c r="AD44" s="96"/>
      <c r="AE44" s="96"/>
      <c r="AF44" s="96"/>
      <c r="AG44" s="96"/>
      <c r="AH44" s="96"/>
      <c r="AI44" s="96"/>
      <c r="AJ44" s="96"/>
      <c r="AK44" s="96"/>
      <c r="AL44" s="96"/>
      <c r="AM44" s="96"/>
      <c r="AN44" s="96"/>
      <c r="AO44" s="96"/>
      <c r="AP44" s="96"/>
      <c r="AQ44" s="96"/>
      <c r="AR44" s="175" t="n">
        <v>0</v>
      </c>
    </row>
    <row r="45" s="175" customFormat="true" ht="17.25" hidden="true" customHeight="true" outlineLevel="0" collapsed="false">
      <c r="A45" s="230"/>
      <c r="D45" s="231"/>
      <c r="E45" s="232"/>
      <c r="F45" s="233"/>
      <c r="G45" s="232"/>
      <c r="H45" s="234"/>
      <c r="I45" s="235"/>
      <c r="J45" s="236"/>
      <c r="K45" s="237"/>
      <c r="L45" s="237"/>
      <c r="M45" s="237"/>
      <c r="N45" s="238"/>
      <c r="O45" s="237"/>
      <c r="P45" s="114"/>
      <c r="Q45" s="242"/>
      <c r="R45" s="242"/>
      <c r="W45" s="243"/>
      <c r="X45" s="96"/>
      <c r="Y45" s="96"/>
      <c r="Z45" s="96"/>
      <c r="AA45" s="96"/>
      <c r="AB45" s="96"/>
      <c r="AC45" s="96"/>
      <c r="AD45" s="96"/>
      <c r="AE45" s="96"/>
      <c r="AF45" s="96"/>
      <c r="AG45" s="96"/>
      <c r="AH45" s="96"/>
      <c r="AI45" s="96"/>
      <c r="AJ45" s="96"/>
      <c r="AK45" s="96"/>
      <c r="AL45" s="96"/>
      <c r="AM45" s="96"/>
      <c r="AN45" s="96"/>
      <c r="AO45" s="96"/>
      <c r="AP45" s="96"/>
      <c r="AQ45" s="96"/>
      <c r="AR45" s="175" t="n">
        <v>0</v>
      </c>
    </row>
    <row r="46" s="175" customFormat="true" ht="17.25" hidden="true" customHeight="true" outlineLevel="0" collapsed="false">
      <c r="A46" s="230"/>
      <c r="C46" s="117"/>
      <c r="D46" s="231"/>
      <c r="E46" s="232"/>
      <c r="F46" s="233"/>
      <c r="G46" s="232"/>
      <c r="H46" s="234"/>
      <c r="I46" s="235"/>
      <c r="J46" s="236"/>
      <c r="K46" s="237"/>
      <c r="L46" s="242"/>
      <c r="M46" s="242"/>
      <c r="N46" s="242"/>
      <c r="O46" s="242"/>
      <c r="P46" s="242"/>
      <c r="Q46" s="242"/>
      <c r="R46" s="242"/>
      <c r="W46" s="243"/>
      <c r="Y46" s="241"/>
      <c r="Z46" s="241"/>
      <c r="AA46" s="241"/>
      <c r="AB46" s="241"/>
      <c r="AC46" s="241"/>
      <c r="AD46" s="241"/>
      <c r="AE46" s="241"/>
      <c r="AF46" s="241"/>
      <c r="AG46" s="241"/>
      <c r="AH46" s="241"/>
      <c r="AI46" s="241"/>
      <c r="AJ46" s="241"/>
      <c r="AK46" s="241"/>
      <c r="AL46" s="241"/>
      <c r="AM46" s="241"/>
      <c r="AN46" s="241"/>
      <c r="AO46" s="241"/>
      <c r="AP46" s="241"/>
      <c r="AQ46" s="241"/>
      <c r="AR46" s="175" t="n">
        <v>0</v>
      </c>
    </row>
    <row r="47" s="175" customFormat="true" ht="17.25" hidden="true" customHeight="true" outlineLevel="0" collapsed="false">
      <c r="A47" s="230"/>
      <c r="D47" s="231"/>
      <c r="E47" s="232"/>
      <c r="F47" s="233"/>
      <c r="G47" s="232"/>
      <c r="H47" s="244"/>
      <c r="I47" s="245"/>
      <c r="J47" s="245"/>
      <c r="K47" s="245"/>
      <c r="L47" s="245"/>
      <c r="M47" s="245"/>
      <c r="N47" s="245"/>
      <c r="O47" s="245"/>
      <c r="P47" s="245"/>
      <c r="Q47" s="245"/>
      <c r="R47" s="245"/>
      <c r="S47" s="246"/>
      <c r="T47" s="246"/>
      <c r="U47" s="246"/>
      <c r="V47" s="246"/>
      <c r="W47" s="247"/>
      <c r="X47" s="96"/>
      <c r="Y47" s="96"/>
      <c r="Z47" s="96"/>
      <c r="AA47" s="96"/>
      <c r="AB47" s="96"/>
      <c r="AC47" s="96"/>
      <c r="AD47" s="96"/>
      <c r="AE47" s="96"/>
      <c r="AF47" s="96"/>
      <c r="AG47" s="96"/>
      <c r="AH47" s="96"/>
      <c r="AI47" s="96"/>
      <c r="AJ47" s="96"/>
      <c r="AK47" s="96"/>
      <c r="AL47" s="96"/>
      <c r="AM47" s="96"/>
      <c r="AN47" s="96"/>
      <c r="AO47" s="96"/>
      <c r="AP47" s="96"/>
      <c r="AQ47" s="96"/>
      <c r="AR47" s="175" t="n">
        <v>0</v>
      </c>
    </row>
    <row r="48" s="175" customFormat="true" ht="17.25" hidden="true" customHeight="true" outlineLevel="0" collapsed="false">
      <c r="A48" s="230"/>
      <c r="C48" s="117"/>
      <c r="D48" s="231" t="n">
        <v>7</v>
      </c>
      <c r="E48" s="232" t="s">
        <v>205</v>
      </c>
      <c r="F48" s="233" t="s">
        <v>19</v>
      </c>
      <c r="G48" s="232"/>
      <c r="H48" s="234"/>
      <c r="I48" s="235"/>
      <c r="J48" s="236"/>
      <c r="K48" s="237"/>
      <c r="L48" s="237"/>
      <c r="M48" s="237"/>
      <c r="N48" s="238"/>
      <c r="O48" s="237"/>
      <c r="P48" s="237"/>
      <c r="Q48" s="237"/>
      <c r="R48" s="239"/>
      <c r="S48" s="237"/>
      <c r="T48" s="237"/>
      <c r="U48" s="237"/>
      <c r="V48" s="239"/>
      <c r="W48" s="240"/>
      <c r="X48" s="241"/>
      <c r="Y48" s="241"/>
      <c r="Z48" s="241"/>
      <c r="AA48" s="241"/>
      <c r="AB48" s="241"/>
      <c r="AC48" s="241" t="s">
        <v>206</v>
      </c>
      <c r="AD48" s="241" t="s">
        <v>207</v>
      </c>
      <c r="AE48" s="241" t="s">
        <v>208</v>
      </c>
      <c r="AF48" s="241" t="s">
        <v>209</v>
      </c>
      <c r="AG48" s="241" t="s">
        <v>210</v>
      </c>
      <c r="AH48" s="241" t="str">
        <f aca="false">IF($E$48=0,"",$E$48)</f>
        <v>Плата за услуги по поддержанию резервной тепловой мощности при отсутствии потребления тепловой энергии</v>
      </c>
      <c r="AI48" s="241" t="str">
        <f aca="false">IF($G$48=0,"",$G$48)</f>
        <v/>
      </c>
      <c r="AJ48" s="241" t="str">
        <f aca="false">IF($J$48=0,"",$J$48)</f>
        <v/>
      </c>
      <c r="AK48" s="241" t="str">
        <f aca="false">IF($K$48="нет","без дифференциации",IF($N$48=0,"",$N$48))</f>
        <v/>
      </c>
      <c r="AL48" s="241" t="str">
        <f aca="false">IF($O$48="нет","без дифференциации",IF($R$48=0,"",$R$48))</f>
        <v/>
      </c>
      <c r="AM48" s="241" t="str">
        <f aca="false">IF($S$48="нет","без дифференциации",IF($V$48=0,"",$V$48))</f>
        <v/>
      </c>
      <c r="AN48" s="249" t="n">
        <f aca="false">$I$48</f>
        <v>0</v>
      </c>
      <c r="AO48" s="241" t="str">
        <f aca="false">$I$48&amp;"."&amp;$M$48</f>
        <v>.</v>
      </c>
      <c r="AP48" s="96" t="str">
        <f aca="false">$I$48&amp;"."&amp;$M$48&amp;"."&amp;$Q$48</f>
        <v>..</v>
      </c>
      <c r="AQ48" s="96" t="str">
        <f aca="false">$I$48&amp;"."&amp;$M$48&amp;"."&amp;$Q$48&amp;"."&amp;$U$48</f>
        <v>...</v>
      </c>
      <c r="AR48" s="175" t="n">
        <v>0</v>
      </c>
    </row>
    <row r="49" s="175" customFormat="true" ht="17.25" hidden="true" customHeight="true" outlineLevel="0" collapsed="false">
      <c r="A49" s="230"/>
      <c r="D49" s="231"/>
      <c r="E49" s="232"/>
      <c r="F49" s="233"/>
      <c r="G49" s="232"/>
      <c r="H49" s="234"/>
      <c r="I49" s="235"/>
      <c r="J49" s="236"/>
      <c r="K49" s="237"/>
      <c r="L49" s="237"/>
      <c r="M49" s="237"/>
      <c r="N49" s="238"/>
      <c r="O49" s="237"/>
      <c r="P49" s="237"/>
      <c r="Q49" s="237"/>
      <c r="R49" s="239"/>
      <c r="S49" s="237"/>
      <c r="T49" s="242"/>
      <c r="U49" s="242"/>
      <c r="V49" s="242"/>
      <c r="W49" s="243"/>
      <c r="X49" s="96"/>
      <c r="Y49" s="96"/>
      <c r="Z49" s="96"/>
      <c r="AA49" s="96"/>
      <c r="AB49" s="96"/>
      <c r="AC49" s="96"/>
      <c r="AD49" s="96"/>
      <c r="AE49" s="96"/>
      <c r="AF49" s="96"/>
      <c r="AG49" s="96"/>
      <c r="AH49" s="96"/>
      <c r="AI49" s="96"/>
      <c r="AJ49" s="96"/>
      <c r="AK49" s="96"/>
      <c r="AL49" s="96"/>
      <c r="AM49" s="96"/>
      <c r="AN49" s="96"/>
      <c r="AO49" s="96"/>
      <c r="AP49" s="96"/>
      <c r="AQ49" s="96"/>
      <c r="AR49" s="175" t="n">
        <v>0</v>
      </c>
    </row>
    <row r="50" s="175" customFormat="true" ht="17.25" hidden="true" customHeight="true" outlineLevel="0" collapsed="false">
      <c r="A50" s="230"/>
      <c r="D50" s="231"/>
      <c r="E50" s="232"/>
      <c r="F50" s="233"/>
      <c r="G50" s="232"/>
      <c r="H50" s="234"/>
      <c r="I50" s="235"/>
      <c r="J50" s="236"/>
      <c r="K50" s="237"/>
      <c r="L50" s="237"/>
      <c r="M50" s="237"/>
      <c r="N50" s="238"/>
      <c r="O50" s="237"/>
      <c r="P50" s="114"/>
      <c r="Q50" s="242"/>
      <c r="R50" s="242"/>
      <c r="W50" s="243"/>
      <c r="X50" s="96"/>
      <c r="Y50" s="96"/>
      <c r="Z50" s="96"/>
      <c r="AA50" s="96"/>
      <c r="AB50" s="96"/>
      <c r="AC50" s="96"/>
      <c r="AD50" s="96"/>
      <c r="AE50" s="96"/>
      <c r="AF50" s="96"/>
      <c r="AG50" s="96"/>
      <c r="AH50" s="96"/>
      <c r="AI50" s="96"/>
      <c r="AJ50" s="96"/>
      <c r="AK50" s="96"/>
      <c r="AL50" s="96"/>
      <c r="AM50" s="96"/>
      <c r="AN50" s="96"/>
      <c r="AO50" s="96"/>
      <c r="AP50" s="96"/>
      <c r="AQ50" s="96"/>
      <c r="AR50" s="175" t="n">
        <v>0</v>
      </c>
    </row>
    <row r="51" s="175" customFormat="true" ht="17.25" hidden="true" customHeight="true" outlineLevel="0" collapsed="false">
      <c r="A51" s="230"/>
      <c r="C51" s="117"/>
      <c r="D51" s="231"/>
      <c r="E51" s="232"/>
      <c r="F51" s="233"/>
      <c r="G51" s="232"/>
      <c r="H51" s="234"/>
      <c r="I51" s="235"/>
      <c r="J51" s="236"/>
      <c r="K51" s="237"/>
      <c r="L51" s="242"/>
      <c r="M51" s="242"/>
      <c r="N51" s="242"/>
      <c r="O51" s="242"/>
      <c r="P51" s="242"/>
      <c r="Q51" s="242"/>
      <c r="R51" s="242"/>
      <c r="W51" s="243"/>
      <c r="Y51" s="241"/>
      <c r="Z51" s="241"/>
      <c r="AA51" s="241"/>
      <c r="AB51" s="241"/>
      <c r="AC51" s="241"/>
      <c r="AD51" s="241"/>
      <c r="AE51" s="241"/>
      <c r="AF51" s="241"/>
      <c r="AG51" s="241"/>
      <c r="AH51" s="241"/>
      <c r="AI51" s="241"/>
      <c r="AJ51" s="241"/>
      <c r="AK51" s="241"/>
      <c r="AL51" s="241"/>
      <c r="AM51" s="241"/>
      <c r="AN51" s="241"/>
      <c r="AO51" s="241"/>
      <c r="AP51" s="241"/>
      <c r="AQ51" s="241"/>
      <c r="AR51" s="175" t="n">
        <v>0</v>
      </c>
    </row>
    <row r="52" s="175" customFormat="true" ht="17.25" hidden="true" customHeight="true" outlineLevel="0" collapsed="false">
      <c r="A52" s="230"/>
      <c r="D52" s="231"/>
      <c r="E52" s="232"/>
      <c r="F52" s="233"/>
      <c r="G52" s="232"/>
      <c r="H52" s="244"/>
      <c r="I52" s="245"/>
      <c r="J52" s="245"/>
      <c r="K52" s="245"/>
      <c r="L52" s="245"/>
      <c r="M52" s="245"/>
      <c r="N52" s="245"/>
      <c r="O52" s="245"/>
      <c r="P52" s="245"/>
      <c r="Q52" s="245"/>
      <c r="R52" s="245"/>
      <c r="S52" s="246"/>
      <c r="T52" s="246"/>
      <c r="U52" s="246"/>
      <c r="V52" s="246"/>
      <c r="W52" s="247"/>
      <c r="X52" s="96"/>
      <c r="Y52" s="96"/>
      <c r="Z52" s="96"/>
      <c r="AA52" s="96"/>
      <c r="AB52" s="96"/>
      <c r="AC52" s="96"/>
      <c r="AD52" s="96"/>
      <c r="AE52" s="96"/>
      <c r="AF52" s="96"/>
      <c r="AG52" s="96"/>
      <c r="AH52" s="96"/>
      <c r="AI52" s="96"/>
      <c r="AJ52" s="96"/>
      <c r="AK52" s="96"/>
      <c r="AL52" s="96"/>
      <c r="AM52" s="96"/>
      <c r="AN52" s="96"/>
      <c r="AO52" s="96"/>
      <c r="AP52" s="96"/>
      <c r="AQ52" s="96"/>
      <c r="AR52" s="175" t="n">
        <v>0</v>
      </c>
    </row>
    <row r="53" s="175" customFormat="true" ht="17.25" hidden="true" customHeight="true" outlineLevel="0" collapsed="false">
      <c r="A53" s="230"/>
      <c r="C53" s="117"/>
      <c r="D53" s="231" t="n">
        <v>8</v>
      </c>
      <c r="E53" s="232" t="s">
        <v>211</v>
      </c>
      <c r="F53" s="233" t="s">
        <v>19</v>
      </c>
      <c r="G53" s="232"/>
      <c r="H53" s="234"/>
      <c r="I53" s="235"/>
      <c r="J53" s="236"/>
      <c r="K53" s="237"/>
      <c r="L53" s="237"/>
      <c r="M53" s="237"/>
      <c r="N53" s="238"/>
      <c r="O53" s="237"/>
      <c r="P53" s="237"/>
      <c r="Q53" s="237"/>
      <c r="R53" s="239"/>
      <c r="S53" s="237"/>
      <c r="T53" s="237"/>
      <c r="U53" s="237"/>
      <c r="V53" s="239"/>
      <c r="W53" s="240"/>
      <c r="X53" s="241"/>
      <c r="Y53" s="241"/>
      <c r="Z53" s="241"/>
      <c r="AA53" s="241"/>
      <c r="AB53" s="241"/>
      <c r="AC53" s="241" t="s">
        <v>212</v>
      </c>
      <c r="AD53" s="241" t="s">
        <v>213</v>
      </c>
      <c r="AE53" s="241" t="s">
        <v>214</v>
      </c>
      <c r="AF53" s="241" t="s">
        <v>215</v>
      </c>
      <c r="AG53" s="241" t="s">
        <v>216</v>
      </c>
      <c r="AH53" s="241" t="str">
        <f aca="false">IF($E$53=0,"",$E$53)</f>
        <v>Плата за подключение (технологическое присоединение) к системе теплоснабжения</v>
      </c>
      <c r="AI53" s="241" t="str">
        <f aca="false">IF($G$53=0,"",$G$53)</f>
        <v/>
      </c>
      <c r="AJ53" s="241" t="str">
        <f aca="false">IF($J$53=0,"",$J$53)</f>
        <v/>
      </c>
      <c r="AK53" s="241" t="str">
        <f aca="false">IF($K$53="нет","без дифференциации",IF($N$53=0,"",$N$53))</f>
        <v/>
      </c>
      <c r="AL53" s="241" t="str">
        <f aca="false">IF($O$53="нет","без дифференциации",IF($R$53=0,"",$R$53))</f>
        <v/>
      </c>
      <c r="AM53" s="241" t="str">
        <f aca="false">IF($S$53="нет","без дифференциации",IF($V$53=0,"",$V$53))</f>
        <v/>
      </c>
      <c r="AN53" s="249" t="n">
        <f aca="false">$I$53</f>
        <v>0</v>
      </c>
      <c r="AO53" s="241" t="str">
        <f aca="false">$I$53&amp;"."&amp;$M$53</f>
        <v>.</v>
      </c>
      <c r="AP53" s="96" t="str">
        <f aca="false">$I$53&amp;"."&amp;$M$53&amp;"."&amp;$Q$53</f>
        <v>..</v>
      </c>
      <c r="AQ53" s="96" t="str">
        <f aca="false">$I$53&amp;"."&amp;$M$53&amp;"."&amp;$Q$53&amp;"."&amp;$U$53</f>
        <v>...</v>
      </c>
      <c r="AR53" s="175" t="n">
        <v>0</v>
      </c>
    </row>
    <row r="54" s="175" customFormat="true" ht="17.25" hidden="true" customHeight="true" outlineLevel="0" collapsed="false">
      <c r="A54" s="230"/>
      <c r="D54" s="231"/>
      <c r="E54" s="232"/>
      <c r="F54" s="233"/>
      <c r="G54" s="232"/>
      <c r="H54" s="234"/>
      <c r="I54" s="235"/>
      <c r="J54" s="236"/>
      <c r="K54" s="237"/>
      <c r="L54" s="237"/>
      <c r="M54" s="237"/>
      <c r="N54" s="238"/>
      <c r="O54" s="237"/>
      <c r="P54" s="237"/>
      <c r="Q54" s="237"/>
      <c r="R54" s="239"/>
      <c r="S54" s="237"/>
      <c r="T54" s="242"/>
      <c r="U54" s="242"/>
      <c r="V54" s="242"/>
      <c r="W54" s="243"/>
      <c r="X54" s="96"/>
      <c r="Y54" s="96"/>
      <c r="Z54" s="96"/>
      <c r="AA54" s="96"/>
      <c r="AB54" s="96"/>
      <c r="AC54" s="96"/>
      <c r="AD54" s="96"/>
      <c r="AE54" s="96"/>
      <c r="AF54" s="96"/>
      <c r="AG54" s="96"/>
      <c r="AH54" s="96"/>
      <c r="AI54" s="96"/>
      <c r="AJ54" s="96"/>
      <c r="AK54" s="96"/>
      <c r="AL54" s="96"/>
      <c r="AM54" s="96"/>
      <c r="AN54" s="96"/>
      <c r="AO54" s="96"/>
      <c r="AP54" s="96"/>
      <c r="AQ54" s="96"/>
      <c r="AR54" s="175" t="n">
        <v>0</v>
      </c>
    </row>
    <row r="55" s="175" customFormat="true" ht="17.25" hidden="true" customHeight="true" outlineLevel="0" collapsed="false">
      <c r="A55" s="230"/>
      <c r="D55" s="231"/>
      <c r="E55" s="232"/>
      <c r="F55" s="233"/>
      <c r="G55" s="232"/>
      <c r="H55" s="234"/>
      <c r="I55" s="235"/>
      <c r="J55" s="236"/>
      <c r="K55" s="237"/>
      <c r="L55" s="237"/>
      <c r="M55" s="237"/>
      <c r="N55" s="238"/>
      <c r="O55" s="237"/>
      <c r="P55" s="114"/>
      <c r="Q55" s="242"/>
      <c r="R55" s="242"/>
      <c r="W55" s="243"/>
      <c r="X55" s="96"/>
      <c r="Y55" s="96"/>
      <c r="Z55" s="96"/>
      <c r="AA55" s="96"/>
      <c r="AB55" s="96"/>
      <c r="AC55" s="96"/>
      <c r="AD55" s="96"/>
      <c r="AE55" s="96"/>
      <c r="AF55" s="96"/>
      <c r="AG55" s="96"/>
      <c r="AH55" s="96"/>
      <c r="AI55" s="96"/>
      <c r="AJ55" s="96"/>
      <c r="AK55" s="96"/>
      <c r="AL55" s="96"/>
      <c r="AM55" s="96"/>
      <c r="AN55" s="96"/>
      <c r="AO55" s="96"/>
      <c r="AP55" s="96"/>
      <c r="AQ55" s="96"/>
      <c r="AR55" s="175" t="n">
        <v>0</v>
      </c>
    </row>
    <row r="56" s="175" customFormat="true" ht="17.25" hidden="true" customHeight="true" outlineLevel="0" collapsed="false">
      <c r="A56" s="230"/>
      <c r="C56" s="117"/>
      <c r="D56" s="231"/>
      <c r="E56" s="232"/>
      <c r="F56" s="233"/>
      <c r="G56" s="232"/>
      <c r="H56" s="234"/>
      <c r="I56" s="235"/>
      <c r="J56" s="236"/>
      <c r="K56" s="237"/>
      <c r="L56" s="242"/>
      <c r="M56" s="242"/>
      <c r="N56" s="242"/>
      <c r="O56" s="242"/>
      <c r="P56" s="242"/>
      <c r="Q56" s="242"/>
      <c r="R56" s="242"/>
      <c r="W56" s="243"/>
      <c r="Y56" s="241"/>
      <c r="Z56" s="241"/>
      <c r="AA56" s="241"/>
      <c r="AB56" s="241"/>
      <c r="AC56" s="241"/>
      <c r="AD56" s="241"/>
      <c r="AE56" s="241"/>
      <c r="AF56" s="241"/>
      <c r="AG56" s="241"/>
      <c r="AH56" s="241"/>
      <c r="AI56" s="241"/>
      <c r="AJ56" s="241"/>
      <c r="AK56" s="241"/>
      <c r="AL56" s="241"/>
      <c r="AM56" s="241"/>
      <c r="AN56" s="241"/>
      <c r="AO56" s="241"/>
      <c r="AP56" s="241"/>
      <c r="AQ56" s="241"/>
      <c r="AR56" s="175" t="n">
        <v>0</v>
      </c>
    </row>
    <row r="57" s="175" customFormat="true" ht="17.25" hidden="true" customHeight="true" outlineLevel="0" collapsed="false">
      <c r="A57" s="230"/>
      <c r="D57" s="231"/>
      <c r="E57" s="232"/>
      <c r="F57" s="233"/>
      <c r="G57" s="232"/>
      <c r="H57" s="244"/>
      <c r="I57" s="245"/>
      <c r="J57" s="245"/>
      <c r="K57" s="245"/>
      <c r="L57" s="245"/>
      <c r="M57" s="245"/>
      <c r="N57" s="245"/>
      <c r="O57" s="245"/>
      <c r="P57" s="245"/>
      <c r="Q57" s="245"/>
      <c r="R57" s="245"/>
      <c r="S57" s="246"/>
      <c r="T57" s="246"/>
      <c r="U57" s="246"/>
      <c r="V57" s="246"/>
      <c r="W57" s="247"/>
      <c r="X57" s="96"/>
      <c r="Y57" s="96"/>
      <c r="Z57" s="96"/>
      <c r="AA57" s="96"/>
      <c r="AB57" s="96"/>
      <c r="AC57" s="96"/>
      <c r="AD57" s="96"/>
      <c r="AE57" s="96"/>
      <c r="AF57" s="96"/>
      <c r="AG57" s="96"/>
      <c r="AH57" s="96"/>
      <c r="AI57" s="96"/>
      <c r="AJ57" s="96"/>
      <c r="AK57" s="96"/>
      <c r="AL57" s="96"/>
      <c r="AM57" s="96"/>
      <c r="AN57" s="96"/>
      <c r="AO57" s="96"/>
      <c r="AP57" s="96"/>
      <c r="AQ57" s="96"/>
      <c r="AR57" s="175" t="n">
        <v>0</v>
      </c>
    </row>
    <row r="58" s="175" customFormat="true" ht="17.25" hidden="true" customHeight="true" outlineLevel="0" collapsed="false">
      <c r="A58" s="230"/>
      <c r="C58" s="117"/>
      <c r="D58" s="231" t="n">
        <v>9</v>
      </c>
      <c r="E58" s="232" t="s">
        <v>217</v>
      </c>
      <c r="F58" s="233" t="s">
        <v>19</v>
      </c>
      <c r="G58" s="232"/>
      <c r="H58" s="234"/>
      <c r="I58" s="235"/>
      <c r="J58" s="236"/>
      <c r="K58" s="237"/>
      <c r="L58" s="237"/>
      <c r="M58" s="237"/>
      <c r="N58" s="238"/>
      <c r="O58" s="237"/>
      <c r="P58" s="237"/>
      <c r="Q58" s="237"/>
      <c r="R58" s="239"/>
      <c r="S58" s="237"/>
      <c r="T58" s="237"/>
      <c r="U58" s="237"/>
      <c r="V58" s="239"/>
      <c r="W58" s="240"/>
      <c r="X58" s="241"/>
      <c r="Y58" s="241"/>
      <c r="Z58" s="241"/>
      <c r="AA58" s="241"/>
      <c r="AB58" s="241"/>
      <c r="AC58" s="241" t="s">
        <v>218</v>
      </c>
      <c r="AD58" s="241" t="s">
        <v>219</v>
      </c>
      <c r="AE58" s="241" t="s">
        <v>220</v>
      </c>
      <c r="AF58" s="241" t="s">
        <v>221</v>
      </c>
      <c r="AG58" s="241" t="s">
        <v>222</v>
      </c>
      <c r="AH58" s="241" t="str">
        <f aca="false">IF($E$58=0,"",$E$58)</f>
        <v>Плата за подключение (технологическое присоединение) к системе теплоснабжения (индивидуальная)</v>
      </c>
      <c r="AI58" s="241" t="str">
        <f aca="false">IF($G$58=0,"",$G$58)</f>
        <v/>
      </c>
      <c r="AJ58" s="241" t="str">
        <f aca="false">IF($J$58=0,"",$J$58)</f>
        <v/>
      </c>
      <c r="AK58" s="241" t="str">
        <f aca="false">IF($K$58="нет","без дифференциации",IF($N$58=0,"",$N$58))</f>
        <v/>
      </c>
      <c r="AL58" s="241" t="str">
        <f aca="false">IF($O$58="нет","без дифференциации",IF($R$58=0,"",$R$58))</f>
        <v/>
      </c>
      <c r="AM58" s="241" t="str">
        <f aca="false">IF($S$58="нет","без дифференциации",IF($V$58=0,"",$V$58))</f>
        <v/>
      </c>
      <c r="AN58" s="249" t="n">
        <f aca="false">$I$58</f>
        <v>0</v>
      </c>
      <c r="AO58" s="241" t="str">
        <f aca="false">$I$58&amp;"."&amp;$M$58</f>
        <v>.</v>
      </c>
      <c r="AP58" s="96" t="str">
        <f aca="false">$I$58&amp;"."&amp;$M$58&amp;"."&amp;$Q$58</f>
        <v>..</v>
      </c>
      <c r="AQ58" s="96" t="str">
        <f aca="false">$I$58&amp;"."&amp;$M$58&amp;"."&amp;$Q$58&amp;"."&amp;$U$58</f>
        <v>...</v>
      </c>
      <c r="AR58" s="175" t="n">
        <v>0</v>
      </c>
    </row>
    <row r="59" s="175" customFormat="true" ht="17.25" hidden="true" customHeight="true" outlineLevel="0" collapsed="false">
      <c r="A59" s="230"/>
      <c r="D59" s="231"/>
      <c r="E59" s="232"/>
      <c r="F59" s="233"/>
      <c r="G59" s="232"/>
      <c r="H59" s="234"/>
      <c r="I59" s="235"/>
      <c r="J59" s="236"/>
      <c r="K59" s="237"/>
      <c r="L59" s="237"/>
      <c r="M59" s="237"/>
      <c r="N59" s="238"/>
      <c r="O59" s="237"/>
      <c r="P59" s="237"/>
      <c r="Q59" s="237"/>
      <c r="R59" s="239"/>
      <c r="S59" s="237"/>
      <c r="T59" s="242"/>
      <c r="U59" s="242"/>
      <c r="V59" s="242"/>
      <c r="W59" s="243"/>
      <c r="X59" s="96"/>
      <c r="Y59" s="96"/>
      <c r="Z59" s="96"/>
      <c r="AA59" s="96"/>
      <c r="AB59" s="96"/>
      <c r="AC59" s="96"/>
      <c r="AD59" s="96"/>
      <c r="AE59" s="96"/>
      <c r="AF59" s="96"/>
      <c r="AG59" s="96"/>
      <c r="AH59" s="96"/>
      <c r="AI59" s="96"/>
      <c r="AJ59" s="96"/>
      <c r="AK59" s="96"/>
      <c r="AL59" s="96"/>
      <c r="AM59" s="96"/>
      <c r="AN59" s="96"/>
      <c r="AO59" s="96"/>
      <c r="AP59" s="96"/>
      <c r="AQ59" s="96"/>
      <c r="AR59" s="175" t="n">
        <v>0</v>
      </c>
    </row>
    <row r="60" s="175" customFormat="true" ht="17.25" hidden="true" customHeight="true" outlineLevel="0" collapsed="false">
      <c r="A60" s="230"/>
      <c r="D60" s="231"/>
      <c r="E60" s="232"/>
      <c r="F60" s="233"/>
      <c r="G60" s="232"/>
      <c r="H60" s="234"/>
      <c r="I60" s="235"/>
      <c r="J60" s="236"/>
      <c r="K60" s="237"/>
      <c r="L60" s="237"/>
      <c r="M60" s="237"/>
      <c r="N60" s="238"/>
      <c r="O60" s="237"/>
      <c r="P60" s="114"/>
      <c r="Q60" s="242"/>
      <c r="R60" s="242"/>
      <c r="W60" s="243"/>
      <c r="X60" s="96"/>
      <c r="Y60" s="96"/>
      <c r="Z60" s="96"/>
      <c r="AA60" s="96"/>
      <c r="AB60" s="96"/>
      <c r="AC60" s="96"/>
      <c r="AD60" s="96"/>
      <c r="AE60" s="96"/>
      <c r="AF60" s="96"/>
      <c r="AG60" s="96"/>
      <c r="AH60" s="96"/>
      <c r="AI60" s="96"/>
      <c r="AJ60" s="96"/>
      <c r="AK60" s="96"/>
      <c r="AL60" s="96"/>
      <c r="AM60" s="96"/>
      <c r="AN60" s="96"/>
      <c r="AO60" s="96"/>
      <c r="AP60" s="96"/>
      <c r="AQ60" s="96"/>
      <c r="AR60" s="175" t="n">
        <v>0</v>
      </c>
    </row>
    <row r="61" s="175" customFormat="true" ht="17.25" hidden="true" customHeight="true" outlineLevel="0" collapsed="false">
      <c r="A61" s="230"/>
      <c r="C61" s="117"/>
      <c r="D61" s="231"/>
      <c r="E61" s="232"/>
      <c r="F61" s="233"/>
      <c r="G61" s="232"/>
      <c r="H61" s="234"/>
      <c r="I61" s="235"/>
      <c r="J61" s="236"/>
      <c r="K61" s="237"/>
      <c r="L61" s="242"/>
      <c r="M61" s="242"/>
      <c r="N61" s="242"/>
      <c r="O61" s="242"/>
      <c r="P61" s="242"/>
      <c r="Q61" s="242"/>
      <c r="R61" s="242"/>
      <c r="W61" s="243"/>
      <c r="Y61" s="241"/>
      <c r="Z61" s="241"/>
      <c r="AA61" s="241"/>
      <c r="AB61" s="241"/>
      <c r="AC61" s="241"/>
      <c r="AD61" s="241"/>
      <c r="AE61" s="241"/>
      <c r="AF61" s="241"/>
      <c r="AG61" s="241"/>
      <c r="AH61" s="241"/>
      <c r="AI61" s="241"/>
      <c r="AJ61" s="241"/>
      <c r="AK61" s="241"/>
      <c r="AL61" s="241"/>
      <c r="AM61" s="241"/>
      <c r="AN61" s="241"/>
      <c r="AO61" s="241"/>
      <c r="AP61" s="241"/>
      <c r="AQ61" s="241"/>
      <c r="AR61" s="175" t="n">
        <v>0</v>
      </c>
    </row>
    <row r="62" s="175" customFormat="true" ht="17.25" hidden="true" customHeight="true" outlineLevel="0" collapsed="false">
      <c r="A62" s="230"/>
      <c r="D62" s="231"/>
      <c r="E62" s="232"/>
      <c r="F62" s="233"/>
      <c r="G62" s="232"/>
      <c r="H62" s="244"/>
      <c r="I62" s="245"/>
      <c r="J62" s="245"/>
      <c r="K62" s="245"/>
      <c r="L62" s="245"/>
      <c r="M62" s="245"/>
      <c r="N62" s="245"/>
      <c r="O62" s="245"/>
      <c r="P62" s="245"/>
      <c r="Q62" s="245"/>
      <c r="R62" s="245"/>
      <c r="S62" s="246"/>
      <c r="T62" s="246"/>
      <c r="U62" s="246"/>
      <c r="V62" s="246"/>
      <c r="W62" s="247"/>
      <c r="X62" s="96"/>
      <c r="Y62" s="96"/>
      <c r="Z62" s="96"/>
      <c r="AA62" s="96"/>
      <c r="AB62" s="96"/>
      <c r="AC62" s="96"/>
      <c r="AD62" s="96"/>
      <c r="AE62" s="96"/>
      <c r="AF62" s="96"/>
      <c r="AG62" s="96"/>
      <c r="AH62" s="96"/>
      <c r="AI62" s="96"/>
      <c r="AJ62" s="96"/>
      <c r="AK62" s="96"/>
      <c r="AL62" s="96"/>
      <c r="AM62" s="96"/>
      <c r="AN62" s="96"/>
      <c r="AO62" s="96"/>
      <c r="AP62" s="96"/>
      <c r="AQ62" s="96"/>
      <c r="AR62" s="175" t="n">
        <v>0</v>
      </c>
    </row>
    <row r="63" s="175" customFormat="true" ht="17.25" hidden="true" customHeight="true" outlineLevel="0" collapsed="false">
      <c r="A63" s="230"/>
      <c r="C63" s="117"/>
      <c r="D63" s="231" t="n">
        <v>10</v>
      </c>
      <c r="E63" s="232" t="s">
        <v>223</v>
      </c>
      <c r="F63" s="233" t="s">
        <v>19</v>
      </c>
      <c r="G63" s="232"/>
      <c r="H63" s="234"/>
      <c r="I63" s="235"/>
      <c r="J63" s="236"/>
      <c r="K63" s="237"/>
      <c r="L63" s="237"/>
      <c r="M63" s="237"/>
      <c r="N63" s="238"/>
      <c r="O63" s="237"/>
      <c r="P63" s="237"/>
      <c r="Q63" s="237"/>
      <c r="R63" s="239"/>
      <c r="S63" s="237"/>
      <c r="T63" s="237"/>
      <c r="U63" s="237"/>
      <c r="V63" s="239"/>
      <c r="W63" s="240"/>
      <c r="X63" s="241"/>
      <c r="Y63" s="241"/>
      <c r="Z63" s="241"/>
      <c r="AA63" s="241"/>
      <c r="AB63" s="241"/>
      <c r="AC63" s="241" t="s">
        <v>224</v>
      </c>
      <c r="AD63" s="241" t="s">
        <v>225</v>
      </c>
      <c r="AE63" s="241" t="s">
        <v>226</v>
      </c>
      <c r="AF63" s="241" t="s">
        <v>227</v>
      </c>
      <c r="AG63" s="241" t="s">
        <v>228</v>
      </c>
      <c r="AH63" s="241" t="str">
        <f aca="false">IF($E$63=0,"",$E$63)</f>
        <v>Предельный уровень цены на тепловую энергию (мощность), поставляемую теплоснабжающими организациями потребителям</v>
      </c>
      <c r="AI63" s="241" t="str">
        <f aca="false">IF($G$63=0,"",$G$63)</f>
        <v/>
      </c>
      <c r="AJ63" s="241" t="str">
        <f aca="false">IF($J$63=0,"",$J$63)</f>
        <v/>
      </c>
      <c r="AK63" s="241" t="str">
        <f aca="false">IF($K$63="нет","без дифференциации",IF($N$63=0,"",$N$63))</f>
        <v/>
      </c>
      <c r="AL63" s="241" t="str">
        <f aca="false">IF($O$63="нет","без дифференциации",IF($R$63=0,"",$R$63))</f>
        <v/>
      </c>
      <c r="AM63" s="241" t="str">
        <f aca="false">IF($S$63="нет","без дифференциации",IF($V$63=0,"",$V$63))</f>
        <v/>
      </c>
      <c r="AN63" s="249" t="n">
        <f aca="false">$I$63</f>
        <v>0</v>
      </c>
      <c r="AO63" s="241" t="str">
        <f aca="false">$I$63&amp;"."&amp;$M$63</f>
        <v>.</v>
      </c>
      <c r="AP63" s="96" t="str">
        <f aca="false">$I$63&amp;"."&amp;$M$63&amp;"."&amp;$Q$63</f>
        <v>..</v>
      </c>
      <c r="AQ63" s="96" t="str">
        <f aca="false">$I$63&amp;"."&amp;$M$63&amp;"."&amp;$Q$63&amp;"."&amp;$U$63</f>
        <v>...</v>
      </c>
      <c r="AR63" s="175" t="n">
        <v>0</v>
      </c>
    </row>
    <row r="64" s="175" customFormat="true" ht="17.25" hidden="true" customHeight="true" outlineLevel="0" collapsed="false">
      <c r="A64" s="230"/>
      <c r="D64" s="231"/>
      <c r="E64" s="232"/>
      <c r="F64" s="233"/>
      <c r="G64" s="232"/>
      <c r="H64" s="234"/>
      <c r="I64" s="235"/>
      <c r="J64" s="236"/>
      <c r="K64" s="237"/>
      <c r="L64" s="237"/>
      <c r="M64" s="237"/>
      <c r="N64" s="238"/>
      <c r="O64" s="237"/>
      <c r="P64" s="237"/>
      <c r="Q64" s="237"/>
      <c r="R64" s="239"/>
      <c r="S64" s="237"/>
      <c r="T64" s="242"/>
      <c r="U64" s="242"/>
      <c r="V64" s="242"/>
      <c r="W64" s="243"/>
      <c r="X64" s="96"/>
      <c r="Y64" s="96"/>
      <c r="Z64" s="96"/>
      <c r="AA64" s="96"/>
      <c r="AB64" s="96"/>
      <c r="AC64" s="96"/>
      <c r="AD64" s="96"/>
      <c r="AE64" s="96"/>
      <c r="AF64" s="96"/>
      <c r="AG64" s="96"/>
      <c r="AH64" s="96"/>
      <c r="AI64" s="96"/>
      <c r="AJ64" s="96"/>
      <c r="AK64" s="96"/>
      <c r="AL64" s="96"/>
      <c r="AM64" s="96"/>
      <c r="AN64" s="96"/>
      <c r="AO64" s="96"/>
      <c r="AP64" s="96"/>
      <c r="AQ64" s="96"/>
      <c r="AR64" s="175" t="n">
        <v>0</v>
      </c>
    </row>
    <row r="65" s="175" customFormat="true" ht="17.25" hidden="true" customHeight="true" outlineLevel="0" collapsed="false">
      <c r="A65" s="230"/>
      <c r="D65" s="231"/>
      <c r="E65" s="232"/>
      <c r="F65" s="233"/>
      <c r="G65" s="232"/>
      <c r="H65" s="234"/>
      <c r="I65" s="235"/>
      <c r="J65" s="236"/>
      <c r="K65" s="237"/>
      <c r="L65" s="237"/>
      <c r="M65" s="237"/>
      <c r="N65" s="238"/>
      <c r="O65" s="237"/>
      <c r="P65" s="114"/>
      <c r="Q65" s="242"/>
      <c r="R65" s="242"/>
      <c r="W65" s="243"/>
      <c r="X65" s="96"/>
      <c r="Y65" s="96"/>
      <c r="Z65" s="96"/>
      <c r="AA65" s="96"/>
      <c r="AB65" s="96"/>
      <c r="AC65" s="96"/>
      <c r="AD65" s="96"/>
      <c r="AE65" s="96"/>
      <c r="AF65" s="96"/>
      <c r="AG65" s="96"/>
      <c r="AH65" s="96"/>
      <c r="AI65" s="96"/>
      <c r="AJ65" s="96"/>
      <c r="AK65" s="96"/>
      <c r="AL65" s="96"/>
      <c r="AM65" s="96"/>
      <c r="AN65" s="96"/>
      <c r="AO65" s="96"/>
      <c r="AP65" s="96"/>
      <c r="AQ65" s="96"/>
      <c r="AR65" s="175" t="n">
        <v>0</v>
      </c>
    </row>
    <row r="66" s="175" customFormat="true" ht="17.25" hidden="true" customHeight="true" outlineLevel="0" collapsed="false">
      <c r="A66" s="230"/>
      <c r="C66" s="117"/>
      <c r="D66" s="231"/>
      <c r="E66" s="232"/>
      <c r="F66" s="233"/>
      <c r="G66" s="232"/>
      <c r="H66" s="234"/>
      <c r="I66" s="235"/>
      <c r="J66" s="236"/>
      <c r="K66" s="237"/>
      <c r="L66" s="242"/>
      <c r="M66" s="242"/>
      <c r="N66" s="242"/>
      <c r="O66" s="242"/>
      <c r="P66" s="242"/>
      <c r="Q66" s="242"/>
      <c r="R66" s="242"/>
      <c r="W66" s="243"/>
      <c r="Y66" s="241"/>
      <c r="Z66" s="241"/>
      <c r="AA66" s="241"/>
      <c r="AB66" s="241"/>
      <c r="AC66" s="241"/>
      <c r="AD66" s="241"/>
      <c r="AE66" s="241"/>
      <c r="AF66" s="241"/>
      <c r="AG66" s="241"/>
      <c r="AH66" s="241"/>
      <c r="AI66" s="241"/>
      <c r="AJ66" s="241"/>
      <c r="AK66" s="241"/>
      <c r="AL66" s="241"/>
      <c r="AM66" s="241"/>
      <c r="AN66" s="241"/>
      <c r="AO66" s="241"/>
      <c r="AP66" s="241"/>
      <c r="AQ66" s="241"/>
      <c r="AR66" s="175" t="n">
        <v>0</v>
      </c>
    </row>
    <row r="67" s="175" customFormat="true" ht="17.25" hidden="true" customHeight="true" outlineLevel="0" collapsed="false">
      <c r="A67" s="230"/>
      <c r="D67" s="231"/>
      <c r="E67" s="232"/>
      <c r="F67" s="233"/>
      <c r="G67" s="232"/>
      <c r="H67" s="244"/>
      <c r="I67" s="245"/>
      <c r="J67" s="245"/>
      <c r="K67" s="245"/>
      <c r="L67" s="245"/>
      <c r="M67" s="245"/>
      <c r="N67" s="245"/>
      <c r="O67" s="245"/>
      <c r="P67" s="245"/>
      <c r="Q67" s="245"/>
      <c r="R67" s="245"/>
      <c r="S67" s="246"/>
      <c r="T67" s="246"/>
      <c r="U67" s="246"/>
      <c r="V67" s="246"/>
      <c r="W67" s="247"/>
      <c r="X67" s="96"/>
      <c r="Y67" s="96"/>
      <c r="Z67" s="96"/>
      <c r="AA67" s="96"/>
      <c r="AB67" s="96"/>
      <c r="AC67" s="96"/>
      <c r="AD67" s="96"/>
      <c r="AE67" s="96"/>
      <c r="AF67" s="96"/>
      <c r="AG67" s="96"/>
      <c r="AH67" s="96"/>
      <c r="AI67" s="96"/>
      <c r="AJ67" s="96"/>
      <c r="AK67" s="96"/>
      <c r="AL67" s="96"/>
      <c r="AM67" s="96"/>
      <c r="AN67" s="96"/>
      <c r="AO67" s="96"/>
      <c r="AP67" s="96"/>
      <c r="AQ67" s="96"/>
      <c r="AR67" s="175" t="n">
        <v>0</v>
      </c>
    </row>
    <row r="68" customFormat="false" ht="11.25" hidden="true" customHeight="true" outlineLevel="0" collapsed="false">
      <c r="AR68" s="175" t="n">
        <v>0</v>
      </c>
    </row>
    <row r="69" customFormat="false" ht="11.25" hidden="true" customHeight="true" outlineLevel="0" collapsed="false">
      <c r="E69" s="250" t="s">
        <v>229</v>
      </c>
      <c r="F69" s="250"/>
      <c r="G69" s="250"/>
      <c r="H69" s="250"/>
      <c r="I69" s="250"/>
      <c r="J69" s="250"/>
      <c r="K69" s="250"/>
      <c r="L69" s="250"/>
      <c r="M69" s="250"/>
      <c r="N69" s="250"/>
      <c r="O69" s="250"/>
      <c r="P69" s="250"/>
      <c r="Q69" s="250"/>
      <c r="R69" s="250"/>
      <c r="S69" s="250"/>
      <c r="T69" s="250"/>
      <c r="U69" s="250"/>
      <c r="V69" s="250"/>
      <c r="W69" s="250"/>
      <c r="AR69" s="175" t="n">
        <v>0</v>
      </c>
    </row>
    <row r="70" customFormat="false" ht="36.75" hidden="true" customHeight="true" outlineLevel="0" collapsed="false">
      <c r="E70" s="251" t="s">
        <v>230</v>
      </c>
      <c r="F70" s="251"/>
      <c r="G70" s="251"/>
      <c r="H70" s="251"/>
      <c r="I70" s="251"/>
      <c r="J70" s="251"/>
      <c r="K70" s="251"/>
      <c r="L70" s="251"/>
      <c r="M70" s="251"/>
      <c r="N70" s="251"/>
      <c r="O70" s="251"/>
      <c r="P70" s="251"/>
      <c r="Q70" s="251"/>
      <c r="R70" s="251"/>
      <c r="S70" s="251"/>
      <c r="T70" s="251"/>
      <c r="U70" s="251"/>
      <c r="V70" s="251"/>
      <c r="W70" s="251"/>
      <c r="AR70" s="175" t="n">
        <v>0</v>
      </c>
    </row>
    <row r="71" customFormat="false" ht="28.5" hidden="true" customHeight="true" outlineLevel="0" collapsed="false">
      <c r="E71" s="251" t="s">
        <v>231</v>
      </c>
      <c r="F71" s="251"/>
      <c r="G71" s="251"/>
      <c r="H71" s="251"/>
      <c r="I71" s="251"/>
      <c r="J71" s="251"/>
      <c r="K71" s="251"/>
      <c r="L71" s="251"/>
      <c r="M71" s="251"/>
      <c r="N71" s="251"/>
      <c r="O71" s="251"/>
      <c r="P71" s="251"/>
      <c r="Q71" s="251"/>
      <c r="R71" s="251"/>
      <c r="S71" s="251"/>
      <c r="T71" s="251"/>
      <c r="U71" s="251"/>
      <c r="V71" s="251"/>
      <c r="W71" s="251"/>
      <c r="AR71" s="175" t="n">
        <v>0</v>
      </c>
    </row>
    <row r="72" customFormat="false" ht="27" hidden="true" customHeight="true" outlineLevel="0" collapsed="false">
      <c r="E72" s="251" t="s">
        <v>232</v>
      </c>
      <c r="F72" s="251"/>
      <c r="G72" s="251"/>
      <c r="H72" s="251"/>
      <c r="I72" s="251"/>
      <c r="J72" s="251"/>
      <c r="K72" s="251"/>
      <c r="L72" s="251"/>
      <c r="M72" s="251"/>
      <c r="N72" s="251"/>
      <c r="O72" s="251"/>
      <c r="P72" s="251"/>
      <c r="Q72" s="251"/>
      <c r="R72" s="251"/>
      <c r="S72" s="251"/>
      <c r="T72" s="251"/>
      <c r="U72" s="251"/>
      <c r="V72" s="251"/>
      <c r="W72" s="251"/>
      <c r="AR72" s="175" t="n">
        <v>0</v>
      </c>
    </row>
    <row r="73" customFormat="false" ht="17.25" hidden="true" customHeight="true" outlineLevel="0" collapsed="false">
      <c r="E73" s="251" t="s">
        <v>233</v>
      </c>
      <c r="F73" s="251"/>
      <c r="G73" s="251"/>
      <c r="H73" s="251"/>
      <c r="I73" s="251"/>
      <c r="J73" s="251"/>
      <c r="K73" s="251"/>
      <c r="L73" s="251"/>
      <c r="M73" s="251"/>
      <c r="N73" s="251"/>
      <c r="O73" s="251"/>
      <c r="P73" s="251"/>
      <c r="Q73" s="251"/>
      <c r="R73" s="251"/>
      <c r="S73" s="251"/>
      <c r="T73" s="251"/>
      <c r="U73" s="251"/>
      <c r="V73" s="251"/>
      <c r="W73" s="251"/>
      <c r="AR73" s="175" t="n">
        <v>0</v>
      </c>
    </row>
    <row r="74" customFormat="false" ht="15" hidden="true" customHeight="true" outlineLevel="0" collapsed="false">
      <c r="E74" s="250"/>
      <c r="F74" s="250"/>
      <c r="G74" s="252"/>
      <c r="H74" s="252"/>
      <c r="I74" s="252"/>
      <c r="J74" s="252"/>
      <c r="K74" s="252"/>
      <c r="L74" s="252"/>
      <c r="M74" s="252"/>
      <c r="N74" s="252"/>
      <c r="O74" s="252"/>
      <c r="P74" s="252"/>
      <c r="Q74" s="252"/>
      <c r="R74" s="252"/>
      <c r="S74" s="252"/>
      <c r="T74" s="252"/>
      <c r="U74" s="252"/>
      <c r="V74" s="252"/>
      <c r="W74" s="252"/>
      <c r="AR74" s="175" t="n">
        <v>0</v>
      </c>
    </row>
    <row r="75" customFormat="false" ht="15" hidden="true" customHeight="true" outlineLevel="0" collapsed="false">
      <c r="E75" s="250" t="s">
        <v>234</v>
      </c>
      <c r="F75" s="250"/>
      <c r="G75" s="250"/>
      <c r="H75" s="250"/>
      <c r="I75" s="250"/>
      <c r="J75" s="250"/>
      <c r="K75" s="250"/>
      <c r="L75" s="250"/>
      <c r="M75" s="250"/>
      <c r="N75" s="250"/>
      <c r="O75" s="250"/>
      <c r="P75" s="250"/>
      <c r="Q75" s="250"/>
      <c r="R75" s="250"/>
      <c r="S75" s="250"/>
      <c r="T75" s="250"/>
      <c r="U75" s="250"/>
      <c r="V75" s="250"/>
      <c r="W75" s="250"/>
      <c r="AR75" s="175" t="n">
        <v>0</v>
      </c>
    </row>
    <row r="76" customFormat="false" ht="17.25" hidden="true" customHeight="true" outlineLevel="0" collapsed="false">
      <c r="E76" s="251" t="s">
        <v>235</v>
      </c>
      <c r="F76" s="251"/>
      <c r="G76" s="251"/>
      <c r="H76" s="251"/>
      <c r="I76" s="251"/>
      <c r="J76" s="251"/>
      <c r="K76" s="251"/>
      <c r="L76" s="251"/>
      <c r="M76" s="251"/>
      <c r="N76" s="251"/>
      <c r="O76" s="251"/>
      <c r="P76" s="251"/>
      <c r="Q76" s="251"/>
      <c r="R76" s="251"/>
      <c r="S76" s="251"/>
      <c r="T76" s="251"/>
      <c r="U76" s="251"/>
      <c r="V76" s="251"/>
      <c r="W76" s="251"/>
      <c r="AR76" s="175" t="n">
        <v>0</v>
      </c>
    </row>
    <row r="77" customFormat="false" ht="17.25" hidden="true" customHeight="true" outlineLevel="0" collapsed="false">
      <c r="E77" s="251" t="s">
        <v>236</v>
      </c>
      <c r="F77" s="251"/>
      <c r="G77" s="251"/>
      <c r="H77" s="251"/>
      <c r="I77" s="251"/>
      <c r="J77" s="251"/>
      <c r="K77" s="251"/>
      <c r="L77" s="251"/>
      <c r="M77" s="251"/>
      <c r="N77" s="251"/>
      <c r="O77" s="251"/>
      <c r="P77" s="251"/>
      <c r="Q77" s="251"/>
      <c r="R77" s="251"/>
      <c r="S77" s="251"/>
      <c r="T77" s="251"/>
      <c r="U77" s="251"/>
      <c r="V77" s="251"/>
      <c r="W77" s="251"/>
      <c r="AR77" s="175" t="n">
        <v>0</v>
      </c>
    </row>
    <row r="78" s="175" customFormat="true" ht="11.25" hidden="true" customHeight="true" outlineLevel="0" collapsed="false">
      <c r="A78" s="118"/>
      <c r="B78" s="118"/>
      <c r="Y78" s="96"/>
      <c r="Z78" s="96"/>
      <c r="AA78" s="96"/>
      <c r="AB78" s="96"/>
      <c r="AC78" s="96"/>
      <c r="AD78" s="96"/>
      <c r="AE78" s="96"/>
      <c r="AF78" s="96"/>
      <c r="AG78" s="96"/>
      <c r="AH78" s="96"/>
      <c r="AI78" s="96"/>
      <c r="AJ78" s="96"/>
      <c r="AK78" s="96"/>
      <c r="AL78" s="96"/>
      <c r="AM78" s="96"/>
      <c r="AN78" s="96"/>
      <c r="AO78" s="96"/>
      <c r="AP78" s="96"/>
      <c r="AQ78" s="96"/>
      <c r="AR78" s="175" t="n">
        <v>0</v>
      </c>
    </row>
    <row r="79" s="175" customFormat="true" ht="17.25" hidden="true" customHeight="true" outlineLevel="0" collapsed="false">
      <c r="A79" s="230"/>
      <c r="C79" s="117"/>
      <c r="D79" s="231" t="n">
        <v>1</v>
      </c>
      <c r="E79" s="232" t="s">
        <v>237</v>
      </c>
      <c r="F79" s="233" t="s">
        <v>19</v>
      </c>
      <c r="G79" s="232"/>
      <c r="H79" s="234"/>
      <c r="I79" s="235"/>
      <c r="J79" s="236"/>
      <c r="K79" s="237"/>
      <c r="L79" s="237"/>
      <c r="M79" s="237"/>
      <c r="N79" s="238"/>
      <c r="O79" s="237"/>
      <c r="P79" s="237"/>
      <c r="Q79" s="237"/>
      <c r="R79" s="239"/>
      <c r="S79" s="237"/>
      <c r="T79" s="237"/>
      <c r="U79" s="237"/>
      <c r="V79" s="239"/>
      <c r="W79" s="240"/>
      <c r="Y79" s="241"/>
      <c r="Z79" s="241"/>
      <c r="AA79" s="241"/>
      <c r="AB79" s="241"/>
      <c r="AC79" s="241" t="s">
        <v>238</v>
      </c>
      <c r="AD79" s="241" t="s">
        <v>239</v>
      </c>
      <c r="AE79" s="241" t="s">
        <v>240</v>
      </c>
      <c r="AF79" s="241" t="s">
        <v>241</v>
      </c>
      <c r="AG79" s="241"/>
      <c r="AH79" s="241" t="str">
        <f aca="false">IF($E$79=0,"",$E$79)</f>
        <v>Тариф на питьевую воду (питьевое водоснабжение)</v>
      </c>
      <c r="AI79" s="241" t="str">
        <f aca="false">IF($G$79=0,"",$G$79)</f>
        <v/>
      </c>
      <c r="AJ79" s="241" t="str">
        <f aca="false">IF($J$79=0,"",$J$79)</f>
        <v/>
      </c>
      <c r="AK79" s="241" t="str">
        <f aca="false">IF($K$79="нет","без дифференциации",IF($N$79=0,"",$N$79))</f>
        <v/>
      </c>
      <c r="AL79" s="241" t="str">
        <f aca="false">IF($O$79="нет","без дифференциации",IF($R$79=0,"",$R$79))</f>
        <v/>
      </c>
      <c r="AM79" s="241" t="str">
        <f aca="false">IF($S$79="нет","без дифференциации",IF($V$79=0,"",$V$79))</f>
        <v/>
      </c>
      <c r="AN79" s="241" t="n">
        <f aca="false">$I$79</f>
        <v>0</v>
      </c>
      <c r="AO79" s="241" t="str">
        <f aca="false">$I$79&amp;"."&amp;$M$79</f>
        <v>.</v>
      </c>
      <c r="AP79" s="241" t="str">
        <f aca="false">$I$79&amp;"."&amp;$M$79&amp;"."&amp;$Q$79</f>
        <v>..</v>
      </c>
      <c r="AQ79" s="241" t="str">
        <f aca="false">$I$79&amp;"."&amp;$M$79&amp;"."&amp;$Q$79&amp;"."&amp;$U$79</f>
        <v>...</v>
      </c>
      <c r="AR79" s="175" t="n">
        <v>0</v>
      </c>
    </row>
    <row r="80" s="175" customFormat="true" ht="17.25" hidden="true" customHeight="true" outlineLevel="0" collapsed="false">
      <c r="A80" s="230"/>
      <c r="D80" s="231"/>
      <c r="E80" s="232"/>
      <c r="F80" s="233"/>
      <c r="G80" s="232"/>
      <c r="H80" s="234"/>
      <c r="I80" s="235"/>
      <c r="J80" s="236"/>
      <c r="K80" s="237"/>
      <c r="L80" s="237"/>
      <c r="M80" s="237"/>
      <c r="N80" s="238"/>
      <c r="O80" s="237"/>
      <c r="P80" s="237"/>
      <c r="Q80" s="237"/>
      <c r="R80" s="239"/>
      <c r="S80" s="237"/>
      <c r="T80" s="242"/>
      <c r="U80" s="242"/>
      <c r="V80" s="242"/>
      <c r="W80" s="243"/>
      <c r="Y80" s="96"/>
      <c r="Z80" s="96"/>
      <c r="AA80" s="96"/>
      <c r="AB80" s="96"/>
      <c r="AC80" s="96"/>
      <c r="AD80" s="96"/>
      <c r="AE80" s="96"/>
      <c r="AF80" s="96"/>
      <c r="AG80" s="96"/>
      <c r="AH80" s="96"/>
      <c r="AI80" s="96"/>
      <c r="AJ80" s="96"/>
      <c r="AK80" s="96"/>
      <c r="AL80" s="96"/>
      <c r="AM80" s="96"/>
      <c r="AN80" s="96"/>
      <c r="AO80" s="96"/>
      <c r="AP80" s="96"/>
      <c r="AQ80" s="96"/>
      <c r="AR80" s="175" t="n">
        <v>0</v>
      </c>
    </row>
    <row r="81" s="175" customFormat="true" ht="17.25" hidden="true" customHeight="true" outlineLevel="0" collapsed="false">
      <c r="A81" s="230"/>
      <c r="C81" s="117"/>
      <c r="D81" s="231"/>
      <c r="E81" s="232"/>
      <c r="F81" s="233"/>
      <c r="G81" s="232"/>
      <c r="H81" s="234"/>
      <c r="I81" s="235"/>
      <c r="J81" s="236"/>
      <c r="K81" s="237"/>
      <c r="L81" s="237"/>
      <c r="M81" s="237"/>
      <c r="N81" s="238"/>
      <c r="O81" s="237"/>
      <c r="P81" s="114"/>
      <c r="Q81" s="242"/>
      <c r="R81" s="242"/>
      <c r="W81" s="243"/>
      <c r="Y81" s="241"/>
      <c r="Z81" s="241"/>
      <c r="AA81" s="241"/>
      <c r="AB81" s="241"/>
      <c r="AC81" s="241"/>
      <c r="AD81" s="241"/>
      <c r="AE81" s="241"/>
      <c r="AF81" s="241"/>
      <c r="AG81" s="241"/>
      <c r="AH81" s="241"/>
      <c r="AI81" s="241"/>
      <c r="AJ81" s="241"/>
      <c r="AK81" s="241"/>
      <c r="AL81" s="241"/>
      <c r="AM81" s="241"/>
      <c r="AN81" s="241"/>
      <c r="AO81" s="241"/>
      <c r="AP81" s="241"/>
      <c r="AQ81" s="241"/>
      <c r="AR81" s="175" t="n">
        <v>0</v>
      </c>
    </row>
    <row r="82" s="175" customFormat="true" ht="17.25" hidden="true" customHeight="true" outlineLevel="0" collapsed="false">
      <c r="A82" s="230"/>
      <c r="D82" s="231"/>
      <c r="E82" s="232"/>
      <c r="F82" s="233"/>
      <c r="G82" s="232"/>
      <c r="H82" s="234"/>
      <c r="I82" s="235"/>
      <c r="J82" s="236"/>
      <c r="K82" s="237"/>
      <c r="L82" s="242"/>
      <c r="M82" s="242"/>
      <c r="N82" s="242"/>
      <c r="O82" s="242"/>
      <c r="P82" s="242"/>
      <c r="Q82" s="242"/>
      <c r="R82" s="242"/>
      <c r="W82" s="243"/>
      <c r="Y82" s="96"/>
      <c r="Z82" s="96"/>
      <c r="AA82" s="96"/>
      <c r="AB82" s="96"/>
      <c r="AC82" s="96"/>
      <c r="AD82" s="96"/>
      <c r="AE82" s="96"/>
      <c r="AF82" s="96"/>
      <c r="AG82" s="96"/>
      <c r="AH82" s="96"/>
      <c r="AI82" s="96"/>
      <c r="AJ82" s="96"/>
      <c r="AK82" s="96"/>
      <c r="AL82" s="96"/>
      <c r="AM82" s="96"/>
      <c r="AN82" s="96"/>
      <c r="AO82" s="96"/>
      <c r="AP82" s="96"/>
      <c r="AQ82" s="96"/>
      <c r="AR82" s="175" t="n">
        <v>0</v>
      </c>
    </row>
    <row r="83" s="175" customFormat="true" ht="17.25" hidden="true" customHeight="true" outlineLevel="0" collapsed="false">
      <c r="A83" s="230"/>
      <c r="D83" s="231"/>
      <c r="E83" s="232"/>
      <c r="F83" s="233"/>
      <c r="G83" s="232"/>
      <c r="H83" s="244"/>
      <c r="I83" s="245"/>
      <c r="J83" s="245"/>
      <c r="K83" s="245"/>
      <c r="L83" s="245"/>
      <c r="M83" s="245"/>
      <c r="N83" s="245"/>
      <c r="O83" s="245"/>
      <c r="P83" s="245"/>
      <c r="Q83" s="245"/>
      <c r="R83" s="245"/>
      <c r="S83" s="246"/>
      <c r="T83" s="246"/>
      <c r="U83" s="246"/>
      <c r="V83" s="246"/>
      <c r="W83" s="247"/>
      <c r="Y83" s="96"/>
      <c r="Z83" s="96"/>
      <c r="AA83" s="96"/>
      <c r="AB83" s="96"/>
      <c r="AC83" s="96"/>
      <c r="AD83" s="96"/>
      <c r="AE83" s="96"/>
      <c r="AF83" s="96"/>
      <c r="AG83" s="96"/>
      <c r="AH83" s="96"/>
      <c r="AI83" s="96"/>
      <c r="AJ83" s="96"/>
      <c r="AK83" s="96"/>
      <c r="AL83" s="96"/>
      <c r="AM83" s="96"/>
      <c r="AN83" s="96"/>
      <c r="AO83" s="96"/>
      <c r="AP83" s="96"/>
      <c r="AQ83" s="96"/>
      <c r="AR83" s="175" t="n">
        <v>0</v>
      </c>
    </row>
    <row r="84" s="175" customFormat="true" ht="17.25" hidden="true" customHeight="true" outlineLevel="0" collapsed="false">
      <c r="A84" s="230"/>
      <c r="C84" s="117"/>
      <c r="D84" s="231" t="n">
        <v>2</v>
      </c>
      <c r="E84" s="232" t="s">
        <v>242</v>
      </c>
      <c r="F84" s="233" t="s">
        <v>19</v>
      </c>
      <c r="G84" s="232"/>
      <c r="H84" s="234"/>
      <c r="I84" s="235"/>
      <c r="J84" s="236"/>
      <c r="K84" s="237"/>
      <c r="L84" s="237"/>
      <c r="M84" s="237"/>
      <c r="N84" s="238"/>
      <c r="O84" s="237"/>
      <c r="P84" s="237"/>
      <c r="Q84" s="237"/>
      <c r="R84" s="239"/>
      <c r="S84" s="237"/>
      <c r="T84" s="237"/>
      <c r="U84" s="237"/>
      <c r="V84" s="239"/>
      <c r="W84" s="240"/>
      <c r="X84" s="241"/>
      <c r="Y84" s="241"/>
      <c r="Z84" s="241"/>
      <c r="AA84" s="241"/>
      <c r="AB84" s="241"/>
      <c r="AC84" s="241" t="s">
        <v>243</v>
      </c>
      <c r="AD84" s="241" t="s">
        <v>244</v>
      </c>
      <c r="AE84" s="241" t="s">
        <v>245</v>
      </c>
      <c r="AF84" s="241" t="s">
        <v>246</v>
      </c>
      <c r="AG84" s="241"/>
      <c r="AH84" s="241" t="str">
        <f aca="false">IF($E$84=0,"",$E$84)</f>
        <v>Тариф на техническую воду</v>
      </c>
      <c r="AI84" s="241" t="str">
        <f aca="false">IF($G$84=0,"",$G$84)</f>
        <v/>
      </c>
      <c r="AJ84" s="241" t="str">
        <f aca="false">IF($J$84=0,"",$J$84)</f>
        <v/>
      </c>
      <c r="AK84" s="241" t="str">
        <f aca="false">IF($K$84="нет","без дифференциации",IF($N$84=0,"",$N$84))</f>
        <v/>
      </c>
      <c r="AL84" s="241" t="str">
        <f aca="false">IF($O$84="нет","без дифференциации",IF($R$84=0,"",$R$84))</f>
        <v/>
      </c>
      <c r="AM84" s="241" t="str">
        <f aca="false">IF($S$84="нет","без дифференциации",IF($V$84=0,"",$V$84))</f>
        <v/>
      </c>
      <c r="AN84" s="249" t="n">
        <f aca="false">$I$84</f>
        <v>0</v>
      </c>
      <c r="AO84" s="241" t="str">
        <f aca="false">$I$84&amp;"."&amp;$M$84</f>
        <v>.</v>
      </c>
      <c r="AP84" s="96" t="str">
        <f aca="false">$I$84&amp;"."&amp;$M$84&amp;"."&amp;$Q$84</f>
        <v>..</v>
      </c>
      <c r="AQ84" s="96" t="str">
        <f aca="false">$I$84&amp;"."&amp;$M$84&amp;"."&amp;$Q$84&amp;"."&amp;$U$84</f>
        <v>...</v>
      </c>
      <c r="AR84" s="175" t="n">
        <v>0</v>
      </c>
    </row>
    <row r="85" s="175" customFormat="true" ht="17.25" hidden="true" customHeight="true" outlineLevel="0" collapsed="false">
      <c r="A85" s="230"/>
      <c r="D85" s="231"/>
      <c r="E85" s="232"/>
      <c r="F85" s="233"/>
      <c r="G85" s="232"/>
      <c r="H85" s="234"/>
      <c r="I85" s="235"/>
      <c r="J85" s="236"/>
      <c r="K85" s="237"/>
      <c r="L85" s="237"/>
      <c r="M85" s="237"/>
      <c r="N85" s="238"/>
      <c r="O85" s="237"/>
      <c r="P85" s="237"/>
      <c r="Q85" s="237"/>
      <c r="R85" s="239"/>
      <c r="S85" s="237"/>
      <c r="T85" s="242"/>
      <c r="U85" s="242"/>
      <c r="V85" s="242"/>
      <c r="W85" s="243"/>
      <c r="X85" s="96"/>
      <c r="Y85" s="96"/>
      <c r="Z85" s="96"/>
      <c r="AA85" s="96"/>
      <c r="AB85" s="96"/>
      <c r="AC85" s="96"/>
      <c r="AD85" s="96"/>
      <c r="AE85" s="96"/>
      <c r="AF85" s="96"/>
      <c r="AG85" s="96"/>
      <c r="AH85" s="96"/>
      <c r="AI85" s="96"/>
      <c r="AJ85" s="96"/>
      <c r="AK85" s="96"/>
      <c r="AL85" s="96"/>
      <c r="AM85" s="96"/>
      <c r="AN85" s="96"/>
      <c r="AO85" s="96"/>
      <c r="AP85" s="96"/>
      <c r="AQ85" s="96"/>
      <c r="AR85" s="175" t="n">
        <v>0</v>
      </c>
    </row>
    <row r="86" s="175" customFormat="true" ht="17.25" hidden="true" customHeight="true" outlineLevel="0" collapsed="false">
      <c r="A86" s="230"/>
      <c r="D86" s="231"/>
      <c r="E86" s="232"/>
      <c r="F86" s="233"/>
      <c r="G86" s="232"/>
      <c r="H86" s="234"/>
      <c r="I86" s="235"/>
      <c r="J86" s="236"/>
      <c r="K86" s="237"/>
      <c r="L86" s="237"/>
      <c r="M86" s="237"/>
      <c r="N86" s="238"/>
      <c r="O86" s="237"/>
      <c r="P86" s="114"/>
      <c r="Q86" s="242"/>
      <c r="R86" s="242"/>
      <c r="W86" s="243"/>
      <c r="X86" s="96"/>
      <c r="Y86" s="96"/>
      <c r="Z86" s="96"/>
      <c r="AA86" s="96"/>
      <c r="AB86" s="96"/>
      <c r="AC86" s="96"/>
      <c r="AD86" s="96"/>
      <c r="AE86" s="96"/>
      <c r="AF86" s="96"/>
      <c r="AG86" s="96"/>
      <c r="AH86" s="96"/>
      <c r="AI86" s="96"/>
      <c r="AJ86" s="96"/>
      <c r="AK86" s="96"/>
      <c r="AL86" s="96"/>
      <c r="AM86" s="96"/>
      <c r="AN86" s="96"/>
      <c r="AO86" s="96"/>
      <c r="AP86" s="96"/>
      <c r="AQ86" s="96"/>
      <c r="AR86" s="175" t="n">
        <v>0</v>
      </c>
    </row>
    <row r="87" s="175" customFormat="true" ht="17.25" hidden="true" customHeight="true" outlineLevel="0" collapsed="false">
      <c r="A87" s="230"/>
      <c r="D87" s="231"/>
      <c r="E87" s="232"/>
      <c r="F87" s="233"/>
      <c r="G87" s="232"/>
      <c r="H87" s="234"/>
      <c r="I87" s="235"/>
      <c r="J87" s="236"/>
      <c r="K87" s="237"/>
      <c r="L87" s="242"/>
      <c r="M87" s="242"/>
      <c r="N87" s="242"/>
      <c r="O87" s="242"/>
      <c r="P87" s="242"/>
      <c r="Q87" s="242"/>
      <c r="R87" s="242"/>
      <c r="W87" s="243"/>
      <c r="X87" s="96"/>
      <c r="Y87" s="96"/>
      <c r="Z87" s="96"/>
      <c r="AA87" s="96"/>
      <c r="AB87" s="96"/>
      <c r="AC87" s="96"/>
      <c r="AD87" s="96"/>
      <c r="AE87" s="96"/>
      <c r="AF87" s="96"/>
      <c r="AG87" s="96"/>
      <c r="AH87" s="96"/>
      <c r="AI87" s="96"/>
      <c r="AJ87" s="96"/>
      <c r="AK87" s="96"/>
      <c r="AL87" s="96"/>
      <c r="AM87" s="96"/>
      <c r="AN87" s="96"/>
      <c r="AO87" s="96"/>
      <c r="AP87" s="96"/>
      <c r="AQ87" s="96"/>
      <c r="AR87" s="175" t="n">
        <v>0</v>
      </c>
    </row>
    <row r="88" s="175" customFormat="true" ht="17.25" hidden="true" customHeight="true" outlineLevel="0" collapsed="false">
      <c r="A88" s="230"/>
      <c r="D88" s="231"/>
      <c r="E88" s="232"/>
      <c r="F88" s="233"/>
      <c r="G88" s="232"/>
      <c r="H88" s="244"/>
      <c r="I88" s="245"/>
      <c r="J88" s="245"/>
      <c r="K88" s="245"/>
      <c r="L88" s="245"/>
      <c r="M88" s="245"/>
      <c r="N88" s="245"/>
      <c r="O88" s="245"/>
      <c r="P88" s="245"/>
      <c r="Q88" s="245"/>
      <c r="R88" s="245"/>
      <c r="S88" s="246"/>
      <c r="T88" s="246"/>
      <c r="U88" s="246"/>
      <c r="V88" s="246"/>
      <c r="W88" s="247"/>
      <c r="X88" s="96"/>
      <c r="Y88" s="96"/>
      <c r="Z88" s="96"/>
      <c r="AA88" s="96"/>
      <c r="AB88" s="96"/>
      <c r="AC88" s="96"/>
      <c r="AD88" s="96"/>
      <c r="AE88" s="96"/>
      <c r="AF88" s="96"/>
      <c r="AG88" s="96"/>
      <c r="AH88" s="96"/>
      <c r="AI88" s="96"/>
      <c r="AJ88" s="96"/>
      <c r="AK88" s="96"/>
      <c r="AL88" s="96"/>
      <c r="AM88" s="96"/>
      <c r="AN88" s="96"/>
      <c r="AO88" s="96"/>
      <c r="AP88" s="96"/>
      <c r="AQ88" s="96"/>
      <c r="AR88" s="175" t="n">
        <v>0</v>
      </c>
    </row>
    <row r="89" s="175" customFormat="true" ht="17.25" hidden="true" customHeight="true" outlineLevel="0" collapsed="false">
      <c r="A89" s="230"/>
      <c r="C89" s="117"/>
      <c r="D89" s="231" t="n">
        <v>3</v>
      </c>
      <c r="E89" s="232" t="s">
        <v>247</v>
      </c>
      <c r="F89" s="233" t="s">
        <v>19</v>
      </c>
      <c r="G89" s="232"/>
      <c r="H89" s="234"/>
      <c r="I89" s="235"/>
      <c r="J89" s="236"/>
      <c r="K89" s="237"/>
      <c r="L89" s="237"/>
      <c r="M89" s="237"/>
      <c r="N89" s="238"/>
      <c r="O89" s="237"/>
      <c r="P89" s="237"/>
      <c r="Q89" s="237"/>
      <c r="R89" s="239"/>
      <c r="S89" s="237"/>
      <c r="T89" s="237"/>
      <c r="U89" s="237"/>
      <c r="V89" s="239"/>
      <c r="W89" s="240"/>
      <c r="X89" s="241"/>
      <c r="Y89" s="241"/>
      <c r="Z89" s="241"/>
      <c r="AA89" s="241"/>
      <c r="AB89" s="241"/>
      <c r="AC89" s="241" t="s">
        <v>248</v>
      </c>
      <c r="AD89" s="241" t="s">
        <v>249</v>
      </c>
      <c r="AE89" s="241" t="s">
        <v>250</v>
      </c>
      <c r="AF89" s="241" t="s">
        <v>251</v>
      </c>
      <c r="AG89" s="241"/>
      <c r="AH89" s="241" t="str">
        <f aca="false">IF($E$89=0,"",$E$89)</f>
        <v>Тариф на транспортировку воды</v>
      </c>
      <c r="AI89" s="241" t="str">
        <f aca="false">IF($G$89=0,"",$G$89)</f>
        <v/>
      </c>
      <c r="AJ89" s="241" t="str">
        <f aca="false">IF($J$89=0,"",$J$89)</f>
        <v/>
      </c>
      <c r="AK89" s="241" t="str">
        <f aca="false">IF($K$89="нет","без дифференциации",IF($N$89=0,"",$N$89))</f>
        <v/>
      </c>
      <c r="AL89" s="241" t="str">
        <f aca="false">IF($O$89="нет","без дифференциации",IF($R$89=0,"",$R$89))</f>
        <v/>
      </c>
      <c r="AM89" s="241" t="str">
        <f aca="false">IF($S$89="нет","без дифференциации",IF($V$89=0,"",$V$89))</f>
        <v/>
      </c>
      <c r="AN89" s="249" t="n">
        <f aca="false">$I$89</f>
        <v>0</v>
      </c>
      <c r="AO89" s="241" t="str">
        <f aca="false">$I$89&amp;"."&amp;$M$89</f>
        <v>.</v>
      </c>
      <c r="AP89" s="96" t="str">
        <f aca="false">$I$89&amp;"."&amp;$M$89&amp;"."&amp;$Q$89</f>
        <v>..</v>
      </c>
      <c r="AQ89" s="96" t="str">
        <f aca="false">$I$89&amp;"."&amp;$M$89&amp;"."&amp;$Q$89&amp;"."&amp;$U$89</f>
        <v>...</v>
      </c>
      <c r="AR89" s="175" t="n">
        <v>0</v>
      </c>
    </row>
    <row r="90" s="175" customFormat="true" ht="17.25" hidden="true" customHeight="true" outlineLevel="0" collapsed="false">
      <c r="A90" s="230"/>
      <c r="D90" s="231"/>
      <c r="E90" s="232"/>
      <c r="F90" s="233"/>
      <c r="G90" s="232"/>
      <c r="H90" s="234"/>
      <c r="I90" s="235"/>
      <c r="J90" s="236"/>
      <c r="K90" s="237"/>
      <c r="L90" s="237"/>
      <c r="M90" s="237"/>
      <c r="N90" s="238"/>
      <c r="O90" s="237"/>
      <c r="P90" s="237"/>
      <c r="Q90" s="237"/>
      <c r="R90" s="239"/>
      <c r="S90" s="237"/>
      <c r="T90" s="242"/>
      <c r="U90" s="242"/>
      <c r="V90" s="242"/>
      <c r="W90" s="243"/>
      <c r="X90" s="96"/>
      <c r="Y90" s="96"/>
      <c r="Z90" s="96"/>
      <c r="AA90" s="96"/>
      <c r="AB90" s="96"/>
      <c r="AC90" s="96"/>
      <c r="AD90" s="96"/>
      <c r="AE90" s="96"/>
      <c r="AF90" s="96"/>
      <c r="AG90" s="96"/>
      <c r="AH90" s="96"/>
      <c r="AI90" s="96"/>
      <c r="AJ90" s="96"/>
      <c r="AK90" s="96"/>
      <c r="AL90" s="96"/>
      <c r="AM90" s="96"/>
      <c r="AN90" s="96"/>
      <c r="AO90" s="96"/>
      <c r="AP90" s="96"/>
      <c r="AQ90" s="96"/>
      <c r="AR90" s="175" t="n">
        <v>0</v>
      </c>
    </row>
    <row r="91" s="175" customFormat="true" ht="17.25" hidden="true" customHeight="true" outlineLevel="0" collapsed="false">
      <c r="A91" s="230"/>
      <c r="D91" s="231"/>
      <c r="E91" s="232"/>
      <c r="F91" s="233"/>
      <c r="G91" s="232"/>
      <c r="H91" s="234"/>
      <c r="I91" s="235"/>
      <c r="J91" s="236"/>
      <c r="K91" s="237"/>
      <c r="L91" s="237"/>
      <c r="M91" s="237"/>
      <c r="N91" s="238"/>
      <c r="O91" s="237"/>
      <c r="P91" s="114"/>
      <c r="Q91" s="242"/>
      <c r="R91" s="242"/>
      <c r="W91" s="243"/>
      <c r="X91" s="96"/>
      <c r="Y91" s="96"/>
      <c r="Z91" s="96"/>
      <c r="AA91" s="96"/>
      <c r="AB91" s="96"/>
      <c r="AC91" s="96"/>
      <c r="AD91" s="96"/>
      <c r="AE91" s="96"/>
      <c r="AF91" s="96"/>
      <c r="AG91" s="96"/>
      <c r="AH91" s="96"/>
      <c r="AI91" s="96"/>
      <c r="AJ91" s="96"/>
      <c r="AK91" s="96"/>
      <c r="AL91" s="96"/>
      <c r="AM91" s="96"/>
      <c r="AN91" s="96"/>
      <c r="AO91" s="96"/>
      <c r="AP91" s="96"/>
      <c r="AQ91" s="96"/>
      <c r="AR91" s="175" t="n">
        <v>0</v>
      </c>
    </row>
    <row r="92" s="175" customFormat="true" ht="17.25" hidden="true" customHeight="true" outlineLevel="0" collapsed="false">
      <c r="A92" s="230"/>
      <c r="D92" s="231"/>
      <c r="E92" s="232"/>
      <c r="F92" s="233"/>
      <c r="G92" s="232"/>
      <c r="H92" s="234"/>
      <c r="I92" s="235"/>
      <c r="J92" s="236"/>
      <c r="K92" s="237"/>
      <c r="L92" s="242"/>
      <c r="M92" s="242"/>
      <c r="N92" s="242"/>
      <c r="O92" s="242"/>
      <c r="P92" s="242"/>
      <c r="Q92" s="242"/>
      <c r="R92" s="242"/>
      <c r="W92" s="243"/>
      <c r="X92" s="96"/>
      <c r="Y92" s="96"/>
      <c r="Z92" s="96"/>
      <c r="AA92" s="96"/>
      <c r="AB92" s="96"/>
      <c r="AC92" s="96"/>
      <c r="AD92" s="96"/>
      <c r="AE92" s="96"/>
      <c r="AF92" s="96"/>
      <c r="AG92" s="96"/>
      <c r="AH92" s="96"/>
      <c r="AI92" s="96"/>
      <c r="AJ92" s="96"/>
      <c r="AK92" s="96"/>
      <c r="AL92" s="96"/>
      <c r="AM92" s="96"/>
      <c r="AN92" s="96"/>
      <c r="AO92" s="96"/>
      <c r="AP92" s="96"/>
      <c r="AQ92" s="96"/>
      <c r="AR92" s="175" t="n">
        <v>0</v>
      </c>
    </row>
    <row r="93" s="175" customFormat="true" ht="17.25" hidden="true" customHeight="true" outlineLevel="0" collapsed="false">
      <c r="A93" s="230"/>
      <c r="D93" s="231"/>
      <c r="E93" s="232"/>
      <c r="F93" s="233"/>
      <c r="G93" s="232"/>
      <c r="H93" s="244"/>
      <c r="I93" s="245"/>
      <c r="J93" s="245"/>
      <c r="K93" s="245"/>
      <c r="L93" s="245"/>
      <c r="M93" s="245"/>
      <c r="N93" s="245"/>
      <c r="O93" s="245"/>
      <c r="P93" s="245"/>
      <c r="Q93" s="245"/>
      <c r="R93" s="245"/>
      <c r="S93" s="246"/>
      <c r="T93" s="246"/>
      <c r="U93" s="246"/>
      <c r="V93" s="246"/>
      <c r="W93" s="247"/>
      <c r="X93" s="96"/>
      <c r="Y93" s="96"/>
      <c r="Z93" s="96"/>
      <c r="AA93" s="96"/>
      <c r="AB93" s="96"/>
      <c r="AC93" s="96"/>
      <c r="AD93" s="96"/>
      <c r="AE93" s="96"/>
      <c r="AF93" s="96"/>
      <c r="AG93" s="96"/>
      <c r="AH93" s="96"/>
      <c r="AI93" s="96"/>
      <c r="AJ93" s="96"/>
      <c r="AK93" s="96"/>
      <c r="AL93" s="96"/>
      <c r="AM93" s="96"/>
      <c r="AN93" s="96"/>
      <c r="AO93" s="96"/>
      <c r="AP93" s="96"/>
      <c r="AQ93" s="96"/>
      <c r="AR93" s="175" t="n">
        <v>0</v>
      </c>
    </row>
    <row r="94" s="175" customFormat="true" ht="17.25" hidden="true" customHeight="true" outlineLevel="0" collapsed="false">
      <c r="A94" s="230"/>
      <c r="C94" s="117"/>
      <c r="D94" s="231" t="n">
        <v>4</v>
      </c>
      <c r="E94" s="232" t="s">
        <v>252</v>
      </c>
      <c r="F94" s="233" t="s">
        <v>19</v>
      </c>
      <c r="G94" s="232"/>
      <c r="H94" s="234"/>
      <c r="I94" s="235"/>
      <c r="J94" s="236"/>
      <c r="K94" s="237"/>
      <c r="L94" s="237"/>
      <c r="M94" s="237"/>
      <c r="N94" s="238"/>
      <c r="O94" s="237"/>
      <c r="P94" s="237"/>
      <c r="Q94" s="237"/>
      <c r="R94" s="239"/>
      <c r="S94" s="237"/>
      <c r="T94" s="237"/>
      <c r="U94" s="237"/>
      <c r="V94" s="239"/>
      <c r="W94" s="240"/>
      <c r="X94" s="241"/>
      <c r="Y94" s="241"/>
      <c r="Z94" s="241"/>
      <c r="AA94" s="241"/>
      <c r="AB94" s="241"/>
      <c r="AC94" s="241" t="s">
        <v>253</v>
      </c>
      <c r="AD94" s="241" t="s">
        <v>254</v>
      </c>
      <c r="AE94" s="241" t="s">
        <v>255</v>
      </c>
      <c r="AF94" s="241" t="s">
        <v>256</v>
      </c>
      <c r="AG94" s="241"/>
      <c r="AH94" s="241" t="str">
        <f aca="false">IF($E$94=0,"",$E$94)</f>
        <v>Тариф на подвоз воды</v>
      </c>
      <c r="AI94" s="241" t="str">
        <f aca="false">IF($G$94=0,"",$G$94)</f>
        <v/>
      </c>
      <c r="AJ94" s="241" t="str">
        <f aca="false">IF($J$94=0,"",$J$94)</f>
        <v/>
      </c>
      <c r="AK94" s="241" t="str">
        <f aca="false">IF($K$94="нет","без дифференциации",IF($N$94=0,"",$N$94))</f>
        <v/>
      </c>
      <c r="AL94" s="241" t="str">
        <f aca="false">IF($O$94="нет","без дифференциации",IF($R$94=0,"",$R$94))</f>
        <v/>
      </c>
      <c r="AM94" s="241" t="str">
        <f aca="false">IF($S$94="нет","без дифференциации",IF($V$94=0,"",$V$94))</f>
        <v/>
      </c>
      <c r="AN94" s="249" t="n">
        <f aca="false">$I$94</f>
        <v>0</v>
      </c>
      <c r="AO94" s="241" t="str">
        <f aca="false">$I$94&amp;"."&amp;$M$94</f>
        <v>.</v>
      </c>
      <c r="AP94" s="96" t="str">
        <f aca="false">$I$94&amp;"."&amp;$M$94&amp;"."&amp;$Q$94</f>
        <v>..</v>
      </c>
      <c r="AQ94" s="96" t="str">
        <f aca="false">$I$94&amp;"."&amp;$M$94&amp;"."&amp;$Q$94&amp;"."&amp;$U$94</f>
        <v>...</v>
      </c>
      <c r="AR94" s="175" t="n">
        <v>0</v>
      </c>
    </row>
    <row r="95" s="175" customFormat="true" ht="17.25" hidden="true" customHeight="true" outlineLevel="0" collapsed="false">
      <c r="A95" s="230"/>
      <c r="D95" s="231"/>
      <c r="E95" s="232"/>
      <c r="F95" s="233"/>
      <c r="G95" s="232"/>
      <c r="H95" s="234"/>
      <c r="I95" s="235"/>
      <c r="J95" s="236"/>
      <c r="K95" s="237"/>
      <c r="L95" s="237"/>
      <c r="M95" s="237"/>
      <c r="N95" s="238"/>
      <c r="O95" s="237"/>
      <c r="P95" s="237"/>
      <c r="Q95" s="237"/>
      <c r="R95" s="239"/>
      <c r="S95" s="237"/>
      <c r="T95" s="242"/>
      <c r="U95" s="242"/>
      <c r="V95" s="242"/>
      <c r="W95" s="243"/>
      <c r="X95" s="96"/>
      <c r="Y95" s="96"/>
      <c r="Z95" s="96"/>
      <c r="AA95" s="96"/>
      <c r="AB95" s="96"/>
      <c r="AC95" s="96"/>
      <c r="AD95" s="96"/>
      <c r="AE95" s="96"/>
      <c r="AF95" s="96"/>
      <c r="AG95" s="96"/>
      <c r="AH95" s="96"/>
      <c r="AI95" s="96"/>
      <c r="AJ95" s="96"/>
      <c r="AK95" s="96"/>
      <c r="AL95" s="96"/>
      <c r="AM95" s="96"/>
      <c r="AN95" s="96"/>
      <c r="AO95" s="96"/>
      <c r="AP95" s="96"/>
      <c r="AQ95" s="96"/>
      <c r="AR95" s="175" t="n">
        <v>0</v>
      </c>
    </row>
    <row r="96" s="175" customFormat="true" ht="17.25" hidden="true" customHeight="true" outlineLevel="0" collapsed="false">
      <c r="A96" s="230"/>
      <c r="D96" s="231"/>
      <c r="E96" s="232"/>
      <c r="F96" s="233"/>
      <c r="G96" s="232"/>
      <c r="H96" s="234"/>
      <c r="I96" s="235"/>
      <c r="J96" s="236"/>
      <c r="K96" s="237"/>
      <c r="L96" s="237"/>
      <c r="M96" s="237"/>
      <c r="N96" s="238"/>
      <c r="O96" s="237"/>
      <c r="P96" s="114"/>
      <c r="Q96" s="242"/>
      <c r="R96" s="242"/>
      <c r="W96" s="243"/>
      <c r="X96" s="96"/>
      <c r="Y96" s="96"/>
      <c r="Z96" s="96"/>
      <c r="AA96" s="96"/>
      <c r="AB96" s="96"/>
      <c r="AC96" s="96"/>
      <c r="AD96" s="96"/>
      <c r="AE96" s="96"/>
      <c r="AF96" s="96"/>
      <c r="AG96" s="96"/>
      <c r="AH96" s="96"/>
      <c r="AI96" s="96"/>
      <c r="AJ96" s="96"/>
      <c r="AK96" s="96"/>
      <c r="AL96" s="96"/>
      <c r="AM96" s="96"/>
      <c r="AN96" s="96"/>
      <c r="AO96" s="96"/>
      <c r="AP96" s="96"/>
      <c r="AQ96" s="96"/>
      <c r="AR96" s="175" t="n">
        <v>0</v>
      </c>
    </row>
    <row r="97" s="175" customFormat="true" ht="17.25" hidden="true" customHeight="true" outlineLevel="0" collapsed="false">
      <c r="A97" s="230"/>
      <c r="D97" s="231"/>
      <c r="E97" s="232"/>
      <c r="F97" s="233"/>
      <c r="G97" s="232"/>
      <c r="H97" s="234"/>
      <c r="I97" s="235"/>
      <c r="J97" s="236"/>
      <c r="K97" s="237"/>
      <c r="L97" s="242"/>
      <c r="M97" s="242"/>
      <c r="N97" s="242"/>
      <c r="O97" s="242"/>
      <c r="P97" s="242"/>
      <c r="Q97" s="242"/>
      <c r="R97" s="242"/>
      <c r="W97" s="243"/>
      <c r="X97" s="96"/>
      <c r="Y97" s="96"/>
      <c r="Z97" s="96"/>
      <c r="AA97" s="96"/>
      <c r="AB97" s="96"/>
      <c r="AC97" s="96"/>
      <c r="AD97" s="96"/>
      <c r="AE97" s="96"/>
      <c r="AF97" s="96"/>
      <c r="AG97" s="96"/>
      <c r="AH97" s="96"/>
      <c r="AI97" s="96"/>
      <c r="AJ97" s="96"/>
      <c r="AK97" s="96"/>
      <c r="AL97" s="96"/>
      <c r="AM97" s="96"/>
      <c r="AN97" s="96"/>
      <c r="AO97" s="96"/>
      <c r="AP97" s="96"/>
      <c r="AQ97" s="96"/>
      <c r="AR97" s="175" t="n">
        <v>0</v>
      </c>
    </row>
    <row r="98" s="175" customFormat="true" ht="17.25" hidden="true" customHeight="true" outlineLevel="0" collapsed="false">
      <c r="A98" s="230"/>
      <c r="D98" s="231"/>
      <c r="E98" s="232"/>
      <c r="F98" s="233"/>
      <c r="G98" s="232"/>
      <c r="H98" s="244"/>
      <c r="I98" s="245"/>
      <c r="J98" s="245"/>
      <c r="K98" s="245"/>
      <c r="L98" s="245"/>
      <c r="M98" s="245"/>
      <c r="N98" s="245"/>
      <c r="O98" s="245"/>
      <c r="P98" s="245"/>
      <c r="Q98" s="245"/>
      <c r="R98" s="245"/>
      <c r="S98" s="246"/>
      <c r="T98" s="246"/>
      <c r="U98" s="246"/>
      <c r="V98" s="246"/>
      <c r="W98" s="247"/>
      <c r="X98" s="96"/>
      <c r="Y98" s="96"/>
      <c r="Z98" s="96"/>
      <c r="AA98" s="96"/>
      <c r="AB98" s="96"/>
      <c r="AC98" s="96"/>
      <c r="AD98" s="96"/>
      <c r="AE98" s="96"/>
      <c r="AF98" s="96"/>
      <c r="AG98" s="96"/>
      <c r="AH98" s="96"/>
      <c r="AI98" s="96"/>
      <c r="AJ98" s="96"/>
      <c r="AK98" s="96"/>
      <c r="AL98" s="96"/>
      <c r="AM98" s="96"/>
      <c r="AN98" s="96"/>
      <c r="AO98" s="96"/>
      <c r="AP98" s="96"/>
      <c r="AQ98" s="96"/>
      <c r="AR98" s="175" t="n">
        <v>0</v>
      </c>
    </row>
    <row r="99" s="175" customFormat="true" ht="17.25" hidden="true" customHeight="true" outlineLevel="0" collapsed="false">
      <c r="A99" s="230"/>
      <c r="C99" s="117"/>
      <c r="D99" s="231" t="n">
        <v>5</v>
      </c>
      <c r="E99" s="232" t="s">
        <v>257</v>
      </c>
      <c r="F99" s="233" t="s">
        <v>19</v>
      </c>
      <c r="G99" s="232"/>
      <c r="H99" s="234"/>
      <c r="I99" s="235"/>
      <c r="J99" s="236"/>
      <c r="K99" s="237"/>
      <c r="L99" s="237"/>
      <c r="M99" s="237"/>
      <c r="N99" s="238"/>
      <c r="O99" s="237"/>
      <c r="P99" s="237"/>
      <c r="Q99" s="237"/>
      <c r="R99" s="239"/>
      <c r="S99" s="237"/>
      <c r="T99" s="237"/>
      <c r="U99" s="237"/>
      <c r="V99" s="239"/>
      <c r="W99" s="240"/>
      <c r="X99" s="241"/>
      <c r="Y99" s="241"/>
      <c r="Z99" s="241"/>
      <c r="AA99" s="241"/>
      <c r="AB99" s="241"/>
      <c r="AC99" s="241" t="s">
        <v>258</v>
      </c>
      <c r="AD99" s="241" t="s">
        <v>259</v>
      </c>
      <c r="AE99" s="241" t="s">
        <v>260</v>
      </c>
      <c r="AF99" s="241" t="s">
        <v>261</v>
      </c>
      <c r="AG99" s="241"/>
      <c r="AH99" s="241" t="str">
        <f aca="false">IF($E$99=0,"",$E$99)</f>
        <v>Тариф на подключение (технологическое присоединение) к централизованной системе холодного водоснабжения</v>
      </c>
      <c r="AI99" s="241" t="str">
        <f aca="false">IF($G$99=0,"",$G$99)</f>
        <v/>
      </c>
      <c r="AJ99" s="241" t="str">
        <f aca="false">IF($J$99=0,"",$J$99)</f>
        <v/>
      </c>
      <c r="AK99" s="241" t="str">
        <f aca="false">IF($K$99="нет","без дифференциации",IF($N$99=0,"",$N$99))</f>
        <v/>
      </c>
      <c r="AL99" s="241" t="str">
        <f aca="false">IF($O$99="нет","без дифференциации",IF($R$99=0,"",$R$99))</f>
        <v/>
      </c>
      <c r="AM99" s="241" t="str">
        <f aca="false">IF($S$99="нет","без дифференциации",IF($V$99=0,"",$V$99))</f>
        <v/>
      </c>
      <c r="AN99" s="249" t="n">
        <f aca="false">$I$99</f>
        <v>0</v>
      </c>
      <c r="AO99" s="241" t="str">
        <f aca="false">$I$99&amp;"."&amp;$M$99</f>
        <v>.</v>
      </c>
      <c r="AP99" s="96" t="str">
        <f aca="false">$I$99&amp;"."&amp;$M$99&amp;"."&amp;$Q$99</f>
        <v>..</v>
      </c>
      <c r="AQ99" s="96" t="str">
        <f aca="false">$I$99&amp;"."&amp;$M$99&amp;"."&amp;$Q$99&amp;"."&amp;$U$99</f>
        <v>...</v>
      </c>
      <c r="AR99" s="175" t="n">
        <v>0</v>
      </c>
    </row>
    <row r="100" s="175" customFormat="true" ht="17.25" hidden="true" customHeight="true" outlineLevel="0" collapsed="false">
      <c r="A100" s="230"/>
      <c r="D100" s="231"/>
      <c r="E100" s="232"/>
      <c r="F100" s="233"/>
      <c r="G100" s="232"/>
      <c r="H100" s="234"/>
      <c r="I100" s="235"/>
      <c r="J100" s="236"/>
      <c r="K100" s="237"/>
      <c r="L100" s="237"/>
      <c r="M100" s="237"/>
      <c r="N100" s="238"/>
      <c r="O100" s="237"/>
      <c r="P100" s="237"/>
      <c r="Q100" s="237"/>
      <c r="R100" s="239"/>
      <c r="S100" s="237"/>
      <c r="T100" s="242"/>
      <c r="U100" s="242"/>
      <c r="V100" s="242"/>
      <c r="W100" s="243"/>
      <c r="X100" s="96"/>
      <c r="Y100" s="96"/>
      <c r="Z100" s="96"/>
      <c r="AA100" s="96"/>
      <c r="AB100" s="96"/>
      <c r="AC100" s="96"/>
      <c r="AD100" s="96"/>
      <c r="AE100" s="96"/>
      <c r="AF100" s="96"/>
      <c r="AG100" s="96"/>
      <c r="AH100" s="96"/>
      <c r="AI100" s="96"/>
      <c r="AJ100" s="96"/>
      <c r="AK100" s="96"/>
      <c r="AL100" s="96"/>
      <c r="AM100" s="96"/>
      <c r="AN100" s="96"/>
      <c r="AO100" s="96"/>
      <c r="AP100" s="96"/>
      <c r="AQ100" s="96"/>
      <c r="AR100" s="175" t="n">
        <v>0</v>
      </c>
    </row>
    <row r="101" s="175" customFormat="true" ht="17.25" hidden="true" customHeight="true" outlineLevel="0" collapsed="false">
      <c r="A101" s="230"/>
      <c r="D101" s="231"/>
      <c r="E101" s="232"/>
      <c r="F101" s="233"/>
      <c r="G101" s="232"/>
      <c r="H101" s="234"/>
      <c r="I101" s="235"/>
      <c r="J101" s="236"/>
      <c r="K101" s="237"/>
      <c r="L101" s="237"/>
      <c r="M101" s="237"/>
      <c r="N101" s="238"/>
      <c r="O101" s="237"/>
      <c r="P101" s="114"/>
      <c r="Q101" s="242"/>
      <c r="R101" s="242"/>
      <c r="W101" s="243"/>
      <c r="X101" s="96"/>
      <c r="Y101" s="96"/>
      <c r="Z101" s="96"/>
      <c r="AA101" s="96"/>
      <c r="AB101" s="96"/>
      <c r="AC101" s="96"/>
      <c r="AD101" s="96"/>
      <c r="AE101" s="96"/>
      <c r="AF101" s="96"/>
      <c r="AG101" s="96"/>
      <c r="AH101" s="96"/>
      <c r="AI101" s="96"/>
      <c r="AJ101" s="96"/>
      <c r="AK101" s="96"/>
      <c r="AL101" s="96"/>
      <c r="AM101" s="96"/>
      <c r="AN101" s="96"/>
      <c r="AO101" s="96"/>
      <c r="AP101" s="96"/>
      <c r="AQ101" s="96"/>
      <c r="AR101" s="175" t="n">
        <v>0</v>
      </c>
    </row>
    <row r="102" s="175" customFormat="true" ht="17.25" hidden="true" customHeight="true" outlineLevel="0" collapsed="false">
      <c r="A102" s="230"/>
      <c r="D102" s="231"/>
      <c r="E102" s="232"/>
      <c r="F102" s="233"/>
      <c r="G102" s="232"/>
      <c r="H102" s="234"/>
      <c r="I102" s="235"/>
      <c r="J102" s="236"/>
      <c r="K102" s="237"/>
      <c r="L102" s="242"/>
      <c r="M102" s="242"/>
      <c r="N102" s="242"/>
      <c r="O102" s="242"/>
      <c r="P102" s="242"/>
      <c r="Q102" s="242"/>
      <c r="R102" s="242"/>
      <c r="W102" s="243"/>
      <c r="X102" s="96"/>
      <c r="Y102" s="96"/>
      <c r="Z102" s="96"/>
      <c r="AA102" s="96"/>
      <c r="AB102" s="96"/>
      <c r="AC102" s="96"/>
      <c r="AD102" s="96"/>
      <c r="AE102" s="96"/>
      <c r="AF102" s="96"/>
      <c r="AG102" s="96"/>
      <c r="AH102" s="96"/>
      <c r="AI102" s="96"/>
      <c r="AJ102" s="96"/>
      <c r="AK102" s="96"/>
      <c r="AL102" s="96"/>
      <c r="AM102" s="96"/>
      <c r="AN102" s="96"/>
      <c r="AO102" s="96"/>
      <c r="AP102" s="96"/>
      <c r="AQ102" s="96"/>
      <c r="AR102" s="175" t="n">
        <v>0</v>
      </c>
    </row>
    <row r="103" s="175" customFormat="true" ht="17.25" hidden="true" customHeight="true" outlineLevel="0" collapsed="false">
      <c r="A103" s="230"/>
      <c r="D103" s="231"/>
      <c r="E103" s="232"/>
      <c r="F103" s="233"/>
      <c r="G103" s="232"/>
      <c r="H103" s="244"/>
      <c r="I103" s="245"/>
      <c r="J103" s="245"/>
      <c r="K103" s="245"/>
      <c r="L103" s="245"/>
      <c r="M103" s="245"/>
      <c r="N103" s="245"/>
      <c r="O103" s="245"/>
      <c r="P103" s="245"/>
      <c r="Q103" s="245"/>
      <c r="R103" s="245"/>
      <c r="S103" s="246"/>
      <c r="T103" s="246"/>
      <c r="U103" s="246"/>
      <c r="V103" s="246"/>
      <c r="W103" s="247"/>
      <c r="X103" s="96"/>
      <c r="Y103" s="96"/>
      <c r="Z103" s="96"/>
      <c r="AA103" s="96"/>
      <c r="AB103" s="96"/>
      <c r="AC103" s="96"/>
      <c r="AD103" s="96"/>
      <c r="AE103" s="96"/>
      <c r="AF103" s="96"/>
      <c r="AG103" s="96"/>
      <c r="AH103" s="96"/>
      <c r="AI103" s="96"/>
      <c r="AJ103" s="96"/>
      <c r="AK103" s="96"/>
      <c r="AL103" s="96"/>
      <c r="AM103" s="96"/>
      <c r="AN103" s="96"/>
      <c r="AO103" s="96"/>
      <c r="AP103" s="96"/>
      <c r="AQ103" s="96"/>
      <c r="AR103" s="175" t="n">
        <v>0</v>
      </c>
    </row>
    <row r="104" s="175" customFormat="true" ht="11.25" hidden="true" customHeight="true" outlineLevel="0" collapsed="false">
      <c r="A104" s="118"/>
      <c r="B104" s="118"/>
      <c r="Y104" s="96"/>
      <c r="Z104" s="96"/>
      <c r="AA104" s="96"/>
      <c r="AB104" s="96"/>
      <c r="AC104" s="96"/>
      <c r="AD104" s="96"/>
      <c r="AE104" s="96"/>
      <c r="AF104" s="96"/>
      <c r="AG104" s="96"/>
      <c r="AH104" s="96"/>
      <c r="AI104" s="96"/>
      <c r="AJ104" s="96"/>
      <c r="AK104" s="96"/>
      <c r="AL104" s="96"/>
      <c r="AM104" s="96"/>
      <c r="AN104" s="96"/>
      <c r="AO104" s="96"/>
      <c r="AP104" s="96"/>
      <c r="AQ104" s="96"/>
      <c r="AR104" s="175" t="n">
        <v>0</v>
      </c>
    </row>
    <row r="105" s="175" customFormat="true" ht="17.25" hidden="true" customHeight="true" outlineLevel="0" collapsed="false">
      <c r="A105" s="230"/>
      <c r="C105" s="117"/>
      <c r="D105" s="231" t="n">
        <v>1</v>
      </c>
      <c r="E105" s="232" t="s">
        <v>262</v>
      </c>
      <c r="F105" s="233" t="s">
        <v>19</v>
      </c>
      <c r="G105" s="232"/>
      <c r="H105" s="234"/>
      <c r="I105" s="235"/>
      <c r="J105" s="236"/>
      <c r="K105" s="237"/>
      <c r="L105" s="237"/>
      <c r="M105" s="237"/>
      <c r="N105" s="238"/>
      <c r="O105" s="237"/>
      <c r="P105" s="237"/>
      <c r="Q105" s="237"/>
      <c r="R105" s="239"/>
      <c r="S105" s="237"/>
      <c r="T105" s="237"/>
      <c r="U105" s="237"/>
      <c r="V105" s="239"/>
      <c r="W105" s="240"/>
      <c r="Y105" s="241"/>
      <c r="Z105" s="241"/>
      <c r="AA105" s="241"/>
      <c r="AB105" s="241"/>
      <c r="AC105" s="241" t="s">
        <v>263</v>
      </c>
      <c r="AD105" s="241" t="s">
        <v>264</v>
      </c>
      <c r="AE105" s="241" t="s">
        <v>265</v>
      </c>
      <c r="AF105" s="241" t="s">
        <v>266</v>
      </c>
      <c r="AG105" s="241"/>
      <c r="AH105" s="241" t="str">
        <f aca="false">IF($E$105=0,"",$E$105)</f>
        <v>Тариф на горячую воду (горячее водоснабжение)</v>
      </c>
      <c r="AI105" s="241" t="str">
        <f aca="false">IF($G$105=0,"",$G$105)</f>
        <v/>
      </c>
      <c r="AJ105" s="241" t="str">
        <f aca="false">IF($J$105=0,"",$J$105)</f>
        <v/>
      </c>
      <c r="AK105" s="241" t="str">
        <f aca="false">IF($K$105="нет","без дифференциации",IF($N$105=0,"",$N$105))</f>
        <v/>
      </c>
      <c r="AL105" s="241" t="str">
        <f aca="false">IF($O$105="нет","без дифференциации",IF($R$105=0,"",$R$105))</f>
        <v/>
      </c>
      <c r="AM105" s="241" t="str">
        <f aca="false">IF($S$105="нет","без дифференциации",IF($V$105=0,"",$V$105))</f>
        <v/>
      </c>
      <c r="AN105" s="241" t="n">
        <f aca="false">$I$105</f>
        <v>0</v>
      </c>
      <c r="AO105" s="241" t="str">
        <f aca="false">$I$105&amp;"."&amp;$M$105</f>
        <v>.</v>
      </c>
      <c r="AP105" s="241" t="str">
        <f aca="false">$I$105&amp;"."&amp;$M$105&amp;"."&amp;$Q$105</f>
        <v>..</v>
      </c>
      <c r="AQ105" s="241" t="str">
        <f aca="false">$I$105&amp;"."&amp;$M$105&amp;"."&amp;$Q$105&amp;"."&amp;$U$105</f>
        <v>...</v>
      </c>
      <c r="AR105" s="175" t="n">
        <v>0</v>
      </c>
    </row>
    <row r="106" s="175" customFormat="true" ht="17.25" hidden="true" customHeight="true" outlineLevel="0" collapsed="false">
      <c r="A106" s="230"/>
      <c r="D106" s="231"/>
      <c r="E106" s="232"/>
      <c r="F106" s="233"/>
      <c r="G106" s="232"/>
      <c r="H106" s="234"/>
      <c r="I106" s="235"/>
      <c r="J106" s="236"/>
      <c r="K106" s="237"/>
      <c r="L106" s="237"/>
      <c r="M106" s="237"/>
      <c r="N106" s="238"/>
      <c r="O106" s="237"/>
      <c r="P106" s="237"/>
      <c r="Q106" s="237"/>
      <c r="R106" s="239"/>
      <c r="S106" s="237"/>
      <c r="T106" s="242"/>
      <c r="U106" s="242"/>
      <c r="V106" s="242"/>
      <c r="W106" s="243"/>
      <c r="Y106" s="96"/>
      <c r="Z106" s="96"/>
      <c r="AA106" s="96"/>
      <c r="AB106" s="96"/>
      <c r="AC106" s="96"/>
      <c r="AD106" s="96"/>
      <c r="AE106" s="96"/>
      <c r="AF106" s="96"/>
      <c r="AG106" s="96"/>
      <c r="AH106" s="96"/>
      <c r="AI106" s="96"/>
      <c r="AJ106" s="96"/>
      <c r="AK106" s="96"/>
      <c r="AL106" s="96"/>
      <c r="AM106" s="96"/>
      <c r="AN106" s="96"/>
      <c r="AO106" s="96"/>
      <c r="AP106" s="96"/>
      <c r="AQ106" s="96"/>
      <c r="AR106" s="175" t="n">
        <v>0</v>
      </c>
    </row>
    <row r="107" s="175" customFormat="true" ht="17.25" hidden="true" customHeight="true" outlineLevel="0" collapsed="false">
      <c r="A107" s="230"/>
      <c r="C107" s="117"/>
      <c r="D107" s="231"/>
      <c r="E107" s="232"/>
      <c r="F107" s="233"/>
      <c r="G107" s="232"/>
      <c r="H107" s="234"/>
      <c r="I107" s="235"/>
      <c r="J107" s="236"/>
      <c r="K107" s="237"/>
      <c r="L107" s="237"/>
      <c r="M107" s="237"/>
      <c r="N107" s="238"/>
      <c r="O107" s="237"/>
      <c r="P107" s="114"/>
      <c r="Q107" s="242"/>
      <c r="R107" s="242"/>
      <c r="W107" s="243"/>
      <c r="Y107" s="241"/>
      <c r="Z107" s="241"/>
      <c r="AA107" s="241"/>
      <c r="AB107" s="241"/>
      <c r="AC107" s="241"/>
      <c r="AD107" s="241"/>
      <c r="AE107" s="241"/>
      <c r="AF107" s="241"/>
      <c r="AG107" s="241"/>
      <c r="AH107" s="241"/>
      <c r="AI107" s="241"/>
      <c r="AJ107" s="241"/>
      <c r="AK107" s="241"/>
      <c r="AL107" s="241"/>
      <c r="AM107" s="241"/>
      <c r="AN107" s="241"/>
      <c r="AO107" s="241"/>
      <c r="AP107" s="241"/>
      <c r="AQ107" s="241"/>
      <c r="AR107" s="175" t="n">
        <v>0</v>
      </c>
    </row>
    <row r="108" s="175" customFormat="true" ht="17.25" hidden="true" customHeight="true" outlineLevel="0" collapsed="false">
      <c r="A108" s="230"/>
      <c r="D108" s="231"/>
      <c r="E108" s="232"/>
      <c r="F108" s="233"/>
      <c r="G108" s="232"/>
      <c r="H108" s="234"/>
      <c r="I108" s="235"/>
      <c r="J108" s="236"/>
      <c r="K108" s="237"/>
      <c r="L108" s="242"/>
      <c r="M108" s="242"/>
      <c r="N108" s="242"/>
      <c r="O108" s="242"/>
      <c r="P108" s="242"/>
      <c r="Q108" s="242"/>
      <c r="R108" s="242"/>
      <c r="W108" s="243"/>
      <c r="Y108" s="96"/>
      <c r="Z108" s="96"/>
      <c r="AA108" s="96"/>
      <c r="AB108" s="96"/>
      <c r="AC108" s="96"/>
      <c r="AD108" s="96"/>
      <c r="AE108" s="96"/>
      <c r="AF108" s="96"/>
      <c r="AG108" s="96"/>
      <c r="AH108" s="96"/>
      <c r="AI108" s="96"/>
      <c r="AJ108" s="96"/>
      <c r="AK108" s="96"/>
      <c r="AL108" s="96"/>
      <c r="AM108" s="96"/>
      <c r="AN108" s="96"/>
      <c r="AO108" s="96"/>
      <c r="AP108" s="96"/>
      <c r="AQ108" s="96"/>
      <c r="AR108" s="175" t="n">
        <v>0</v>
      </c>
    </row>
    <row r="109" s="175" customFormat="true" ht="17.25" hidden="true" customHeight="true" outlineLevel="0" collapsed="false">
      <c r="A109" s="230"/>
      <c r="D109" s="231"/>
      <c r="E109" s="232"/>
      <c r="F109" s="233"/>
      <c r="G109" s="232"/>
      <c r="H109" s="244"/>
      <c r="I109" s="245"/>
      <c r="J109" s="245"/>
      <c r="K109" s="245"/>
      <c r="L109" s="245"/>
      <c r="M109" s="245"/>
      <c r="N109" s="245"/>
      <c r="O109" s="245"/>
      <c r="P109" s="245"/>
      <c r="Q109" s="245"/>
      <c r="R109" s="245"/>
      <c r="S109" s="246"/>
      <c r="T109" s="246"/>
      <c r="U109" s="246"/>
      <c r="V109" s="246"/>
      <c r="W109" s="247"/>
      <c r="Y109" s="96"/>
      <c r="Z109" s="96"/>
      <c r="AA109" s="96"/>
      <c r="AB109" s="96"/>
      <c r="AC109" s="96"/>
      <c r="AD109" s="96"/>
      <c r="AE109" s="96"/>
      <c r="AF109" s="96"/>
      <c r="AG109" s="96"/>
      <c r="AH109" s="96"/>
      <c r="AI109" s="96"/>
      <c r="AJ109" s="96"/>
      <c r="AK109" s="96"/>
      <c r="AL109" s="96"/>
      <c r="AM109" s="96"/>
      <c r="AN109" s="96"/>
      <c r="AO109" s="96"/>
      <c r="AP109" s="96"/>
      <c r="AQ109" s="96"/>
      <c r="AR109" s="175" t="n">
        <v>0</v>
      </c>
    </row>
    <row r="110" s="175" customFormat="true" ht="17.25" hidden="true" customHeight="true" outlineLevel="0" collapsed="false">
      <c r="A110" s="230"/>
      <c r="C110" s="117"/>
      <c r="D110" s="231" t="n">
        <v>2</v>
      </c>
      <c r="E110" s="232" t="s">
        <v>267</v>
      </c>
      <c r="F110" s="233" t="s">
        <v>19</v>
      </c>
      <c r="G110" s="232"/>
      <c r="H110" s="234"/>
      <c r="I110" s="235"/>
      <c r="J110" s="236"/>
      <c r="K110" s="237"/>
      <c r="L110" s="237"/>
      <c r="M110" s="237"/>
      <c r="N110" s="238"/>
      <c r="O110" s="237"/>
      <c r="P110" s="237"/>
      <c r="Q110" s="237"/>
      <c r="R110" s="239"/>
      <c r="S110" s="237"/>
      <c r="T110" s="237"/>
      <c r="U110" s="237"/>
      <c r="V110" s="239"/>
      <c r="W110" s="240"/>
      <c r="X110" s="241"/>
      <c r="Y110" s="241"/>
      <c r="Z110" s="241"/>
      <c r="AA110" s="241"/>
      <c r="AB110" s="241"/>
      <c r="AC110" s="241" t="s">
        <v>268</v>
      </c>
      <c r="AD110" s="241" t="s">
        <v>269</v>
      </c>
      <c r="AE110" s="241" t="s">
        <v>270</v>
      </c>
      <c r="AF110" s="241" t="s">
        <v>271</v>
      </c>
      <c r="AG110" s="241"/>
      <c r="AH110" s="241" t="str">
        <f aca="false">IF($E$110=0,"",$E$110)</f>
        <v>Тариф на транспортировку горячей воды</v>
      </c>
      <c r="AI110" s="241" t="str">
        <f aca="false">IF($G$110=0,"",$G$110)</f>
        <v/>
      </c>
      <c r="AJ110" s="241" t="str">
        <f aca="false">IF($J$110=0,"",$J$110)</f>
        <v/>
      </c>
      <c r="AK110" s="241" t="str">
        <f aca="false">IF($K$110="нет","без дифференциации",IF($N$110=0,"",$N$110))</f>
        <v/>
      </c>
      <c r="AL110" s="241" t="str">
        <f aca="false">IF($O$110="нет","без дифференциации",IF($R$110=0,"",$R$110))</f>
        <v/>
      </c>
      <c r="AM110" s="241" t="str">
        <f aca="false">IF($S$110="нет","без дифференциации",IF($V$110=0,"",$V$110))</f>
        <v/>
      </c>
      <c r="AN110" s="249" t="n">
        <f aca="false">$I$110</f>
        <v>0</v>
      </c>
      <c r="AO110" s="241" t="str">
        <f aca="false">$I$110&amp;"."&amp;$M$110</f>
        <v>.</v>
      </c>
      <c r="AP110" s="96" t="str">
        <f aca="false">$I$110&amp;"."&amp;$M$110&amp;"."&amp;$Q$110</f>
        <v>..</v>
      </c>
      <c r="AQ110" s="96" t="str">
        <f aca="false">$I$110&amp;"."&amp;$M$110&amp;"."&amp;$Q$110&amp;"."&amp;$U$110</f>
        <v>...</v>
      </c>
      <c r="AR110" s="175" t="n">
        <v>0</v>
      </c>
    </row>
    <row r="111" s="175" customFormat="true" ht="17.25" hidden="true" customHeight="true" outlineLevel="0" collapsed="false">
      <c r="A111" s="230"/>
      <c r="D111" s="231"/>
      <c r="E111" s="232"/>
      <c r="F111" s="233"/>
      <c r="G111" s="232"/>
      <c r="H111" s="234"/>
      <c r="I111" s="235"/>
      <c r="J111" s="236"/>
      <c r="K111" s="237"/>
      <c r="L111" s="237"/>
      <c r="M111" s="237"/>
      <c r="N111" s="238"/>
      <c r="O111" s="237"/>
      <c r="P111" s="237"/>
      <c r="Q111" s="237"/>
      <c r="R111" s="239"/>
      <c r="S111" s="237"/>
      <c r="T111" s="242"/>
      <c r="U111" s="242"/>
      <c r="V111" s="242"/>
      <c r="W111" s="243"/>
      <c r="X111" s="96"/>
      <c r="Y111" s="96"/>
      <c r="Z111" s="96"/>
      <c r="AA111" s="96"/>
      <c r="AB111" s="96"/>
      <c r="AC111" s="96"/>
      <c r="AD111" s="96"/>
      <c r="AE111" s="96"/>
      <c r="AF111" s="96"/>
      <c r="AG111" s="96"/>
      <c r="AH111" s="96"/>
      <c r="AI111" s="96"/>
      <c r="AJ111" s="96"/>
      <c r="AK111" s="96"/>
      <c r="AL111" s="96"/>
      <c r="AM111" s="96"/>
      <c r="AN111" s="96"/>
      <c r="AO111" s="96"/>
      <c r="AP111" s="96"/>
      <c r="AQ111" s="96"/>
      <c r="AR111" s="175" t="n">
        <v>0</v>
      </c>
    </row>
    <row r="112" s="175" customFormat="true" ht="17.25" hidden="true" customHeight="true" outlineLevel="0" collapsed="false">
      <c r="A112" s="230"/>
      <c r="D112" s="231"/>
      <c r="E112" s="232"/>
      <c r="F112" s="233"/>
      <c r="G112" s="232"/>
      <c r="H112" s="234"/>
      <c r="I112" s="235"/>
      <c r="J112" s="236"/>
      <c r="K112" s="237"/>
      <c r="L112" s="237"/>
      <c r="M112" s="237"/>
      <c r="N112" s="238"/>
      <c r="O112" s="237"/>
      <c r="P112" s="114"/>
      <c r="Q112" s="242"/>
      <c r="R112" s="242"/>
      <c r="W112" s="243"/>
      <c r="X112" s="96"/>
      <c r="Y112" s="96"/>
      <c r="Z112" s="96"/>
      <c r="AA112" s="96"/>
      <c r="AB112" s="96"/>
      <c r="AC112" s="96"/>
      <c r="AD112" s="96"/>
      <c r="AE112" s="96"/>
      <c r="AF112" s="96"/>
      <c r="AG112" s="96"/>
      <c r="AH112" s="96"/>
      <c r="AI112" s="96"/>
      <c r="AJ112" s="96"/>
      <c r="AK112" s="96"/>
      <c r="AL112" s="96"/>
      <c r="AM112" s="96"/>
      <c r="AN112" s="96"/>
      <c r="AO112" s="96"/>
      <c r="AP112" s="96"/>
      <c r="AQ112" s="96"/>
      <c r="AR112" s="175" t="n">
        <v>0</v>
      </c>
    </row>
    <row r="113" s="175" customFormat="true" ht="17.25" hidden="true" customHeight="true" outlineLevel="0" collapsed="false">
      <c r="A113" s="230"/>
      <c r="D113" s="231"/>
      <c r="E113" s="232"/>
      <c r="F113" s="233"/>
      <c r="G113" s="232"/>
      <c r="H113" s="234"/>
      <c r="I113" s="235"/>
      <c r="J113" s="236"/>
      <c r="K113" s="237"/>
      <c r="L113" s="242"/>
      <c r="M113" s="242"/>
      <c r="N113" s="242"/>
      <c r="O113" s="242"/>
      <c r="P113" s="242"/>
      <c r="Q113" s="242"/>
      <c r="R113" s="242"/>
      <c r="W113" s="243"/>
      <c r="X113" s="96"/>
      <c r="Y113" s="96"/>
      <c r="Z113" s="96"/>
      <c r="AA113" s="96"/>
      <c r="AB113" s="96"/>
      <c r="AC113" s="96"/>
      <c r="AD113" s="96"/>
      <c r="AE113" s="96"/>
      <c r="AF113" s="96"/>
      <c r="AG113" s="96"/>
      <c r="AH113" s="96"/>
      <c r="AI113" s="96"/>
      <c r="AJ113" s="96"/>
      <c r="AK113" s="96"/>
      <c r="AL113" s="96"/>
      <c r="AM113" s="96"/>
      <c r="AN113" s="96"/>
      <c r="AO113" s="96"/>
      <c r="AP113" s="96"/>
      <c r="AQ113" s="96"/>
      <c r="AR113" s="175" t="n">
        <v>0</v>
      </c>
    </row>
    <row r="114" s="175" customFormat="true" ht="17.25" hidden="true" customHeight="true" outlineLevel="0" collapsed="false">
      <c r="A114" s="230"/>
      <c r="D114" s="231"/>
      <c r="E114" s="232"/>
      <c r="F114" s="233"/>
      <c r="G114" s="232"/>
      <c r="H114" s="244"/>
      <c r="I114" s="245"/>
      <c r="J114" s="245"/>
      <c r="K114" s="245"/>
      <c r="L114" s="245"/>
      <c r="M114" s="245"/>
      <c r="N114" s="245"/>
      <c r="O114" s="245"/>
      <c r="P114" s="245"/>
      <c r="Q114" s="245"/>
      <c r="R114" s="245"/>
      <c r="S114" s="246"/>
      <c r="T114" s="246"/>
      <c r="U114" s="246"/>
      <c r="V114" s="246"/>
      <c r="W114" s="247"/>
      <c r="X114" s="96"/>
      <c r="Y114" s="96"/>
      <c r="Z114" s="96"/>
      <c r="AA114" s="96"/>
      <c r="AB114" s="96"/>
      <c r="AC114" s="96"/>
      <c r="AD114" s="96"/>
      <c r="AE114" s="96"/>
      <c r="AF114" s="96"/>
      <c r="AG114" s="96"/>
      <c r="AH114" s="96"/>
      <c r="AI114" s="96"/>
      <c r="AJ114" s="96"/>
      <c r="AK114" s="96"/>
      <c r="AL114" s="96"/>
      <c r="AM114" s="96"/>
      <c r="AN114" s="96"/>
      <c r="AO114" s="96"/>
      <c r="AP114" s="96"/>
      <c r="AQ114" s="96"/>
      <c r="AR114" s="175" t="n">
        <v>0</v>
      </c>
    </row>
    <row r="115" s="175" customFormat="true" ht="17.25" hidden="true" customHeight="true" outlineLevel="0" collapsed="false">
      <c r="A115" s="230"/>
      <c r="C115" s="117"/>
      <c r="D115" s="231" t="n">
        <v>3</v>
      </c>
      <c r="E115" s="232" t="s">
        <v>272</v>
      </c>
      <c r="F115" s="233" t="s">
        <v>19</v>
      </c>
      <c r="G115" s="232"/>
      <c r="H115" s="234"/>
      <c r="I115" s="235"/>
      <c r="J115" s="236"/>
      <c r="K115" s="237"/>
      <c r="L115" s="237"/>
      <c r="M115" s="237"/>
      <c r="N115" s="238"/>
      <c r="O115" s="237"/>
      <c r="P115" s="237"/>
      <c r="Q115" s="237"/>
      <c r="R115" s="239"/>
      <c r="S115" s="237"/>
      <c r="T115" s="237"/>
      <c r="U115" s="237"/>
      <c r="V115" s="239"/>
      <c r="W115" s="240"/>
      <c r="X115" s="241"/>
      <c r="Y115" s="241"/>
      <c r="Z115" s="241"/>
      <c r="AA115" s="241"/>
      <c r="AB115" s="241"/>
      <c r="AC115" s="241" t="s">
        <v>273</v>
      </c>
      <c r="AD115" s="241" t="s">
        <v>274</v>
      </c>
      <c r="AE115" s="241" t="s">
        <v>275</v>
      </c>
      <c r="AF115" s="241" t="s">
        <v>276</v>
      </c>
      <c r="AG115" s="241"/>
      <c r="AH115" s="241" t="str">
        <f aca="false">IF($E$115=0,"",$E$115)</f>
        <v>Тариф на подключение (технологическое присоединение) к централизованной системе горячего водоснабжения</v>
      </c>
      <c r="AI115" s="241" t="str">
        <f aca="false">IF($G$115=0,"",$G$115)</f>
        <v/>
      </c>
      <c r="AJ115" s="241" t="str">
        <f aca="false">IF($J$115=0,"",$J$115)</f>
        <v/>
      </c>
      <c r="AK115" s="241" t="str">
        <f aca="false">IF($K$115="нет","без дифференциации",IF($N$115=0,"",$N$115))</f>
        <v/>
      </c>
      <c r="AL115" s="241" t="str">
        <f aca="false">IF($O$115="нет","без дифференциации",IF($R$115=0,"",$R$115))</f>
        <v/>
      </c>
      <c r="AM115" s="241" t="str">
        <f aca="false">IF($S$115="нет","без дифференциации",IF($V$115=0,"",$V$115))</f>
        <v/>
      </c>
      <c r="AN115" s="249" t="n">
        <f aca="false">$I$115</f>
        <v>0</v>
      </c>
      <c r="AO115" s="241" t="str">
        <f aca="false">$I$115&amp;"."&amp;$M$115</f>
        <v>.</v>
      </c>
      <c r="AP115" s="96" t="str">
        <f aca="false">$I$115&amp;"."&amp;$M$115&amp;"."&amp;$Q$115</f>
        <v>..</v>
      </c>
      <c r="AQ115" s="96" t="str">
        <f aca="false">$I$115&amp;"."&amp;$M$115&amp;"."&amp;$Q$115&amp;"."&amp;$U$115</f>
        <v>...</v>
      </c>
      <c r="AR115" s="175" t="n">
        <v>0</v>
      </c>
    </row>
    <row r="116" s="175" customFormat="true" ht="17.25" hidden="true" customHeight="true" outlineLevel="0" collapsed="false">
      <c r="A116" s="230"/>
      <c r="D116" s="231"/>
      <c r="E116" s="232"/>
      <c r="F116" s="233"/>
      <c r="G116" s="232"/>
      <c r="H116" s="234"/>
      <c r="I116" s="235"/>
      <c r="J116" s="236"/>
      <c r="K116" s="237"/>
      <c r="L116" s="237"/>
      <c r="M116" s="237"/>
      <c r="N116" s="238"/>
      <c r="O116" s="237"/>
      <c r="P116" s="237"/>
      <c r="Q116" s="237"/>
      <c r="R116" s="239"/>
      <c r="S116" s="237"/>
      <c r="T116" s="242"/>
      <c r="U116" s="242"/>
      <c r="V116" s="242"/>
      <c r="W116" s="243"/>
      <c r="X116" s="96"/>
      <c r="Y116" s="96"/>
      <c r="Z116" s="96"/>
      <c r="AA116" s="96"/>
      <c r="AB116" s="96"/>
      <c r="AC116" s="96"/>
      <c r="AD116" s="96"/>
      <c r="AE116" s="96"/>
      <c r="AF116" s="96"/>
      <c r="AG116" s="96"/>
      <c r="AH116" s="96"/>
      <c r="AI116" s="96"/>
      <c r="AJ116" s="96"/>
      <c r="AK116" s="96"/>
      <c r="AL116" s="96"/>
      <c r="AM116" s="96"/>
      <c r="AN116" s="96"/>
      <c r="AO116" s="96"/>
      <c r="AP116" s="96"/>
      <c r="AQ116" s="96"/>
      <c r="AR116" s="175" t="n">
        <v>0</v>
      </c>
    </row>
    <row r="117" s="175" customFormat="true" ht="17.25" hidden="true" customHeight="true" outlineLevel="0" collapsed="false">
      <c r="A117" s="230"/>
      <c r="D117" s="231"/>
      <c r="E117" s="232"/>
      <c r="F117" s="233"/>
      <c r="G117" s="232"/>
      <c r="H117" s="234"/>
      <c r="I117" s="235"/>
      <c r="J117" s="236"/>
      <c r="K117" s="237"/>
      <c r="L117" s="237"/>
      <c r="M117" s="237"/>
      <c r="N117" s="238"/>
      <c r="O117" s="237"/>
      <c r="P117" s="114"/>
      <c r="Q117" s="242"/>
      <c r="R117" s="242"/>
      <c r="W117" s="243"/>
      <c r="X117" s="96"/>
      <c r="Y117" s="96"/>
      <c r="Z117" s="96"/>
      <c r="AA117" s="96"/>
      <c r="AB117" s="96"/>
      <c r="AC117" s="96"/>
      <c r="AD117" s="96"/>
      <c r="AE117" s="96"/>
      <c r="AF117" s="96"/>
      <c r="AG117" s="96"/>
      <c r="AH117" s="96"/>
      <c r="AI117" s="96"/>
      <c r="AJ117" s="96"/>
      <c r="AK117" s="96"/>
      <c r="AL117" s="96"/>
      <c r="AM117" s="96"/>
      <c r="AN117" s="96"/>
      <c r="AO117" s="96"/>
      <c r="AP117" s="96"/>
      <c r="AQ117" s="96"/>
      <c r="AR117" s="175" t="n">
        <v>0</v>
      </c>
    </row>
    <row r="118" s="175" customFormat="true" ht="17.25" hidden="true" customHeight="true" outlineLevel="0" collapsed="false">
      <c r="A118" s="230"/>
      <c r="D118" s="231"/>
      <c r="E118" s="232"/>
      <c r="F118" s="233"/>
      <c r="G118" s="232"/>
      <c r="H118" s="234"/>
      <c r="I118" s="235"/>
      <c r="J118" s="236"/>
      <c r="K118" s="237"/>
      <c r="L118" s="242"/>
      <c r="M118" s="242"/>
      <c r="N118" s="242"/>
      <c r="O118" s="242"/>
      <c r="P118" s="242"/>
      <c r="Q118" s="242"/>
      <c r="R118" s="242"/>
      <c r="W118" s="243"/>
      <c r="X118" s="96"/>
      <c r="Y118" s="96"/>
      <c r="Z118" s="96"/>
      <c r="AA118" s="96"/>
      <c r="AB118" s="96"/>
      <c r="AC118" s="96"/>
      <c r="AD118" s="96"/>
      <c r="AE118" s="96"/>
      <c r="AF118" s="96"/>
      <c r="AG118" s="96"/>
      <c r="AH118" s="96"/>
      <c r="AI118" s="96"/>
      <c r="AJ118" s="96"/>
      <c r="AK118" s="96"/>
      <c r="AL118" s="96"/>
      <c r="AM118" s="96"/>
      <c r="AN118" s="96"/>
      <c r="AO118" s="96"/>
      <c r="AP118" s="96"/>
      <c r="AQ118" s="96"/>
      <c r="AR118" s="175" t="n">
        <v>0</v>
      </c>
    </row>
    <row r="119" s="175" customFormat="true" ht="17.25" hidden="true" customHeight="true" outlineLevel="0" collapsed="false">
      <c r="A119" s="230"/>
      <c r="D119" s="231"/>
      <c r="E119" s="232"/>
      <c r="F119" s="233"/>
      <c r="G119" s="232"/>
      <c r="H119" s="244"/>
      <c r="I119" s="245"/>
      <c r="J119" s="245"/>
      <c r="K119" s="245"/>
      <c r="L119" s="245"/>
      <c r="M119" s="245"/>
      <c r="N119" s="245"/>
      <c r="O119" s="245"/>
      <c r="P119" s="245"/>
      <c r="Q119" s="245"/>
      <c r="R119" s="245"/>
      <c r="S119" s="246"/>
      <c r="T119" s="246"/>
      <c r="U119" s="246"/>
      <c r="V119" s="246"/>
      <c r="W119" s="247"/>
      <c r="X119" s="96"/>
      <c r="Y119" s="96"/>
      <c r="Z119" s="96"/>
      <c r="AA119" s="96"/>
      <c r="AB119" s="96"/>
      <c r="AC119" s="96"/>
      <c r="AD119" s="96"/>
      <c r="AE119" s="96"/>
      <c r="AF119" s="96"/>
      <c r="AG119" s="96"/>
      <c r="AH119" s="96"/>
      <c r="AI119" s="96"/>
      <c r="AJ119" s="96"/>
      <c r="AK119" s="96"/>
      <c r="AL119" s="96"/>
      <c r="AM119" s="96"/>
      <c r="AN119" s="96"/>
      <c r="AO119" s="96"/>
      <c r="AP119" s="96"/>
      <c r="AQ119" s="96"/>
      <c r="AR119" s="175" t="n">
        <v>0</v>
      </c>
    </row>
    <row r="120" s="175" customFormat="true" ht="11.25" hidden="true" customHeight="true" outlineLevel="0" collapsed="false">
      <c r="A120" s="118"/>
      <c r="B120" s="118"/>
      <c r="Y120" s="96"/>
      <c r="Z120" s="96"/>
      <c r="AA120" s="96"/>
      <c r="AB120" s="96"/>
      <c r="AC120" s="96"/>
      <c r="AD120" s="96"/>
      <c r="AE120" s="96"/>
      <c r="AF120" s="96"/>
      <c r="AG120" s="96"/>
      <c r="AH120" s="96"/>
      <c r="AI120" s="96"/>
      <c r="AJ120" s="96"/>
      <c r="AK120" s="96"/>
      <c r="AL120" s="96"/>
      <c r="AM120" s="96"/>
      <c r="AN120" s="96"/>
      <c r="AO120" s="96"/>
      <c r="AP120" s="96"/>
      <c r="AQ120" s="96"/>
      <c r="AR120" s="175" t="n">
        <v>0</v>
      </c>
    </row>
    <row r="121" s="175" customFormat="true" ht="17.25" hidden="true" customHeight="true" outlineLevel="0" collapsed="false">
      <c r="A121" s="230"/>
      <c r="C121" s="117"/>
      <c r="D121" s="231" t="n">
        <v>1</v>
      </c>
      <c r="E121" s="232" t="s">
        <v>277</v>
      </c>
      <c r="F121" s="233" t="s">
        <v>19</v>
      </c>
      <c r="G121" s="232"/>
      <c r="H121" s="234"/>
      <c r="I121" s="235"/>
      <c r="J121" s="236"/>
      <c r="K121" s="237"/>
      <c r="L121" s="237"/>
      <c r="M121" s="237"/>
      <c r="N121" s="238"/>
      <c r="O121" s="237"/>
      <c r="P121" s="237"/>
      <c r="Q121" s="237"/>
      <c r="R121" s="239"/>
      <c r="S121" s="237"/>
      <c r="T121" s="237"/>
      <c r="U121" s="237"/>
      <c r="V121" s="239"/>
      <c r="W121" s="240"/>
      <c r="Y121" s="241"/>
      <c r="Z121" s="241"/>
      <c r="AA121" s="241"/>
      <c r="AB121" s="241"/>
      <c r="AC121" s="241" t="s">
        <v>278</v>
      </c>
      <c r="AD121" s="241" t="s">
        <v>279</v>
      </c>
      <c r="AE121" s="241" t="s">
        <v>280</v>
      </c>
      <c r="AF121" s="241" t="s">
        <v>281</v>
      </c>
      <c r="AG121" s="241"/>
      <c r="AH121" s="241" t="str">
        <f aca="false">IF($E$121=0,"",$E$121)</f>
        <v>Тариф на водоотведение</v>
      </c>
      <c r="AI121" s="241" t="str">
        <f aca="false">IF($G$121=0,"",$G$121)</f>
        <v/>
      </c>
      <c r="AJ121" s="241" t="str">
        <f aca="false">IF($J$121=0,"",$J$121)</f>
        <v/>
      </c>
      <c r="AK121" s="241" t="str">
        <f aca="false">IF($K$121="нет","без дифференциации",IF($N$121=0,"",$N$121))</f>
        <v/>
      </c>
      <c r="AL121" s="241" t="str">
        <f aca="false">IF($O$121="нет","без дифференциации",IF($R$121=0,"",$R$121))</f>
        <v/>
      </c>
      <c r="AM121" s="241" t="str">
        <f aca="false">IF($S$121="нет","без дифференциации",IF($V$121=0,"",$V$121))</f>
        <v/>
      </c>
      <c r="AN121" s="241" t="n">
        <f aca="false">$I$121</f>
        <v>0</v>
      </c>
      <c r="AO121" s="241" t="str">
        <f aca="false">$I$121&amp;"."&amp;$M$121</f>
        <v>.</v>
      </c>
      <c r="AP121" s="241" t="str">
        <f aca="false">$I$121&amp;"."&amp;$M$121&amp;"."&amp;$Q$121</f>
        <v>..</v>
      </c>
      <c r="AQ121" s="241" t="str">
        <f aca="false">$I$121&amp;"."&amp;$M$121&amp;"."&amp;$Q$121&amp;"."&amp;$U$121</f>
        <v>...</v>
      </c>
      <c r="AR121" s="175" t="n">
        <v>0</v>
      </c>
    </row>
    <row r="122" s="175" customFormat="true" ht="17.25" hidden="true" customHeight="true" outlineLevel="0" collapsed="false">
      <c r="A122" s="230"/>
      <c r="D122" s="231"/>
      <c r="E122" s="232"/>
      <c r="F122" s="233"/>
      <c r="G122" s="232"/>
      <c r="H122" s="234"/>
      <c r="I122" s="235"/>
      <c r="J122" s="236"/>
      <c r="K122" s="237"/>
      <c r="L122" s="237"/>
      <c r="M122" s="237"/>
      <c r="N122" s="238"/>
      <c r="O122" s="237"/>
      <c r="P122" s="237"/>
      <c r="Q122" s="237"/>
      <c r="R122" s="239"/>
      <c r="S122" s="237"/>
      <c r="T122" s="242"/>
      <c r="U122" s="242"/>
      <c r="V122" s="242"/>
      <c r="W122" s="243"/>
      <c r="Y122" s="96"/>
      <c r="Z122" s="96"/>
      <c r="AA122" s="96"/>
      <c r="AB122" s="96"/>
      <c r="AC122" s="96"/>
      <c r="AD122" s="96"/>
      <c r="AE122" s="96"/>
      <c r="AF122" s="96"/>
      <c r="AG122" s="96"/>
      <c r="AH122" s="96"/>
      <c r="AI122" s="96"/>
      <c r="AJ122" s="96"/>
      <c r="AK122" s="96"/>
      <c r="AL122" s="96"/>
      <c r="AM122" s="96"/>
      <c r="AN122" s="96"/>
      <c r="AO122" s="96"/>
      <c r="AP122" s="96"/>
      <c r="AQ122" s="96"/>
      <c r="AR122" s="175" t="n">
        <v>0</v>
      </c>
    </row>
    <row r="123" s="175" customFormat="true" ht="17.25" hidden="true" customHeight="true" outlineLevel="0" collapsed="false">
      <c r="A123" s="230"/>
      <c r="C123" s="117"/>
      <c r="D123" s="231"/>
      <c r="E123" s="232"/>
      <c r="F123" s="233"/>
      <c r="G123" s="232"/>
      <c r="H123" s="234"/>
      <c r="I123" s="235"/>
      <c r="J123" s="236"/>
      <c r="K123" s="237"/>
      <c r="L123" s="237"/>
      <c r="M123" s="237"/>
      <c r="N123" s="238"/>
      <c r="O123" s="237"/>
      <c r="P123" s="114"/>
      <c r="Q123" s="242"/>
      <c r="R123" s="242"/>
      <c r="W123" s="243"/>
      <c r="Y123" s="241"/>
      <c r="Z123" s="241"/>
      <c r="AA123" s="241"/>
      <c r="AB123" s="241"/>
      <c r="AC123" s="241"/>
      <c r="AD123" s="241"/>
      <c r="AE123" s="241"/>
      <c r="AF123" s="241"/>
      <c r="AG123" s="241"/>
      <c r="AH123" s="241"/>
      <c r="AI123" s="241"/>
      <c r="AJ123" s="241"/>
      <c r="AK123" s="241"/>
      <c r="AL123" s="241"/>
      <c r="AM123" s="241"/>
      <c r="AN123" s="241"/>
      <c r="AO123" s="241"/>
      <c r="AP123" s="241"/>
      <c r="AQ123" s="241"/>
      <c r="AR123" s="175" t="n">
        <v>0</v>
      </c>
    </row>
    <row r="124" s="175" customFormat="true" ht="17.25" hidden="true" customHeight="true" outlineLevel="0" collapsed="false">
      <c r="A124" s="230"/>
      <c r="D124" s="231"/>
      <c r="E124" s="232"/>
      <c r="F124" s="233"/>
      <c r="G124" s="232"/>
      <c r="H124" s="234"/>
      <c r="I124" s="235"/>
      <c r="J124" s="236"/>
      <c r="K124" s="237"/>
      <c r="L124" s="242"/>
      <c r="M124" s="242"/>
      <c r="N124" s="242"/>
      <c r="O124" s="242"/>
      <c r="P124" s="242"/>
      <c r="Q124" s="242"/>
      <c r="R124" s="242"/>
      <c r="W124" s="243"/>
      <c r="Y124" s="96"/>
      <c r="Z124" s="96"/>
      <c r="AA124" s="96"/>
      <c r="AB124" s="96"/>
      <c r="AC124" s="96"/>
      <c r="AD124" s="96"/>
      <c r="AE124" s="96"/>
      <c r="AF124" s="96"/>
      <c r="AG124" s="96"/>
      <c r="AH124" s="96"/>
      <c r="AI124" s="96"/>
      <c r="AJ124" s="96"/>
      <c r="AK124" s="96"/>
      <c r="AL124" s="96"/>
      <c r="AM124" s="96"/>
      <c r="AN124" s="96"/>
      <c r="AO124" s="96"/>
      <c r="AP124" s="96"/>
      <c r="AQ124" s="96"/>
      <c r="AR124" s="175" t="n">
        <v>0</v>
      </c>
    </row>
    <row r="125" s="175" customFormat="true" ht="17.25" hidden="true" customHeight="true" outlineLevel="0" collapsed="false">
      <c r="A125" s="230"/>
      <c r="D125" s="231"/>
      <c r="E125" s="232"/>
      <c r="F125" s="233"/>
      <c r="G125" s="232"/>
      <c r="H125" s="244"/>
      <c r="I125" s="245"/>
      <c r="J125" s="245"/>
      <c r="K125" s="245"/>
      <c r="L125" s="245"/>
      <c r="M125" s="245"/>
      <c r="N125" s="245"/>
      <c r="O125" s="245"/>
      <c r="P125" s="245"/>
      <c r="Q125" s="245"/>
      <c r="R125" s="245"/>
      <c r="S125" s="246"/>
      <c r="T125" s="246"/>
      <c r="U125" s="246"/>
      <c r="V125" s="246"/>
      <c r="W125" s="247"/>
      <c r="Y125" s="96"/>
      <c r="Z125" s="96"/>
      <c r="AA125" s="96"/>
      <c r="AB125" s="96"/>
      <c r="AC125" s="96"/>
      <c r="AD125" s="96"/>
      <c r="AE125" s="96"/>
      <c r="AF125" s="96"/>
      <c r="AG125" s="96"/>
      <c r="AH125" s="96"/>
      <c r="AI125" s="96"/>
      <c r="AJ125" s="96"/>
      <c r="AK125" s="96"/>
      <c r="AL125" s="96"/>
      <c r="AM125" s="96"/>
      <c r="AN125" s="96"/>
      <c r="AO125" s="96"/>
      <c r="AP125" s="96"/>
      <c r="AQ125" s="96"/>
      <c r="AR125" s="175" t="n">
        <v>0</v>
      </c>
    </row>
    <row r="126" s="175" customFormat="true" ht="17.25" hidden="true" customHeight="true" outlineLevel="0" collapsed="false">
      <c r="A126" s="230"/>
      <c r="C126" s="117"/>
      <c r="D126" s="231" t="n">
        <v>2</v>
      </c>
      <c r="E126" s="232" t="s">
        <v>282</v>
      </c>
      <c r="F126" s="233" t="s">
        <v>19</v>
      </c>
      <c r="G126" s="232"/>
      <c r="H126" s="234"/>
      <c r="I126" s="235"/>
      <c r="J126" s="236"/>
      <c r="K126" s="237"/>
      <c r="L126" s="237"/>
      <c r="M126" s="237"/>
      <c r="N126" s="238"/>
      <c r="O126" s="237"/>
      <c r="P126" s="237"/>
      <c r="Q126" s="237"/>
      <c r="R126" s="239"/>
      <c r="S126" s="237"/>
      <c r="T126" s="237"/>
      <c r="U126" s="237"/>
      <c r="V126" s="239"/>
      <c r="W126" s="240"/>
      <c r="X126" s="241"/>
      <c r="Y126" s="241"/>
      <c r="Z126" s="241"/>
      <c r="AA126" s="241"/>
      <c r="AB126" s="241"/>
      <c r="AC126" s="241" t="s">
        <v>283</v>
      </c>
      <c r="AD126" s="241" t="s">
        <v>284</v>
      </c>
      <c r="AE126" s="241" t="s">
        <v>285</v>
      </c>
      <c r="AF126" s="241" t="s">
        <v>286</v>
      </c>
      <c r="AG126" s="241"/>
      <c r="AH126" s="241" t="str">
        <f aca="false">IF($E$126=0,"",$E$126)</f>
        <v>Тариф на транспортировку сточных вод</v>
      </c>
      <c r="AI126" s="241" t="str">
        <f aca="false">IF($G$126=0,"",$G$126)</f>
        <v/>
      </c>
      <c r="AJ126" s="241" t="str">
        <f aca="false">IF($J$126=0,"",$J$126)</f>
        <v/>
      </c>
      <c r="AK126" s="241" t="str">
        <f aca="false">IF($K$126="нет","без дифференциации",IF($N$126=0,"",$N$126))</f>
        <v/>
      </c>
      <c r="AL126" s="241" t="str">
        <f aca="false">IF($O$126="нет","без дифференциации",IF($R$126=0,"",$R$126))</f>
        <v/>
      </c>
      <c r="AM126" s="241" t="str">
        <f aca="false">IF($S$126="нет","без дифференциации",IF($V$126=0,"",$V$126))</f>
        <v/>
      </c>
      <c r="AN126" s="249" t="n">
        <f aca="false">$I$126</f>
        <v>0</v>
      </c>
      <c r="AO126" s="241" t="str">
        <f aca="false">$I$126&amp;"."&amp;$M$126</f>
        <v>.</v>
      </c>
      <c r="AP126" s="96" t="str">
        <f aca="false">$I$126&amp;"."&amp;$M$126&amp;"."&amp;$Q$126</f>
        <v>..</v>
      </c>
      <c r="AQ126" s="96" t="str">
        <f aca="false">$I$126&amp;"."&amp;$M$126&amp;"."&amp;$Q$126&amp;"."&amp;$U$126</f>
        <v>...</v>
      </c>
      <c r="AR126" s="175" t="n">
        <v>0</v>
      </c>
    </row>
    <row r="127" s="175" customFormat="true" ht="17.25" hidden="true" customHeight="true" outlineLevel="0" collapsed="false">
      <c r="A127" s="230"/>
      <c r="D127" s="231"/>
      <c r="E127" s="232"/>
      <c r="F127" s="233"/>
      <c r="G127" s="232"/>
      <c r="H127" s="234"/>
      <c r="I127" s="235"/>
      <c r="J127" s="236"/>
      <c r="K127" s="237"/>
      <c r="L127" s="237"/>
      <c r="M127" s="237"/>
      <c r="N127" s="238"/>
      <c r="O127" s="237"/>
      <c r="P127" s="237"/>
      <c r="Q127" s="237"/>
      <c r="R127" s="239"/>
      <c r="S127" s="237"/>
      <c r="T127" s="242"/>
      <c r="U127" s="242"/>
      <c r="V127" s="242"/>
      <c r="W127" s="243"/>
      <c r="X127" s="96"/>
      <c r="Y127" s="96"/>
      <c r="Z127" s="96"/>
      <c r="AA127" s="96"/>
      <c r="AB127" s="96"/>
      <c r="AC127" s="96"/>
      <c r="AD127" s="96"/>
      <c r="AE127" s="96"/>
      <c r="AF127" s="96"/>
      <c r="AG127" s="96"/>
      <c r="AH127" s="96"/>
      <c r="AI127" s="96"/>
      <c r="AJ127" s="96"/>
      <c r="AK127" s="96"/>
      <c r="AL127" s="96"/>
      <c r="AM127" s="96"/>
      <c r="AN127" s="96"/>
      <c r="AO127" s="96"/>
      <c r="AP127" s="96"/>
      <c r="AQ127" s="96"/>
      <c r="AR127" s="175" t="n">
        <v>0</v>
      </c>
    </row>
    <row r="128" s="175" customFormat="true" ht="17.25" hidden="true" customHeight="true" outlineLevel="0" collapsed="false">
      <c r="A128" s="230"/>
      <c r="D128" s="231"/>
      <c r="E128" s="232"/>
      <c r="F128" s="233"/>
      <c r="G128" s="232"/>
      <c r="H128" s="234"/>
      <c r="I128" s="235"/>
      <c r="J128" s="236"/>
      <c r="K128" s="237"/>
      <c r="L128" s="237"/>
      <c r="M128" s="237"/>
      <c r="N128" s="238"/>
      <c r="O128" s="237"/>
      <c r="P128" s="114"/>
      <c r="Q128" s="242"/>
      <c r="R128" s="242"/>
      <c r="W128" s="243"/>
      <c r="X128" s="96"/>
      <c r="Y128" s="96"/>
      <c r="Z128" s="96"/>
      <c r="AA128" s="96"/>
      <c r="AB128" s="96"/>
      <c r="AC128" s="96"/>
      <c r="AD128" s="96"/>
      <c r="AE128" s="96"/>
      <c r="AF128" s="96"/>
      <c r="AG128" s="96"/>
      <c r="AH128" s="96"/>
      <c r="AI128" s="96"/>
      <c r="AJ128" s="96"/>
      <c r="AK128" s="96"/>
      <c r="AL128" s="96"/>
      <c r="AM128" s="96"/>
      <c r="AN128" s="96"/>
      <c r="AO128" s="96"/>
      <c r="AP128" s="96"/>
      <c r="AQ128" s="96"/>
      <c r="AR128" s="175" t="n">
        <v>0</v>
      </c>
    </row>
    <row r="129" s="175" customFormat="true" ht="17.25" hidden="true" customHeight="true" outlineLevel="0" collapsed="false">
      <c r="A129" s="230"/>
      <c r="D129" s="231"/>
      <c r="E129" s="232"/>
      <c r="F129" s="233"/>
      <c r="G129" s="232"/>
      <c r="H129" s="234"/>
      <c r="I129" s="235"/>
      <c r="J129" s="236"/>
      <c r="K129" s="237"/>
      <c r="L129" s="242"/>
      <c r="M129" s="242"/>
      <c r="N129" s="242"/>
      <c r="O129" s="242"/>
      <c r="P129" s="242"/>
      <c r="Q129" s="242"/>
      <c r="R129" s="242"/>
      <c r="W129" s="243"/>
      <c r="X129" s="96"/>
      <c r="Y129" s="96"/>
      <c r="Z129" s="96"/>
      <c r="AA129" s="96"/>
      <c r="AB129" s="96"/>
      <c r="AC129" s="96"/>
      <c r="AD129" s="96"/>
      <c r="AE129" s="96"/>
      <c r="AF129" s="96"/>
      <c r="AG129" s="96"/>
      <c r="AH129" s="96"/>
      <c r="AI129" s="96"/>
      <c r="AJ129" s="96"/>
      <c r="AK129" s="96"/>
      <c r="AL129" s="96"/>
      <c r="AM129" s="96"/>
      <c r="AN129" s="96"/>
      <c r="AO129" s="96"/>
      <c r="AP129" s="96"/>
      <c r="AQ129" s="96"/>
      <c r="AR129" s="175" t="n">
        <v>0</v>
      </c>
    </row>
    <row r="130" s="175" customFormat="true" ht="17.25" hidden="true" customHeight="true" outlineLevel="0" collapsed="false">
      <c r="A130" s="230"/>
      <c r="D130" s="231"/>
      <c r="E130" s="232"/>
      <c r="F130" s="233"/>
      <c r="G130" s="232"/>
      <c r="H130" s="244"/>
      <c r="I130" s="245"/>
      <c r="J130" s="245"/>
      <c r="K130" s="245"/>
      <c r="L130" s="245"/>
      <c r="M130" s="245"/>
      <c r="N130" s="245"/>
      <c r="O130" s="245"/>
      <c r="P130" s="245"/>
      <c r="Q130" s="245"/>
      <c r="R130" s="245"/>
      <c r="S130" s="246"/>
      <c r="T130" s="246"/>
      <c r="U130" s="246"/>
      <c r="V130" s="246"/>
      <c r="W130" s="247"/>
      <c r="X130" s="96"/>
      <c r="Y130" s="96"/>
      <c r="Z130" s="96"/>
      <c r="AA130" s="96"/>
      <c r="AB130" s="96"/>
      <c r="AC130" s="96"/>
      <c r="AD130" s="96"/>
      <c r="AE130" s="96"/>
      <c r="AF130" s="96"/>
      <c r="AG130" s="96"/>
      <c r="AH130" s="96"/>
      <c r="AI130" s="96"/>
      <c r="AJ130" s="96"/>
      <c r="AK130" s="96"/>
      <c r="AL130" s="96"/>
      <c r="AM130" s="96"/>
      <c r="AN130" s="96"/>
      <c r="AO130" s="96"/>
      <c r="AP130" s="96"/>
      <c r="AQ130" s="96"/>
      <c r="AR130" s="175" t="n">
        <v>0</v>
      </c>
    </row>
    <row r="131" s="175" customFormat="true" ht="17.25" hidden="true" customHeight="true" outlineLevel="0" collapsed="false">
      <c r="A131" s="230"/>
      <c r="C131" s="117"/>
      <c r="D131" s="231" t="n">
        <v>3</v>
      </c>
      <c r="E131" s="232" t="s">
        <v>287</v>
      </c>
      <c r="F131" s="233" t="s">
        <v>19</v>
      </c>
      <c r="G131" s="232"/>
      <c r="H131" s="234"/>
      <c r="I131" s="235"/>
      <c r="J131" s="236"/>
      <c r="K131" s="237"/>
      <c r="L131" s="237"/>
      <c r="M131" s="237"/>
      <c r="N131" s="238"/>
      <c r="O131" s="237"/>
      <c r="P131" s="237"/>
      <c r="Q131" s="237"/>
      <c r="R131" s="239"/>
      <c r="S131" s="237"/>
      <c r="T131" s="237"/>
      <c r="U131" s="237"/>
      <c r="V131" s="239"/>
      <c r="W131" s="240"/>
      <c r="X131" s="241"/>
      <c r="Y131" s="241"/>
      <c r="Z131" s="241"/>
      <c r="AA131" s="241"/>
      <c r="AB131" s="241"/>
      <c r="AC131" s="241" t="s">
        <v>288</v>
      </c>
      <c r="AD131" s="241" t="s">
        <v>289</v>
      </c>
      <c r="AE131" s="241" t="s">
        <v>290</v>
      </c>
      <c r="AF131" s="241" t="s">
        <v>291</v>
      </c>
      <c r="AG131" s="241"/>
      <c r="AH131" s="241" t="str">
        <f aca="false">IF($E$131=0,"",$E$131)</f>
        <v>Тариф на подключение (технологическое присоединение) к централизованной системе водоотведения</v>
      </c>
      <c r="AI131" s="241" t="str">
        <f aca="false">IF($G$131=0,"",$G$131)</f>
        <v/>
      </c>
      <c r="AJ131" s="241" t="str">
        <f aca="false">IF($J$131=0,"",$J$131)</f>
        <v/>
      </c>
      <c r="AK131" s="241" t="str">
        <f aca="false">IF($K$131="нет","без дифференциации",IF($N$131=0,"",$N$131))</f>
        <v/>
      </c>
      <c r="AL131" s="241" t="str">
        <f aca="false">IF($O$131="нет","без дифференциации",IF($R$131=0,"",$R$131))</f>
        <v/>
      </c>
      <c r="AM131" s="241" t="str">
        <f aca="false">IF($S$131="нет","без дифференциации",IF($V$131=0,"",$V$131))</f>
        <v/>
      </c>
      <c r="AN131" s="249" t="n">
        <f aca="false">$I$131</f>
        <v>0</v>
      </c>
      <c r="AO131" s="241" t="str">
        <f aca="false">$I$131&amp;"."&amp;$M$131</f>
        <v>.</v>
      </c>
      <c r="AP131" s="96" t="str">
        <f aca="false">$I$131&amp;"."&amp;$M$131&amp;"."&amp;$Q$131</f>
        <v>..</v>
      </c>
      <c r="AQ131" s="96" t="str">
        <f aca="false">$I$131&amp;"."&amp;$M$131&amp;"."&amp;$Q$131&amp;"."&amp;$U$131</f>
        <v>...</v>
      </c>
      <c r="AR131" s="175" t="n">
        <v>0</v>
      </c>
    </row>
    <row r="132" s="175" customFormat="true" ht="17.25" hidden="true" customHeight="true" outlineLevel="0" collapsed="false">
      <c r="A132" s="230"/>
      <c r="D132" s="231"/>
      <c r="E132" s="232"/>
      <c r="F132" s="233"/>
      <c r="G132" s="232"/>
      <c r="H132" s="234"/>
      <c r="I132" s="235"/>
      <c r="J132" s="236"/>
      <c r="K132" s="237"/>
      <c r="L132" s="237"/>
      <c r="M132" s="237"/>
      <c r="N132" s="238"/>
      <c r="O132" s="237"/>
      <c r="P132" s="237"/>
      <c r="Q132" s="237"/>
      <c r="R132" s="239"/>
      <c r="S132" s="237"/>
      <c r="T132" s="242"/>
      <c r="U132" s="242"/>
      <c r="V132" s="242"/>
      <c r="W132" s="243"/>
      <c r="X132" s="96"/>
      <c r="Y132" s="96"/>
      <c r="Z132" s="96"/>
      <c r="AA132" s="96"/>
      <c r="AB132" s="96"/>
      <c r="AC132" s="96"/>
      <c r="AD132" s="96"/>
      <c r="AE132" s="96"/>
      <c r="AF132" s="96"/>
      <c r="AG132" s="96"/>
      <c r="AH132" s="96"/>
      <c r="AI132" s="96"/>
      <c r="AJ132" s="96"/>
      <c r="AK132" s="96"/>
      <c r="AL132" s="96"/>
      <c r="AM132" s="96"/>
      <c r="AN132" s="96"/>
      <c r="AO132" s="96"/>
      <c r="AP132" s="96"/>
      <c r="AQ132" s="96"/>
      <c r="AR132" s="175" t="n">
        <v>0</v>
      </c>
    </row>
    <row r="133" s="175" customFormat="true" ht="17.25" hidden="true" customHeight="true" outlineLevel="0" collapsed="false">
      <c r="A133" s="230"/>
      <c r="D133" s="231"/>
      <c r="E133" s="232"/>
      <c r="F133" s="233"/>
      <c r="G133" s="232"/>
      <c r="H133" s="234"/>
      <c r="I133" s="235"/>
      <c r="J133" s="236"/>
      <c r="K133" s="237"/>
      <c r="L133" s="237"/>
      <c r="M133" s="237"/>
      <c r="N133" s="238"/>
      <c r="O133" s="237"/>
      <c r="P133" s="114"/>
      <c r="Q133" s="242"/>
      <c r="R133" s="242"/>
      <c r="W133" s="243"/>
      <c r="X133" s="96"/>
      <c r="Y133" s="96"/>
      <c r="Z133" s="96"/>
      <c r="AA133" s="96"/>
      <c r="AB133" s="96"/>
      <c r="AC133" s="96"/>
      <c r="AD133" s="96"/>
      <c r="AE133" s="96"/>
      <c r="AF133" s="96"/>
      <c r="AG133" s="96"/>
      <c r="AH133" s="96"/>
      <c r="AI133" s="96"/>
      <c r="AJ133" s="96"/>
      <c r="AK133" s="96"/>
      <c r="AL133" s="96"/>
      <c r="AM133" s="96"/>
      <c r="AN133" s="96"/>
      <c r="AO133" s="96"/>
      <c r="AP133" s="96"/>
      <c r="AQ133" s="96"/>
      <c r="AR133" s="175" t="n">
        <v>0</v>
      </c>
    </row>
    <row r="134" s="175" customFormat="true" ht="17.25" hidden="true" customHeight="true" outlineLevel="0" collapsed="false">
      <c r="A134" s="230"/>
      <c r="D134" s="231"/>
      <c r="E134" s="232"/>
      <c r="F134" s="233"/>
      <c r="G134" s="232"/>
      <c r="H134" s="234"/>
      <c r="I134" s="235"/>
      <c r="J134" s="236"/>
      <c r="K134" s="237"/>
      <c r="L134" s="242"/>
      <c r="M134" s="242"/>
      <c r="N134" s="242"/>
      <c r="O134" s="242"/>
      <c r="P134" s="242"/>
      <c r="Q134" s="242"/>
      <c r="R134" s="242"/>
      <c r="W134" s="243"/>
      <c r="X134" s="96"/>
      <c r="Y134" s="96"/>
      <c r="Z134" s="96"/>
      <c r="AA134" s="96"/>
      <c r="AB134" s="96"/>
      <c r="AC134" s="96"/>
      <c r="AD134" s="96"/>
      <c r="AE134" s="96"/>
      <c r="AF134" s="96"/>
      <c r="AG134" s="96"/>
      <c r="AH134" s="96"/>
      <c r="AI134" s="96"/>
      <c r="AJ134" s="96"/>
      <c r="AK134" s="96"/>
      <c r="AL134" s="96"/>
      <c r="AM134" s="96"/>
      <c r="AN134" s="96"/>
      <c r="AO134" s="96"/>
      <c r="AP134" s="96"/>
      <c r="AQ134" s="96"/>
      <c r="AR134" s="175" t="n">
        <v>0</v>
      </c>
    </row>
    <row r="135" s="175" customFormat="true" ht="17.25" hidden="true" customHeight="true" outlineLevel="0" collapsed="false">
      <c r="A135" s="230"/>
      <c r="D135" s="231"/>
      <c r="E135" s="232"/>
      <c r="F135" s="233"/>
      <c r="G135" s="232"/>
      <c r="H135" s="244"/>
      <c r="I135" s="245"/>
      <c r="J135" s="245"/>
      <c r="K135" s="245"/>
      <c r="L135" s="245"/>
      <c r="M135" s="245"/>
      <c r="N135" s="245"/>
      <c r="O135" s="245"/>
      <c r="P135" s="245"/>
      <c r="Q135" s="245"/>
      <c r="R135" s="245"/>
      <c r="S135" s="246"/>
      <c r="T135" s="246"/>
      <c r="U135" s="246"/>
      <c r="V135" s="246"/>
      <c r="W135" s="247"/>
      <c r="X135" s="96"/>
      <c r="Y135" s="96"/>
      <c r="Z135" s="96"/>
      <c r="AA135" s="96"/>
      <c r="AB135" s="96"/>
      <c r="AC135" s="96"/>
      <c r="AD135" s="96"/>
      <c r="AE135" s="96"/>
      <c r="AF135" s="96"/>
      <c r="AG135" s="96"/>
      <c r="AH135" s="96"/>
      <c r="AI135" s="96"/>
      <c r="AJ135" s="96"/>
      <c r="AK135" s="96"/>
      <c r="AL135" s="96"/>
      <c r="AM135" s="96"/>
      <c r="AN135" s="96"/>
      <c r="AO135" s="96"/>
      <c r="AP135" s="96"/>
      <c r="AQ135" s="96"/>
      <c r="AR135" s="175" t="n">
        <v>0</v>
      </c>
    </row>
    <row r="136" customFormat="false" ht="11.25" hidden="false" customHeight="true" outlineLevel="0" collapsed="false">
      <c r="AR136" s="175" t="n">
        <v>11</v>
      </c>
    </row>
    <row r="137" customFormat="false" ht="11.25" hidden="false" customHeight="true" outlineLevel="0" collapsed="false">
      <c r="AR137" s="175" t="n">
        <v>11</v>
      </c>
    </row>
    <row r="138" customFormat="false" ht="11.25" hidden="false" customHeight="true" outlineLevel="0" collapsed="false">
      <c r="AR138" s="175" t="n">
        <v>11</v>
      </c>
    </row>
    <row r="139" customFormat="false" ht="11.25" hidden="false" customHeight="true" outlineLevel="0" collapsed="false">
      <c r="AR139" s="175" t="n">
        <v>11</v>
      </c>
    </row>
    <row r="140" customFormat="false" ht="11.25" hidden="false" customHeight="true" outlineLevel="0" collapsed="false">
      <c r="AR140" s="175" t="n">
        <v>11</v>
      </c>
    </row>
    <row r="141" customFormat="false" ht="11.25" hidden="false" customHeight="true" outlineLevel="0" collapsed="false">
      <c r="AR141" s="175" t="n">
        <v>11</v>
      </c>
    </row>
    <row r="142" customFormat="false" ht="11.25" hidden="false" customHeight="true" outlineLevel="0" collapsed="false">
      <c r="AR142" s="175" t="n">
        <v>11</v>
      </c>
    </row>
    <row r="143" customFormat="false" ht="11.25" hidden="false" customHeight="true" outlineLevel="0" collapsed="false">
      <c r="AR143" s="175" t="n">
        <v>11</v>
      </c>
    </row>
    <row r="144" customFormat="false" ht="11.25" hidden="false" customHeight="true" outlineLevel="0" collapsed="false">
      <c r="AR144" s="175" t="n">
        <v>11</v>
      </c>
    </row>
    <row r="145" customFormat="false" ht="11.25" hidden="false" customHeight="true" outlineLevel="0" collapsed="false">
      <c r="AR145" s="175" t="n">
        <v>11</v>
      </c>
    </row>
    <row r="146" customFormat="false" ht="11.25" hidden="true" customHeight="true" outlineLevel="0" collapsed="false">
      <c r="A146" s="118" t="s">
        <v>81</v>
      </c>
      <c r="B146" s="118" t="n">
        <v>0</v>
      </c>
      <c r="C146" s="175" t="n">
        <v>3</v>
      </c>
      <c r="D146" s="175" t="n">
        <v>6</v>
      </c>
      <c r="E146" s="175" t="n">
        <v>42</v>
      </c>
      <c r="F146" s="175" t="n">
        <v>14</v>
      </c>
      <c r="G146" s="175" t="n">
        <v>42</v>
      </c>
      <c r="H146" s="175" t="n">
        <v>3</v>
      </c>
      <c r="I146" s="175" t="n">
        <v>5</v>
      </c>
      <c r="J146" s="175" t="n">
        <v>47</v>
      </c>
      <c r="K146" s="175" t="n">
        <v>3</v>
      </c>
      <c r="L146" s="175" t="n">
        <v>3</v>
      </c>
      <c r="M146" s="175" t="n">
        <v>5</v>
      </c>
      <c r="N146" s="175" t="n">
        <v>28</v>
      </c>
      <c r="O146" s="175" t="n">
        <v>3</v>
      </c>
      <c r="P146" s="175" t="n">
        <v>3</v>
      </c>
      <c r="Q146" s="175" t="n">
        <v>5</v>
      </c>
      <c r="R146" s="175" t="n">
        <v>34</v>
      </c>
      <c r="S146" s="175" t="n">
        <v>0</v>
      </c>
      <c r="T146" s="175" t="n">
        <v>0</v>
      </c>
      <c r="U146" s="175" t="n">
        <v>0</v>
      </c>
      <c r="V146" s="175" t="n">
        <v>0</v>
      </c>
      <c r="W146" s="175" t="n">
        <v>30</v>
      </c>
      <c r="X146" s="175" t="n">
        <v>3</v>
      </c>
      <c r="Y146" s="96" t="n">
        <v>0</v>
      </c>
      <c r="Z146" s="96" t="n">
        <v>0</v>
      </c>
      <c r="AA146" s="96" t="n">
        <v>0</v>
      </c>
      <c r="AB146" s="96" t="n">
        <v>0</v>
      </c>
      <c r="AC146" s="96" t="n">
        <v>0</v>
      </c>
      <c r="AD146" s="96" t="n">
        <v>0</v>
      </c>
      <c r="AE146" s="96" t="n">
        <v>0</v>
      </c>
      <c r="AF146" s="96" t="n">
        <v>0</v>
      </c>
      <c r="AG146" s="96" t="n">
        <v>0</v>
      </c>
      <c r="AH146" s="96" t="n">
        <v>0</v>
      </c>
      <c r="AI146" s="96" t="n">
        <v>0</v>
      </c>
      <c r="AJ146" s="96" t="n">
        <v>0</v>
      </c>
      <c r="AK146" s="96" t="n">
        <v>0</v>
      </c>
      <c r="AL146" s="96" t="n">
        <v>0</v>
      </c>
      <c r="AM146" s="96" t="n">
        <v>0</v>
      </c>
      <c r="AN146" s="96" t="n">
        <v>0</v>
      </c>
      <c r="AO146" s="96" t="n">
        <v>0</v>
      </c>
      <c r="AP146" s="96" t="n">
        <v>0</v>
      </c>
      <c r="AQ146" s="96" t="n">
        <v>0</v>
      </c>
      <c r="AR146" s="175" t="n">
        <v>11</v>
      </c>
    </row>
  </sheetData>
  <mergeCells count="379">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D53:D57"/>
    <mergeCell ref="E53:E57"/>
    <mergeCell ref="F53:F57"/>
    <mergeCell ref="G53:G57"/>
    <mergeCell ref="H53:H56"/>
    <mergeCell ref="I53:I56"/>
    <mergeCell ref="J53:J56"/>
    <mergeCell ref="K53:K56"/>
    <mergeCell ref="L53:L55"/>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69:W69"/>
    <mergeCell ref="E70:W70"/>
    <mergeCell ref="E71:W71"/>
    <mergeCell ref="E72:W72"/>
    <mergeCell ref="E73:W73"/>
    <mergeCell ref="E75:W75"/>
    <mergeCell ref="E76:W76"/>
    <mergeCell ref="E77:W77"/>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89:D93"/>
    <mergeCell ref="E89:E93"/>
    <mergeCell ref="F89:F93"/>
    <mergeCell ref="G89:G93"/>
    <mergeCell ref="H89:H92"/>
    <mergeCell ref="I89:I92"/>
    <mergeCell ref="J89:J92"/>
    <mergeCell ref="K89:K92"/>
    <mergeCell ref="L89:L91"/>
    <mergeCell ref="M89:M91"/>
    <mergeCell ref="N89:N91"/>
    <mergeCell ref="O89:O91"/>
    <mergeCell ref="P89:P90"/>
    <mergeCell ref="Q89:Q90"/>
    <mergeCell ref="R89:R90"/>
    <mergeCell ref="S89:S90"/>
    <mergeCell ref="D94:D98"/>
    <mergeCell ref="E94:E98"/>
    <mergeCell ref="F94:F98"/>
    <mergeCell ref="G94:G98"/>
    <mergeCell ref="H94:H97"/>
    <mergeCell ref="I94:I97"/>
    <mergeCell ref="J94:J97"/>
    <mergeCell ref="K94:K97"/>
    <mergeCell ref="L94:L96"/>
    <mergeCell ref="M94:M96"/>
    <mergeCell ref="N94:N96"/>
    <mergeCell ref="O94:O96"/>
    <mergeCell ref="P94:P95"/>
    <mergeCell ref="Q94:Q95"/>
    <mergeCell ref="R94:R95"/>
    <mergeCell ref="S94:S95"/>
    <mergeCell ref="D99:D103"/>
    <mergeCell ref="E99:E103"/>
    <mergeCell ref="F99:F103"/>
    <mergeCell ref="G99:G103"/>
    <mergeCell ref="H99:H102"/>
    <mergeCell ref="I99:I102"/>
    <mergeCell ref="J99:J102"/>
    <mergeCell ref="K99:K102"/>
    <mergeCell ref="L99:L101"/>
    <mergeCell ref="M99:M101"/>
    <mergeCell ref="N99:N101"/>
    <mergeCell ref="O99:O101"/>
    <mergeCell ref="P99:P100"/>
    <mergeCell ref="Q99:Q100"/>
    <mergeCell ref="R99:R100"/>
    <mergeCell ref="S99:S100"/>
    <mergeCell ref="D105:D109"/>
    <mergeCell ref="E105:E109"/>
    <mergeCell ref="F105:F109"/>
    <mergeCell ref="G105:G109"/>
    <mergeCell ref="H105:H108"/>
    <mergeCell ref="I105:I108"/>
    <mergeCell ref="J105:J108"/>
    <mergeCell ref="K105:K108"/>
    <mergeCell ref="L105:L107"/>
    <mergeCell ref="M105:M107"/>
    <mergeCell ref="N105:N107"/>
    <mergeCell ref="O105:O107"/>
    <mergeCell ref="P105:P106"/>
    <mergeCell ref="Q105:Q106"/>
    <mergeCell ref="R105:R106"/>
    <mergeCell ref="S105:S106"/>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126:S127"/>
    <mergeCell ref="D131:D135"/>
    <mergeCell ref="E131:E135"/>
    <mergeCell ref="F131:F135"/>
    <mergeCell ref="G131:G135"/>
    <mergeCell ref="H131:H134"/>
    <mergeCell ref="I131:I134"/>
    <mergeCell ref="J131:J134"/>
    <mergeCell ref="K131:K134"/>
    <mergeCell ref="L131:L133"/>
    <mergeCell ref="M131:M133"/>
    <mergeCell ref="N131:N133"/>
    <mergeCell ref="O131:O133"/>
    <mergeCell ref="P131:P132"/>
    <mergeCell ref="Q131:Q132"/>
    <mergeCell ref="R131:R132"/>
    <mergeCell ref="S131:S132"/>
  </mergeCells>
  <dataValidations count="5">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3:F65 K13:K14 O13:O14 S13:S14 K18:K19 O18:O19 S18:S19 K23:K24 O23:O24 S23:S24 K28:K29 O28:O29 S28:S29 K33:K34 O33:O34 S33:S34 K38:K39 O38:O39 S38:S39 K43:K44 O43:O44 S43:S44 K48:K49 O48:O49 S48:S49 K53:K54 O53:O54 S53:S54 K58:K59 O58:O59 S58:S59 K63:K64 O63:O64 S63:S64 F66:F67 F79:F101 K79:K80 O79:O80 S79:S80 K84:K85 O84:O85 S84:S85 K89:K90 O89:O90 S89:S90 K94:K95 O94:O95 S94:S95 K99:K100 O99:O100 S99:S100 F102:F103 F105:F117 K105:K106 O105:O106 S105:S106 K110:K111 O110:O111 S110:S111 K115:K116 O115:O116 S115:S116 F118:F119 F121:F133 K121:K122 O121:O122 S121:S122 K126:K127 O126:O127 S126:S127 K131:K132 O131:O132 S131:S132 F134:F135"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J13:J14 R13:R14 V13:W13 J18:J19 R18:R19 V18:W18 J23:J24 R23:R24 V23:W23 J28:J29 R28:R29 V28:W28 J33:J34 R33:R34 V33:W33 J38:J39 R38:R39 V38:W38 J43:J44 R43:R44 V43:W43 J48:J49 R48:R49 V48:W48 J53:J54 R53:R54 V53:W53 J58:J59 R58:R59 V58:W58 J63:J64 R63:R64 V63:W63 J79:J80 R79:R80 V79:W79 J84:J85 R84:R85 V84:W84 J89:J90 R89:R90 V89:W89 J94:J95 R94:R95 V94:W94 J99:J100 R99:R100 V99:W99 J105:J106 R105:R106 V105:W105 J110:J111 R110:R111 V110:W110 J115:J116 R115:R116 V115:W115 J121:J122 R121:R122 V121:W121 J126:J127 R126:R127 V126:W126 J131:J132 R131:R132 V131:W131" type="textLength">
      <formula1>900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3:N15 N18:N20 N23:N25 N28:N30 N33:N35 N38:N40 N43:N45 N48:N50 N53:N55 N58:N60 N63:N65 N79:N81 N84:N86 N89:N91 N94:N96 N99:N101 N105:N107 N110:N112 N115:N117 N121:N123 N126:N128 N131:N133" type="list">
      <formula1>DESCRIPTION_TERRITORY</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3:G67 G79:G103 G105:G119 G121:G135"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E18:E22" type="list">
      <formula1>kind_of_tariff_RHEAT</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BM5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1.25" zeroHeight="false" outlineLevelRow="0" outlineLevelCol="0"/>
  <cols>
    <col collapsed="false" customWidth="false" hidden="true" outlineLevel="0" max="2" min="1" style="53" width="9.14"/>
    <col collapsed="false" customWidth="true" hidden="false" outlineLevel="0" max="4" min="3" style="53" width="3"/>
    <col collapsed="false" customWidth="true" hidden="false" outlineLevel="0" max="6" min="5" style="53" width="15"/>
    <col collapsed="false" customWidth="true" hidden="false" outlineLevel="0" max="7" min="7" style="53" width="11.57"/>
    <col collapsed="false" customWidth="true" hidden="false" outlineLevel="0" max="9" min="8" style="53" width="3"/>
    <col collapsed="false" customWidth="true" hidden="false" outlineLevel="0" max="10" min="10" style="53" width="12"/>
    <col collapsed="false" customWidth="true" hidden="false" outlineLevel="0" max="11" min="11" style="53" width="0.28"/>
    <col collapsed="false" customWidth="true" hidden="false" outlineLevel="0" max="13" min="12" style="53" width="10"/>
    <col collapsed="false" customWidth="true" hidden="false" outlineLevel="0" max="15" min="14" style="53" width="3"/>
    <col collapsed="false" customWidth="true" hidden="false" outlineLevel="0" max="16" min="16" style="53" width="19"/>
    <col collapsed="false" customWidth="true" hidden="false" outlineLevel="0" max="17" min="17" style="53" width="0.28"/>
    <col collapsed="false" customWidth="true" hidden="false" outlineLevel="0" max="19" min="18" style="53" width="10"/>
    <col collapsed="false" customWidth="true" hidden="false" outlineLevel="0" max="21" min="20" style="53" width="3"/>
    <col collapsed="false" customWidth="true" hidden="false" outlineLevel="0" max="22" min="22" style="53" width="25"/>
    <col collapsed="false" customWidth="true" hidden="false" outlineLevel="0" max="23" min="23" style="53" width="0.28"/>
    <col collapsed="false" customWidth="true" hidden="false" outlineLevel="0" max="25" min="24" style="53" width="10"/>
    <col collapsed="false" customWidth="true" hidden="false" outlineLevel="0" max="27" min="26" style="53" width="3"/>
    <col collapsed="false" customWidth="true" hidden="false" outlineLevel="0" max="28" min="28" style="53" width="16"/>
    <col collapsed="false" customWidth="true" hidden="false" outlineLevel="0" max="29" min="29" style="53" width="0.28"/>
    <col collapsed="false" customWidth="true" hidden="false" outlineLevel="0" max="31" min="30" style="53" width="10"/>
    <col collapsed="false" customWidth="true" hidden="false" outlineLevel="0" max="33" min="32" style="53" width="3"/>
    <col collapsed="false" customWidth="true" hidden="false" outlineLevel="0" max="34" min="34" style="53" width="8"/>
    <col collapsed="false" customWidth="true" hidden="false" outlineLevel="0" max="35" min="35" style="53" width="21"/>
    <col collapsed="false" customWidth="true" hidden="false" outlineLevel="0" max="36" min="36" style="53" width="8"/>
    <col collapsed="false" customWidth="true" hidden="false" outlineLevel="0" max="37" min="37" style="54" width="8"/>
    <col collapsed="false" customWidth="true" hidden="false" outlineLevel="0" max="64" min="38" style="53" width="8"/>
    <col collapsed="false" customWidth="false" hidden="true" outlineLevel="0" max="65" min="65" style="53" width="9.14"/>
  </cols>
  <sheetData>
    <row r="1" s="156" customFormat="true" ht="11.25" hidden="true" customHeight="true" outlineLevel="0" collapsed="false">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156" t="s">
        <v>14</v>
      </c>
    </row>
    <row r="2" s="253" customFormat="true" ht="11.25" hidden="true" customHeight="true" outlineLevel="0" collapsed="false">
      <c r="L2" s="253" t="s">
        <v>292</v>
      </c>
      <c r="M2" s="253" t="s">
        <v>293</v>
      </c>
      <c r="R2" s="253" t="s">
        <v>294</v>
      </c>
      <c r="S2" s="253" t="s">
        <v>293</v>
      </c>
      <c r="X2" s="253" t="s">
        <v>292</v>
      </c>
      <c r="Y2" s="253" t="s">
        <v>293</v>
      </c>
      <c r="AD2" s="253" t="s">
        <v>292</v>
      </c>
      <c r="AE2" s="253" t="s">
        <v>293</v>
      </c>
      <c r="AJ2" s="254"/>
      <c r="AK2" s="254"/>
      <c r="AL2" s="254"/>
      <c r="AM2" s="254"/>
      <c r="AN2" s="254"/>
      <c r="AO2" s="254"/>
      <c r="AP2" s="254"/>
      <c r="AQ2" s="254"/>
      <c r="AR2" s="254"/>
      <c r="AS2" s="254"/>
      <c r="AT2" s="254"/>
      <c r="AU2" s="254"/>
      <c r="AV2" s="254"/>
      <c r="AW2" s="254"/>
      <c r="AX2" s="254"/>
      <c r="AY2" s="254"/>
      <c r="AZ2" s="254"/>
      <c r="BA2" s="254"/>
      <c r="BB2" s="254"/>
      <c r="BC2" s="254"/>
      <c r="BD2" s="254"/>
      <c r="BE2" s="254"/>
      <c r="BF2" s="254"/>
      <c r="BG2" s="254"/>
      <c r="BH2" s="254"/>
      <c r="BI2" s="254"/>
      <c r="BJ2" s="254"/>
      <c r="BK2" s="254"/>
      <c r="BL2" s="254"/>
      <c r="BM2" s="253" t="n">
        <v>0</v>
      </c>
    </row>
    <row r="3" s="255" customFormat="true" ht="11.25" hidden="false" customHeight="true" outlineLevel="0" collapsed="false">
      <c r="AJ3" s="53"/>
      <c r="AK3" s="54"/>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255" t="n">
        <v>11</v>
      </c>
    </row>
    <row r="4" s="129" customFormat="true" ht="34.5" hidden="false" customHeight="true" outlineLevel="0" collapsed="false">
      <c r="A4" s="45"/>
      <c r="B4" s="42"/>
      <c r="C4" s="117"/>
      <c r="D4" s="256" t="s">
        <v>295</v>
      </c>
      <c r="E4" s="256"/>
      <c r="F4" s="256"/>
      <c r="G4" s="256"/>
      <c r="H4" s="256"/>
      <c r="I4" s="256"/>
      <c r="J4" s="256"/>
      <c r="K4" s="257"/>
      <c r="T4" s="258"/>
      <c r="AJ4" s="259"/>
      <c r="AK4" s="260"/>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129" t="n">
        <v>33</v>
      </c>
    </row>
    <row r="5" s="129" customFormat="true" ht="14.25" hidden="false" customHeight="true" outlineLevel="0" collapsed="false">
      <c r="A5" s="45"/>
      <c r="B5" s="42"/>
      <c r="C5" s="117"/>
      <c r="D5" s="261" t="str">
        <f aca="false">IF(org=0,"Не определено",org)</f>
        <v>ООО "Газпром теплоэнерго Ярославль"</v>
      </c>
      <c r="E5" s="261"/>
      <c r="F5" s="261"/>
      <c r="G5" s="261"/>
      <c r="H5" s="261"/>
      <c r="I5" s="261"/>
      <c r="J5" s="261"/>
      <c r="K5" s="257"/>
      <c r="T5" s="258"/>
      <c r="AJ5" s="259"/>
      <c r="AK5" s="260"/>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129" t="n">
        <v>14</v>
      </c>
    </row>
    <row r="6" s="129" customFormat="true" ht="14.25" hidden="false" customHeight="true" outlineLevel="0" collapsed="false">
      <c r="A6" s="45"/>
      <c r="B6" s="42"/>
      <c r="C6" s="117"/>
      <c r="D6" s="257"/>
      <c r="E6" s="257"/>
      <c r="F6" s="257"/>
      <c r="G6" s="257"/>
      <c r="H6" s="257"/>
      <c r="I6" s="257"/>
      <c r="J6" s="257"/>
      <c r="K6" s="257"/>
      <c r="T6" s="258"/>
      <c r="AJ6" s="259"/>
      <c r="AK6" s="260"/>
      <c r="AL6" s="259"/>
      <c r="AM6" s="259"/>
      <c r="AN6" s="259"/>
      <c r="AO6" s="259"/>
      <c r="AP6" s="259"/>
      <c r="AQ6" s="259"/>
      <c r="AR6" s="259"/>
      <c r="AS6" s="259"/>
      <c r="AT6" s="259"/>
      <c r="AU6" s="259"/>
      <c r="AV6" s="259"/>
      <c r="AW6" s="259"/>
      <c r="AX6" s="259"/>
      <c r="AY6" s="259"/>
      <c r="AZ6" s="259"/>
      <c r="BA6" s="259"/>
      <c r="BB6" s="259"/>
      <c r="BC6" s="259"/>
      <c r="BD6" s="259"/>
      <c r="BE6" s="259"/>
      <c r="BF6" s="259"/>
      <c r="BG6" s="259"/>
      <c r="BH6" s="259"/>
      <c r="BI6" s="259"/>
      <c r="BJ6" s="259"/>
      <c r="BK6" s="259"/>
      <c r="BL6" s="259"/>
      <c r="BM6" s="129" t="n">
        <v>14</v>
      </c>
    </row>
    <row r="7" s="156" customFormat="true" ht="0.75" hidden="false" customHeight="true" outlineLevel="0" collapsed="false">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156" t="n">
        <v>1</v>
      </c>
    </row>
    <row r="8" customFormat="false" ht="33.75" hidden="false" customHeight="true" outlineLevel="0" collapsed="false">
      <c r="D8" s="262" t="s">
        <v>87</v>
      </c>
      <c r="E8" s="262" t="s">
        <v>116</v>
      </c>
      <c r="F8" s="262" t="s">
        <v>137</v>
      </c>
      <c r="G8" s="262"/>
      <c r="H8" s="134" t="s">
        <v>87</v>
      </c>
      <c r="I8" s="134"/>
      <c r="J8" s="262" t="s">
        <v>138</v>
      </c>
      <c r="K8" s="263"/>
      <c r="L8" s="262" t="s">
        <v>296</v>
      </c>
      <c r="M8" s="262"/>
      <c r="N8" s="262"/>
      <c r="O8" s="262"/>
      <c r="P8" s="262"/>
      <c r="Q8" s="264"/>
      <c r="R8" s="265" t="s">
        <v>297</v>
      </c>
      <c r="S8" s="265"/>
      <c r="T8" s="265"/>
      <c r="U8" s="265"/>
      <c r="V8" s="265"/>
      <c r="W8" s="264"/>
      <c r="X8" s="134" t="s">
        <v>298</v>
      </c>
      <c r="Y8" s="134"/>
      <c r="Z8" s="134"/>
      <c r="AA8" s="134"/>
      <c r="AB8" s="134"/>
      <c r="AC8" s="262"/>
      <c r="AD8" s="265" t="s">
        <v>299</v>
      </c>
      <c r="AE8" s="265"/>
      <c r="AF8" s="265"/>
      <c r="AG8" s="265"/>
      <c r="AH8" s="265"/>
      <c r="AI8" s="262" t="s">
        <v>300</v>
      </c>
      <c r="BM8" s="53" t="n">
        <v>32</v>
      </c>
    </row>
    <row r="9" customFormat="false" ht="23.25" hidden="false" customHeight="true" outlineLevel="0" collapsed="false">
      <c r="D9" s="262"/>
      <c r="E9" s="262"/>
      <c r="F9" s="262" t="s">
        <v>88</v>
      </c>
      <c r="G9" s="262" t="s">
        <v>143</v>
      </c>
      <c r="H9" s="134"/>
      <c r="I9" s="134"/>
      <c r="J9" s="262"/>
      <c r="K9" s="266"/>
      <c r="L9" s="265" t="s">
        <v>301</v>
      </c>
      <c r="M9" s="265"/>
      <c r="N9" s="262" t="s">
        <v>87</v>
      </c>
      <c r="O9" s="262"/>
      <c r="P9" s="262" t="s">
        <v>144</v>
      </c>
      <c r="Q9" s="263"/>
      <c r="R9" s="265" t="s">
        <v>301</v>
      </c>
      <c r="S9" s="265"/>
      <c r="T9" s="262" t="s">
        <v>87</v>
      </c>
      <c r="U9" s="262"/>
      <c r="V9" s="262" t="s">
        <v>144</v>
      </c>
      <c r="W9" s="263"/>
      <c r="X9" s="265" t="s">
        <v>301</v>
      </c>
      <c r="Y9" s="265"/>
      <c r="Z9" s="262" t="s">
        <v>87</v>
      </c>
      <c r="AA9" s="262"/>
      <c r="AB9" s="262" t="s">
        <v>302</v>
      </c>
      <c r="AC9" s="263"/>
      <c r="AD9" s="265" t="s">
        <v>301</v>
      </c>
      <c r="AE9" s="265"/>
      <c r="AF9" s="262" t="s">
        <v>87</v>
      </c>
      <c r="AG9" s="262"/>
      <c r="AH9" s="264" t="s">
        <v>302</v>
      </c>
      <c r="AI9" s="262"/>
      <c r="BM9" s="53" t="n">
        <v>22</v>
      </c>
    </row>
    <row r="10" customFormat="false" ht="24" hidden="false" customHeight="true" outlineLevel="0" collapsed="false">
      <c r="D10" s="262"/>
      <c r="E10" s="262"/>
      <c r="F10" s="262"/>
      <c r="G10" s="262"/>
      <c r="H10" s="134"/>
      <c r="I10" s="134"/>
      <c r="J10" s="262"/>
      <c r="K10" s="266"/>
      <c r="L10" s="262" t="s">
        <v>303</v>
      </c>
      <c r="M10" s="264" t="s">
        <v>304</v>
      </c>
      <c r="N10" s="262"/>
      <c r="O10" s="262"/>
      <c r="P10" s="262"/>
      <c r="Q10" s="263"/>
      <c r="R10" s="262" t="s">
        <v>303</v>
      </c>
      <c r="S10" s="264" t="s">
        <v>304</v>
      </c>
      <c r="T10" s="262"/>
      <c r="U10" s="262"/>
      <c r="V10" s="262"/>
      <c r="W10" s="263"/>
      <c r="X10" s="262" t="s">
        <v>303</v>
      </c>
      <c r="Y10" s="264" t="s">
        <v>304</v>
      </c>
      <c r="Z10" s="262"/>
      <c r="AA10" s="262"/>
      <c r="AB10" s="262"/>
      <c r="AC10" s="263"/>
      <c r="AD10" s="262" t="s">
        <v>303</v>
      </c>
      <c r="AE10" s="264" t="s">
        <v>304</v>
      </c>
      <c r="AF10" s="262"/>
      <c r="AG10" s="262"/>
      <c r="AH10" s="264"/>
      <c r="AI10" s="262"/>
      <c r="AK10" s="132" t="s">
        <v>305</v>
      </c>
      <c r="AL10" s="132" t="s">
        <v>145</v>
      </c>
      <c r="BM10" s="53" t="n">
        <v>23</v>
      </c>
    </row>
    <row r="11" customFormat="false" ht="15" hidden="false" customHeight="true" outlineLevel="0" collapsed="false">
      <c r="D11" s="267" t="s">
        <v>120</v>
      </c>
      <c r="E11" s="268" t="s">
        <v>306</v>
      </c>
      <c r="F11" s="268" t="s">
        <v>307</v>
      </c>
      <c r="G11" s="204" t="s">
        <v>19</v>
      </c>
      <c r="H11" s="269"/>
      <c r="I11" s="270"/>
      <c r="J11" s="236"/>
      <c r="K11" s="236"/>
      <c r="L11" s="237"/>
      <c r="M11" s="237"/>
      <c r="N11" s="271"/>
      <c r="O11" s="237"/>
      <c r="P11" s="236"/>
      <c r="Q11" s="236"/>
      <c r="R11" s="237"/>
      <c r="S11" s="237"/>
      <c r="T11" s="272"/>
      <c r="U11" s="237"/>
      <c r="V11" s="236"/>
      <c r="W11" s="237"/>
      <c r="X11" s="237"/>
      <c r="Y11" s="237"/>
      <c r="Z11" s="271"/>
      <c r="AA11" s="237"/>
      <c r="AB11" s="236"/>
      <c r="AC11" s="273"/>
      <c r="AD11" s="237"/>
      <c r="AE11" s="237"/>
      <c r="AF11" s="237"/>
      <c r="AG11" s="237"/>
      <c r="AH11" s="271"/>
      <c r="AI11" s="240"/>
      <c r="BM11" s="53" t="n">
        <v>14</v>
      </c>
    </row>
    <row r="12" customFormat="false" ht="14.25" hidden="false" customHeight="true" outlineLevel="0" collapsed="false">
      <c r="D12" s="267"/>
      <c r="E12" s="268"/>
      <c r="F12" s="268"/>
      <c r="G12" s="204"/>
      <c r="H12" s="274"/>
      <c r="I12" s="270"/>
      <c r="J12" s="236"/>
      <c r="K12" s="75"/>
      <c r="L12" s="237"/>
      <c r="M12" s="237"/>
      <c r="N12" s="50"/>
      <c r="O12" s="237"/>
      <c r="P12" s="236"/>
      <c r="Q12" s="275"/>
      <c r="R12" s="237"/>
      <c r="S12" s="237"/>
      <c r="T12" s="276"/>
      <c r="U12" s="237"/>
      <c r="V12" s="236"/>
      <c r="W12" s="114"/>
      <c r="X12" s="237"/>
      <c r="Y12" s="237"/>
      <c r="Z12" s="50"/>
      <c r="AA12" s="237"/>
      <c r="AB12" s="236"/>
      <c r="AC12" s="75"/>
      <c r="AD12" s="237"/>
      <c r="AE12" s="237"/>
      <c r="AF12" s="242"/>
      <c r="AG12" s="242"/>
      <c r="AH12" s="243"/>
      <c r="AI12" s="243"/>
      <c r="BM12" s="53" t="n">
        <v>14</v>
      </c>
    </row>
    <row r="13" customFormat="false" ht="14.25" hidden="false" customHeight="true" outlineLevel="0" collapsed="false">
      <c r="D13" s="267"/>
      <c r="E13" s="268"/>
      <c r="F13" s="268"/>
      <c r="G13" s="204"/>
      <c r="H13" s="274"/>
      <c r="I13" s="270"/>
      <c r="J13" s="236"/>
      <c r="K13" s="75"/>
      <c r="L13" s="237"/>
      <c r="M13" s="237"/>
      <c r="N13" s="50"/>
      <c r="O13" s="237"/>
      <c r="P13" s="236"/>
      <c r="Q13" s="275"/>
      <c r="R13" s="237"/>
      <c r="S13" s="237"/>
      <c r="T13" s="276"/>
      <c r="U13" s="237"/>
      <c r="V13" s="236"/>
      <c r="W13" s="114"/>
      <c r="X13" s="237"/>
      <c r="Y13" s="237"/>
      <c r="Z13" s="114"/>
      <c r="AA13" s="242"/>
      <c r="AB13" s="243"/>
      <c r="AC13" s="243"/>
      <c r="AD13" s="243"/>
      <c r="AE13" s="243"/>
      <c r="AF13" s="243"/>
      <c r="AG13" s="243"/>
      <c r="AH13" s="243"/>
      <c r="AI13" s="243"/>
      <c r="BM13" s="53" t="n">
        <v>14</v>
      </c>
    </row>
    <row r="14" customFormat="false" ht="14.25" hidden="false" customHeight="true" outlineLevel="0" collapsed="false">
      <c r="D14" s="267"/>
      <c r="E14" s="268"/>
      <c r="F14" s="268"/>
      <c r="G14" s="204"/>
      <c r="H14" s="274"/>
      <c r="I14" s="270"/>
      <c r="J14" s="236"/>
      <c r="K14" s="75"/>
      <c r="L14" s="237"/>
      <c r="M14" s="237"/>
      <c r="N14" s="50"/>
      <c r="O14" s="237"/>
      <c r="P14" s="236"/>
      <c r="Q14" s="275"/>
      <c r="R14" s="237"/>
      <c r="S14" s="237"/>
      <c r="T14" s="277"/>
      <c r="U14" s="278"/>
      <c r="V14" s="243"/>
      <c r="W14" s="243"/>
      <c r="X14" s="243"/>
      <c r="Y14" s="243"/>
      <c r="Z14" s="243"/>
      <c r="AA14" s="243"/>
      <c r="AB14" s="243"/>
      <c r="AC14" s="243"/>
      <c r="AD14" s="243"/>
      <c r="AE14" s="243"/>
      <c r="AF14" s="243"/>
      <c r="AG14" s="243"/>
      <c r="AH14" s="243"/>
      <c r="AI14" s="243"/>
      <c r="BM14" s="53" t="n">
        <v>14</v>
      </c>
    </row>
    <row r="15" customFormat="false" ht="11.25" hidden="false" customHeight="true" outlineLevel="0" collapsed="false">
      <c r="D15" s="267"/>
      <c r="E15" s="268"/>
      <c r="F15" s="268"/>
      <c r="G15" s="204"/>
      <c r="H15" s="279"/>
      <c r="I15" s="270"/>
      <c r="J15" s="236"/>
      <c r="K15" s="75"/>
      <c r="L15" s="237"/>
      <c r="M15" s="237"/>
      <c r="N15" s="242"/>
      <c r="O15" s="242"/>
      <c r="P15" s="243"/>
      <c r="Q15" s="243"/>
      <c r="R15" s="243"/>
      <c r="S15" s="243"/>
      <c r="T15" s="243"/>
      <c r="U15" s="243"/>
      <c r="V15" s="243"/>
      <c r="W15" s="243"/>
      <c r="X15" s="243"/>
      <c r="Y15" s="243"/>
      <c r="Z15" s="243"/>
      <c r="AA15" s="243"/>
      <c r="AB15" s="243"/>
      <c r="AC15" s="243"/>
      <c r="AD15" s="243"/>
      <c r="AE15" s="243"/>
      <c r="AF15" s="243"/>
      <c r="AG15" s="243"/>
      <c r="AH15" s="243"/>
      <c r="AI15" s="243"/>
      <c r="BM15" s="53" t="n">
        <v>11</v>
      </c>
    </row>
    <row r="16" s="255" customFormat="true" ht="11.25" hidden="false" customHeight="true" outlineLevel="0" collapsed="false">
      <c r="D16" s="267"/>
      <c r="E16" s="268"/>
      <c r="F16" s="268"/>
      <c r="G16" s="204"/>
      <c r="H16" s="280"/>
      <c r="I16" s="281"/>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53"/>
      <c r="AK16" s="54"/>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255" t="n">
        <v>11</v>
      </c>
    </row>
    <row r="17" customFormat="false" ht="15" hidden="false" customHeight="true" outlineLevel="0" collapsed="false">
      <c r="D17" s="267" t="s">
        <v>102</v>
      </c>
      <c r="E17" s="268" t="s">
        <v>306</v>
      </c>
      <c r="F17" s="268" t="s">
        <v>308</v>
      </c>
      <c r="G17" s="204" t="s">
        <v>19</v>
      </c>
      <c r="H17" s="269"/>
      <c r="I17" s="270"/>
      <c r="J17" s="236"/>
      <c r="K17" s="236"/>
      <c r="L17" s="237"/>
      <c r="M17" s="237"/>
      <c r="N17" s="271"/>
      <c r="O17" s="237"/>
      <c r="P17" s="236"/>
      <c r="Q17" s="236"/>
      <c r="R17" s="237"/>
      <c r="S17" s="237"/>
      <c r="T17" s="272"/>
      <c r="U17" s="237"/>
      <c r="V17" s="236"/>
      <c r="W17" s="237"/>
      <c r="X17" s="237"/>
      <c r="Y17" s="237"/>
      <c r="Z17" s="271"/>
      <c r="AA17" s="237"/>
      <c r="AB17" s="236"/>
      <c r="AC17" s="273"/>
      <c r="AD17" s="237"/>
      <c r="AE17" s="237"/>
      <c r="AF17" s="237"/>
      <c r="AG17" s="237"/>
      <c r="AH17" s="271"/>
      <c r="AI17" s="240"/>
      <c r="BM17" s="53" t="n">
        <v>14</v>
      </c>
    </row>
    <row r="18" customFormat="false" ht="14.25" hidden="false" customHeight="true" outlineLevel="0" collapsed="false">
      <c r="D18" s="267"/>
      <c r="E18" s="268"/>
      <c r="F18" s="268"/>
      <c r="G18" s="204"/>
      <c r="H18" s="274"/>
      <c r="I18" s="270"/>
      <c r="J18" s="236"/>
      <c r="K18" s="75"/>
      <c r="L18" s="237"/>
      <c r="M18" s="237"/>
      <c r="N18" s="50"/>
      <c r="O18" s="237"/>
      <c r="P18" s="236"/>
      <c r="Q18" s="275"/>
      <c r="R18" s="237"/>
      <c r="S18" s="237"/>
      <c r="T18" s="276"/>
      <c r="U18" s="237"/>
      <c r="V18" s="236"/>
      <c r="W18" s="114"/>
      <c r="X18" s="237"/>
      <c r="Y18" s="237"/>
      <c r="Z18" s="50"/>
      <c r="AA18" s="237"/>
      <c r="AB18" s="236"/>
      <c r="AC18" s="75"/>
      <c r="AD18" s="237"/>
      <c r="AE18" s="237"/>
      <c r="AF18" s="242"/>
      <c r="AG18" s="242"/>
      <c r="AH18" s="243"/>
      <c r="AI18" s="243"/>
      <c r="BM18" s="53" t="n">
        <v>14</v>
      </c>
    </row>
    <row r="19" customFormat="false" ht="14.25" hidden="false" customHeight="true" outlineLevel="0" collapsed="false">
      <c r="D19" s="267"/>
      <c r="E19" s="268"/>
      <c r="F19" s="268"/>
      <c r="G19" s="204"/>
      <c r="H19" s="274"/>
      <c r="I19" s="270"/>
      <c r="J19" s="236"/>
      <c r="K19" s="75"/>
      <c r="L19" s="237"/>
      <c r="M19" s="237"/>
      <c r="N19" s="50"/>
      <c r="O19" s="237"/>
      <c r="P19" s="236"/>
      <c r="Q19" s="275"/>
      <c r="R19" s="237"/>
      <c r="S19" s="237"/>
      <c r="T19" s="276"/>
      <c r="U19" s="237"/>
      <c r="V19" s="236"/>
      <c r="W19" s="114"/>
      <c r="X19" s="237"/>
      <c r="Y19" s="237"/>
      <c r="Z19" s="114"/>
      <c r="AA19" s="242"/>
      <c r="AB19" s="243"/>
      <c r="AC19" s="243"/>
      <c r="AD19" s="243"/>
      <c r="AE19" s="243"/>
      <c r="AF19" s="243"/>
      <c r="AG19" s="243"/>
      <c r="AH19" s="243"/>
      <c r="AI19" s="243"/>
      <c r="BM19" s="53" t="n">
        <v>14</v>
      </c>
    </row>
    <row r="20" customFormat="false" ht="14.25" hidden="false" customHeight="true" outlineLevel="0" collapsed="false">
      <c r="D20" s="267"/>
      <c r="E20" s="268"/>
      <c r="F20" s="268"/>
      <c r="G20" s="204"/>
      <c r="H20" s="274"/>
      <c r="I20" s="270"/>
      <c r="J20" s="236"/>
      <c r="K20" s="75"/>
      <c r="L20" s="237"/>
      <c r="M20" s="237"/>
      <c r="N20" s="50"/>
      <c r="O20" s="237"/>
      <c r="P20" s="236"/>
      <c r="Q20" s="275"/>
      <c r="R20" s="237"/>
      <c r="S20" s="237"/>
      <c r="T20" s="277"/>
      <c r="U20" s="278"/>
      <c r="V20" s="243"/>
      <c r="W20" s="243"/>
      <c r="X20" s="243"/>
      <c r="Y20" s="243"/>
      <c r="Z20" s="243"/>
      <c r="AA20" s="243"/>
      <c r="AB20" s="243"/>
      <c r="AC20" s="243"/>
      <c r="AD20" s="243"/>
      <c r="AE20" s="243"/>
      <c r="AF20" s="243"/>
      <c r="AG20" s="243"/>
      <c r="AH20" s="243"/>
      <c r="AI20" s="243"/>
      <c r="BM20" s="53" t="n">
        <v>14</v>
      </c>
    </row>
    <row r="21" customFormat="false" ht="11.25" hidden="false" customHeight="true" outlineLevel="0" collapsed="false">
      <c r="D21" s="267"/>
      <c r="E21" s="268"/>
      <c r="F21" s="268"/>
      <c r="G21" s="204"/>
      <c r="H21" s="279"/>
      <c r="I21" s="270"/>
      <c r="J21" s="236"/>
      <c r="K21" s="75"/>
      <c r="L21" s="237"/>
      <c r="M21" s="237"/>
      <c r="N21" s="242"/>
      <c r="O21" s="242"/>
      <c r="P21" s="243"/>
      <c r="Q21" s="243"/>
      <c r="R21" s="243"/>
      <c r="S21" s="243"/>
      <c r="T21" s="243"/>
      <c r="U21" s="243"/>
      <c r="V21" s="243"/>
      <c r="W21" s="243"/>
      <c r="X21" s="243"/>
      <c r="Y21" s="243"/>
      <c r="Z21" s="243"/>
      <c r="AA21" s="243"/>
      <c r="AB21" s="243"/>
      <c r="AC21" s="243"/>
      <c r="AD21" s="243"/>
      <c r="AE21" s="243"/>
      <c r="AF21" s="243"/>
      <c r="AG21" s="243"/>
      <c r="AH21" s="243"/>
      <c r="AI21" s="243"/>
      <c r="BM21" s="53" t="n">
        <v>11</v>
      </c>
    </row>
    <row r="22" s="255" customFormat="true" ht="11.25" hidden="false" customHeight="true" outlineLevel="0" collapsed="false">
      <c r="D22" s="267"/>
      <c r="E22" s="268"/>
      <c r="F22" s="268"/>
      <c r="G22" s="204"/>
      <c r="H22" s="280"/>
      <c r="I22" s="281"/>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53"/>
      <c r="AK22" s="54"/>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255" t="n">
        <v>11</v>
      </c>
    </row>
    <row r="23" customFormat="false" ht="15" hidden="false" customHeight="true" outlineLevel="0" collapsed="false">
      <c r="D23" s="267" t="s">
        <v>89</v>
      </c>
      <c r="E23" s="268" t="s">
        <v>306</v>
      </c>
      <c r="F23" s="268" t="s">
        <v>309</v>
      </c>
      <c r="G23" s="204" t="s">
        <v>19</v>
      </c>
      <c r="H23" s="269"/>
      <c r="I23" s="270"/>
      <c r="J23" s="236"/>
      <c r="K23" s="236"/>
      <c r="L23" s="237"/>
      <c r="M23" s="237"/>
      <c r="N23" s="271"/>
      <c r="O23" s="237"/>
      <c r="P23" s="236"/>
      <c r="Q23" s="236"/>
      <c r="R23" s="237"/>
      <c r="S23" s="237"/>
      <c r="T23" s="272"/>
      <c r="U23" s="237"/>
      <c r="V23" s="236"/>
      <c r="W23" s="237"/>
      <c r="X23" s="237"/>
      <c r="Y23" s="237"/>
      <c r="Z23" s="271"/>
      <c r="AA23" s="237"/>
      <c r="AB23" s="236"/>
      <c r="AC23" s="273"/>
      <c r="AD23" s="237"/>
      <c r="AE23" s="237"/>
      <c r="AF23" s="237"/>
      <c r="AG23" s="237"/>
      <c r="AH23" s="271"/>
      <c r="AI23" s="240"/>
      <c r="AK23" s="54" t="s">
        <v>97</v>
      </c>
      <c r="BM23" s="53" t="n">
        <v>14</v>
      </c>
    </row>
    <row r="24" customFormat="false" ht="14.25" hidden="false" customHeight="true" outlineLevel="0" collapsed="false">
      <c r="D24" s="267"/>
      <c r="E24" s="268"/>
      <c r="F24" s="268"/>
      <c r="G24" s="204"/>
      <c r="H24" s="274"/>
      <c r="I24" s="270"/>
      <c r="J24" s="236"/>
      <c r="K24" s="75"/>
      <c r="L24" s="237"/>
      <c r="M24" s="237"/>
      <c r="N24" s="50"/>
      <c r="O24" s="237"/>
      <c r="P24" s="236"/>
      <c r="Q24" s="275"/>
      <c r="R24" s="237"/>
      <c r="S24" s="237"/>
      <c r="T24" s="276"/>
      <c r="U24" s="237"/>
      <c r="V24" s="236"/>
      <c r="W24" s="114"/>
      <c r="X24" s="237"/>
      <c r="Y24" s="237"/>
      <c r="Z24" s="50"/>
      <c r="AA24" s="237"/>
      <c r="AB24" s="236"/>
      <c r="AC24" s="75"/>
      <c r="AD24" s="237"/>
      <c r="AE24" s="237"/>
      <c r="AF24" s="242"/>
      <c r="AG24" s="242"/>
      <c r="AH24" s="243"/>
      <c r="AI24" s="243"/>
      <c r="BM24" s="53" t="n">
        <v>14</v>
      </c>
    </row>
    <row r="25" customFormat="false" ht="14.25" hidden="false" customHeight="true" outlineLevel="0" collapsed="false">
      <c r="D25" s="267"/>
      <c r="E25" s="268"/>
      <c r="F25" s="268"/>
      <c r="G25" s="204"/>
      <c r="H25" s="274"/>
      <c r="I25" s="270"/>
      <c r="J25" s="236"/>
      <c r="K25" s="75"/>
      <c r="L25" s="237"/>
      <c r="M25" s="237"/>
      <c r="N25" s="50"/>
      <c r="O25" s="237"/>
      <c r="P25" s="236"/>
      <c r="Q25" s="275"/>
      <c r="R25" s="237"/>
      <c r="S25" s="237"/>
      <c r="T25" s="276"/>
      <c r="U25" s="237"/>
      <c r="V25" s="236"/>
      <c r="W25" s="114"/>
      <c r="X25" s="237"/>
      <c r="Y25" s="237"/>
      <c r="Z25" s="114"/>
      <c r="AA25" s="242"/>
      <c r="AB25" s="243"/>
      <c r="AC25" s="243"/>
      <c r="AD25" s="243"/>
      <c r="AE25" s="243"/>
      <c r="AF25" s="243"/>
      <c r="AG25" s="243"/>
      <c r="AH25" s="243"/>
      <c r="AI25" s="243"/>
      <c r="BM25" s="53" t="n">
        <v>14</v>
      </c>
    </row>
    <row r="26" customFormat="false" ht="14.25" hidden="false" customHeight="true" outlineLevel="0" collapsed="false">
      <c r="D26" s="267"/>
      <c r="E26" s="268"/>
      <c r="F26" s="268"/>
      <c r="G26" s="204"/>
      <c r="H26" s="274"/>
      <c r="I26" s="270"/>
      <c r="J26" s="236"/>
      <c r="K26" s="75"/>
      <c r="L26" s="237"/>
      <c r="M26" s="237"/>
      <c r="N26" s="50"/>
      <c r="O26" s="237"/>
      <c r="P26" s="236"/>
      <c r="Q26" s="275"/>
      <c r="R26" s="237"/>
      <c r="S26" s="237"/>
      <c r="T26" s="277"/>
      <c r="U26" s="278"/>
      <c r="V26" s="243"/>
      <c r="W26" s="243"/>
      <c r="X26" s="243"/>
      <c r="Y26" s="243"/>
      <c r="Z26" s="243"/>
      <c r="AA26" s="243"/>
      <c r="AB26" s="243"/>
      <c r="AC26" s="243"/>
      <c r="AD26" s="243"/>
      <c r="AE26" s="243"/>
      <c r="AF26" s="243"/>
      <c r="AG26" s="243"/>
      <c r="AH26" s="243"/>
      <c r="AI26" s="243"/>
      <c r="BM26" s="53" t="n">
        <v>14</v>
      </c>
    </row>
    <row r="27" customFormat="false" ht="11.25" hidden="false" customHeight="true" outlineLevel="0" collapsed="false">
      <c r="D27" s="267"/>
      <c r="E27" s="268"/>
      <c r="F27" s="268"/>
      <c r="G27" s="204"/>
      <c r="H27" s="279"/>
      <c r="I27" s="270"/>
      <c r="J27" s="236"/>
      <c r="K27" s="75"/>
      <c r="L27" s="237"/>
      <c r="M27" s="237"/>
      <c r="N27" s="242"/>
      <c r="O27" s="242"/>
      <c r="P27" s="243"/>
      <c r="Q27" s="243"/>
      <c r="R27" s="243"/>
      <c r="S27" s="243"/>
      <c r="T27" s="243"/>
      <c r="U27" s="243"/>
      <c r="V27" s="243"/>
      <c r="W27" s="243"/>
      <c r="X27" s="243"/>
      <c r="Y27" s="243"/>
      <c r="Z27" s="243"/>
      <c r="AA27" s="243"/>
      <c r="AB27" s="243"/>
      <c r="AC27" s="243"/>
      <c r="AD27" s="243"/>
      <c r="AE27" s="243"/>
      <c r="AF27" s="243"/>
      <c r="AG27" s="243"/>
      <c r="AH27" s="243"/>
      <c r="AI27" s="243"/>
      <c r="BM27" s="53" t="n">
        <v>11</v>
      </c>
    </row>
    <row r="28" s="255" customFormat="true" ht="11.25" hidden="false" customHeight="true" outlineLevel="0" collapsed="false">
      <c r="D28" s="267"/>
      <c r="E28" s="268"/>
      <c r="F28" s="268"/>
      <c r="G28" s="204"/>
      <c r="H28" s="280"/>
      <c r="I28" s="281"/>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53"/>
      <c r="AK28" s="54"/>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255" t="n">
        <v>11</v>
      </c>
    </row>
    <row r="29" customFormat="false" ht="15" hidden="false" customHeight="true" outlineLevel="0" collapsed="false">
      <c r="D29" s="267" t="s">
        <v>90</v>
      </c>
      <c r="E29" s="268" t="s">
        <v>306</v>
      </c>
      <c r="F29" s="268" t="s">
        <v>310</v>
      </c>
      <c r="G29" s="204" t="s">
        <v>19</v>
      </c>
      <c r="H29" s="269"/>
      <c r="I29" s="270"/>
      <c r="J29" s="236"/>
      <c r="K29" s="236"/>
      <c r="L29" s="237"/>
      <c r="M29" s="237"/>
      <c r="N29" s="271"/>
      <c r="O29" s="237"/>
      <c r="P29" s="236"/>
      <c r="Q29" s="236"/>
      <c r="R29" s="237"/>
      <c r="S29" s="237"/>
      <c r="T29" s="272"/>
      <c r="U29" s="237"/>
      <c r="V29" s="236"/>
      <c r="W29" s="237"/>
      <c r="X29" s="237"/>
      <c r="Y29" s="237"/>
      <c r="Z29" s="271"/>
      <c r="AA29" s="237"/>
      <c r="AB29" s="236"/>
      <c r="AC29" s="273"/>
      <c r="AD29" s="237"/>
      <c r="AE29" s="237"/>
      <c r="AF29" s="237"/>
      <c r="AG29" s="237"/>
      <c r="AH29" s="271"/>
      <c r="AI29" s="240"/>
      <c r="BM29" s="53" t="n">
        <v>14</v>
      </c>
    </row>
    <row r="30" customFormat="false" ht="14.25" hidden="false" customHeight="true" outlineLevel="0" collapsed="false">
      <c r="D30" s="267"/>
      <c r="E30" s="268"/>
      <c r="F30" s="268"/>
      <c r="G30" s="204"/>
      <c r="H30" s="274"/>
      <c r="I30" s="270"/>
      <c r="J30" s="236"/>
      <c r="K30" s="75"/>
      <c r="L30" s="237"/>
      <c r="M30" s="237"/>
      <c r="N30" s="50"/>
      <c r="O30" s="237"/>
      <c r="P30" s="236"/>
      <c r="Q30" s="275"/>
      <c r="R30" s="237"/>
      <c r="S30" s="237"/>
      <c r="T30" s="276"/>
      <c r="U30" s="237"/>
      <c r="V30" s="236"/>
      <c r="W30" s="114"/>
      <c r="X30" s="237"/>
      <c r="Y30" s="237"/>
      <c r="Z30" s="50"/>
      <c r="AA30" s="237"/>
      <c r="AB30" s="236"/>
      <c r="AC30" s="75"/>
      <c r="AD30" s="237"/>
      <c r="AE30" s="237"/>
      <c r="AF30" s="242"/>
      <c r="AG30" s="242"/>
      <c r="AH30" s="243"/>
      <c r="AI30" s="243"/>
      <c r="BM30" s="53" t="n">
        <v>14</v>
      </c>
    </row>
    <row r="31" customFormat="false" ht="14.25" hidden="false" customHeight="true" outlineLevel="0" collapsed="false">
      <c r="D31" s="267"/>
      <c r="E31" s="268"/>
      <c r="F31" s="268"/>
      <c r="G31" s="204"/>
      <c r="H31" s="274"/>
      <c r="I31" s="270"/>
      <c r="J31" s="236"/>
      <c r="K31" s="75"/>
      <c r="L31" s="237"/>
      <c r="M31" s="237"/>
      <c r="N31" s="50"/>
      <c r="O31" s="237"/>
      <c r="P31" s="236"/>
      <c r="Q31" s="275"/>
      <c r="R31" s="237"/>
      <c r="S31" s="237"/>
      <c r="T31" s="276"/>
      <c r="U31" s="237"/>
      <c r="V31" s="236"/>
      <c r="W31" s="114"/>
      <c r="X31" s="237"/>
      <c r="Y31" s="237"/>
      <c r="Z31" s="114"/>
      <c r="AA31" s="242"/>
      <c r="AB31" s="243"/>
      <c r="AC31" s="243"/>
      <c r="AD31" s="243"/>
      <c r="AE31" s="243"/>
      <c r="AF31" s="243"/>
      <c r="AG31" s="243"/>
      <c r="AH31" s="243"/>
      <c r="AI31" s="243"/>
      <c r="BM31" s="53" t="n">
        <v>14</v>
      </c>
    </row>
    <row r="32" customFormat="false" ht="14.25" hidden="false" customHeight="true" outlineLevel="0" collapsed="false">
      <c r="D32" s="267"/>
      <c r="E32" s="268"/>
      <c r="F32" s="268"/>
      <c r="G32" s="204"/>
      <c r="H32" s="274"/>
      <c r="I32" s="270"/>
      <c r="J32" s="236"/>
      <c r="K32" s="75"/>
      <c r="L32" s="237"/>
      <c r="M32" s="237"/>
      <c r="N32" s="50"/>
      <c r="O32" s="237"/>
      <c r="P32" s="236"/>
      <c r="Q32" s="275"/>
      <c r="R32" s="237"/>
      <c r="S32" s="237"/>
      <c r="T32" s="277"/>
      <c r="U32" s="278"/>
      <c r="V32" s="243"/>
      <c r="W32" s="243"/>
      <c r="X32" s="243"/>
      <c r="Y32" s="243"/>
      <c r="Z32" s="243"/>
      <c r="AA32" s="243"/>
      <c r="AB32" s="243"/>
      <c r="AC32" s="243"/>
      <c r="AD32" s="243"/>
      <c r="AE32" s="243"/>
      <c r="AF32" s="243"/>
      <c r="AG32" s="243"/>
      <c r="AH32" s="243"/>
      <c r="AI32" s="243"/>
      <c r="BM32" s="53" t="n">
        <v>14</v>
      </c>
    </row>
    <row r="33" customFormat="false" ht="11.25" hidden="false" customHeight="true" outlineLevel="0" collapsed="false">
      <c r="D33" s="267"/>
      <c r="E33" s="268"/>
      <c r="F33" s="268"/>
      <c r="G33" s="204"/>
      <c r="H33" s="279"/>
      <c r="I33" s="270"/>
      <c r="J33" s="236"/>
      <c r="K33" s="75"/>
      <c r="L33" s="237"/>
      <c r="M33" s="237"/>
      <c r="N33" s="242"/>
      <c r="O33" s="242"/>
      <c r="P33" s="243"/>
      <c r="Q33" s="243"/>
      <c r="R33" s="243"/>
      <c r="S33" s="243"/>
      <c r="T33" s="243"/>
      <c r="U33" s="243"/>
      <c r="V33" s="243"/>
      <c r="W33" s="243"/>
      <c r="X33" s="243"/>
      <c r="Y33" s="243"/>
      <c r="Z33" s="243"/>
      <c r="AA33" s="243"/>
      <c r="AB33" s="243"/>
      <c r="AC33" s="243"/>
      <c r="AD33" s="243"/>
      <c r="AE33" s="243"/>
      <c r="AF33" s="243"/>
      <c r="AG33" s="243"/>
      <c r="AH33" s="243"/>
      <c r="AI33" s="243"/>
      <c r="BM33" s="53" t="n">
        <v>11</v>
      </c>
    </row>
    <row r="34" s="255" customFormat="true" ht="11.25" hidden="false" customHeight="true" outlineLevel="0" collapsed="false">
      <c r="D34" s="267"/>
      <c r="E34" s="268"/>
      <c r="F34" s="268"/>
      <c r="G34" s="204"/>
      <c r="H34" s="280"/>
      <c r="I34" s="281"/>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53"/>
      <c r="AK34" s="54"/>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255" t="n">
        <v>11</v>
      </c>
    </row>
    <row r="35" customFormat="false" ht="15" hidden="false" customHeight="true" outlineLevel="0" collapsed="false">
      <c r="D35" s="282" t="s">
        <v>121</v>
      </c>
      <c r="E35" s="283" t="s">
        <v>306</v>
      </c>
      <c r="F35" s="283" t="s">
        <v>311</v>
      </c>
      <c r="G35" s="204" t="s">
        <v>19</v>
      </c>
      <c r="H35" s="269"/>
      <c r="I35" s="270"/>
      <c r="J35" s="236"/>
      <c r="K35" s="236"/>
      <c r="L35" s="237"/>
      <c r="M35" s="237"/>
      <c r="N35" s="271"/>
      <c r="O35" s="237"/>
      <c r="P35" s="236"/>
      <c r="Q35" s="236"/>
      <c r="R35" s="237"/>
      <c r="S35" s="237"/>
      <c r="T35" s="272"/>
      <c r="U35" s="237"/>
      <c r="V35" s="236"/>
      <c r="W35" s="237"/>
      <c r="X35" s="237"/>
      <c r="Y35" s="237"/>
      <c r="Z35" s="271"/>
      <c r="AA35" s="237"/>
      <c r="AB35" s="236"/>
      <c r="AC35" s="273"/>
      <c r="AD35" s="237"/>
      <c r="AE35" s="237"/>
      <c r="AF35" s="237"/>
      <c r="AG35" s="237"/>
      <c r="AH35" s="271"/>
      <c r="AI35" s="240"/>
      <c r="BM35" s="53" t="n">
        <v>14</v>
      </c>
    </row>
    <row r="36" customFormat="false" ht="14.25" hidden="false" customHeight="true" outlineLevel="0" collapsed="false">
      <c r="D36" s="282"/>
      <c r="E36" s="283"/>
      <c r="F36" s="283"/>
      <c r="G36" s="204"/>
      <c r="H36" s="274"/>
      <c r="I36" s="270"/>
      <c r="J36" s="236"/>
      <c r="K36" s="75"/>
      <c r="L36" s="237"/>
      <c r="M36" s="237"/>
      <c r="N36" s="50"/>
      <c r="O36" s="237"/>
      <c r="P36" s="236"/>
      <c r="Q36" s="275"/>
      <c r="R36" s="237"/>
      <c r="S36" s="237"/>
      <c r="T36" s="276"/>
      <c r="U36" s="237"/>
      <c r="V36" s="236"/>
      <c r="W36" s="114"/>
      <c r="X36" s="237"/>
      <c r="Y36" s="237"/>
      <c r="Z36" s="50"/>
      <c r="AA36" s="237"/>
      <c r="AB36" s="236"/>
      <c r="AC36" s="75"/>
      <c r="AD36" s="237"/>
      <c r="AE36" s="237"/>
      <c r="AF36" s="242"/>
      <c r="AG36" s="242"/>
      <c r="AH36" s="243"/>
      <c r="AI36" s="243"/>
      <c r="BM36" s="53" t="n">
        <v>14</v>
      </c>
    </row>
    <row r="37" customFormat="false" ht="14.25" hidden="false" customHeight="true" outlineLevel="0" collapsed="false">
      <c r="D37" s="282"/>
      <c r="E37" s="283"/>
      <c r="F37" s="283"/>
      <c r="G37" s="204"/>
      <c r="H37" s="274"/>
      <c r="I37" s="270"/>
      <c r="J37" s="236"/>
      <c r="K37" s="75"/>
      <c r="L37" s="237"/>
      <c r="M37" s="237"/>
      <c r="N37" s="50"/>
      <c r="O37" s="237"/>
      <c r="P37" s="236"/>
      <c r="Q37" s="275"/>
      <c r="R37" s="237"/>
      <c r="S37" s="237"/>
      <c r="T37" s="276"/>
      <c r="U37" s="237"/>
      <c r="V37" s="236"/>
      <c r="W37" s="114"/>
      <c r="X37" s="237"/>
      <c r="Y37" s="237"/>
      <c r="Z37" s="114"/>
      <c r="AA37" s="242"/>
      <c r="AB37" s="243"/>
      <c r="AC37" s="243"/>
      <c r="AD37" s="243"/>
      <c r="AE37" s="243"/>
      <c r="AF37" s="243"/>
      <c r="AG37" s="243"/>
      <c r="AH37" s="243"/>
      <c r="AI37" s="243"/>
      <c r="BM37" s="53" t="n">
        <v>14</v>
      </c>
    </row>
    <row r="38" customFormat="false" ht="14.25" hidden="false" customHeight="true" outlineLevel="0" collapsed="false">
      <c r="D38" s="282"/>
      <c r="E38" s="283"/>
      <c r="F38" s="283"/>
      <c r="G38" s="204"/>
      <c r="H38" s="274"/>
      <c r="I38" s="270"/>
      <c r="J38" s="236"/>
      <c r="K38" s="75"/>
      <c r="L38" s="237"/>
      <c r="M38" s="237"/>
      <c r="N38" s="50"/>
      <c r="O38" s="237"/>
      <c r="P38" s="236"/>
      <c r="Q38" s="275"/>
      <c r="R38" s="237"/>
      <c r="S38" s="237"/>
      <c r="T38" s="277"/>
      <c r="U38" s="278"/>
      <c r="V38" s="243"/>
      <c r="W38" s="243"/>
      <c r="X38" s="243"/>
      <c r="Y38" s="243"/>
      <c r="Z38" s="243"/>
      <c r="AA38" s="243"/>
      <c r="AB38" s="243"/>
      <c r="AC38" s="243"/>
      <c r="AD38" s="243"/>
      <c r="AE38" s="243"/>
      <c r="AF38" s="243"/>
      <c r="AG38" s="243"/>
      <c r="AH38" s="243"/>
      <c r="AI38" s="243"/>
      <c r="BM38" s="53" t="n">
        <v>14</v>
      </c>
    </row>
    <row r="39" customFormat="false" ht="11.25" hidden="false" customHeight="true" outlineLevel="0" collapsed="false">
      <c r="D39" s="282"/>
      <c r="E39" s="283"/>
      <c r="F39" s="283"/>
      <c r="G39" s="204"/>
      <c r="H39" s="279"/>
      <c r="I39" s="270"/>
      <c r="J39" s="236"/>
      <c r="K39" s="75"/>
      <c r="L39" s="237"/>
      <c r="M39" s="237"/>
      <c r="N39" s="242"/>
      <c r="O39" s="242"/>
      <c r="P39" s="243"/>
      <c r="Q39" s="243"/>
      <c r="R39" s="243"/>
      <c r="S39" s="243"/>
      <c r="T39" s="243"/>
      <c r="U39" s="243"/>
      <c r="V39" s="243"/>
      <c r="W39" s="243"/>
      <c r="X39" s="243"/>
      <c r="Y39" s="243"/>
      <c r="Z39" s="243"/>
      <c r="AA39" s="243"/>
      <c r="AB39" s="243"/>
      <c r="AC39" s="243"/>
      <c r="AD39" s="243"/>
      <c r="AE39" s="243"/>
      <c r="AF39" s="243"/>
      <c r="AG39" s="243"/>
      <c r="AH39" s="243"/>
      <c r="AI39" s="243"/>
      <c r="BM39" s="53" t="n">
        <v>11</v>
      </c>
    </row>
    <row r="40" s="255" customFormat="true" ht="11.25" hidden="false" customHeight="true" outlineLevel="0" collapsed="false">
      <c r="D40" s="282"/>
      <c r="E40" s="283"/>
      <c r="F40" s="283"/>
      <c r="G40" s="204"/>
      <c r="H40" s="280"/>
      <c r="I40" s="281"/>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53"/>
      <c r="AK40" s="54"/>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255" t="n">
        <v>11</v>
      </c>
    </row>
    <row r="41" customFormat="false" ht="11.25" hidden="false" customHeight="true" outlineLevel="0" collapsed="false">
      <c r="AK41" s="53"/>
      <c r="BM41" s="53" t="n">
        <v>11</v>
      </c>
    </row>
    <row r="42" customFormat="false" ht="11.25" hidden="false" customHeight="true" outlineLevel="0" collapsed="false">
      <c r="AK42" s="53"/>
      <c r="BM42" s="53" t="n">
        <v>11</v>
      </c>
    </row>
    <row r="43" customFormat="false" ht="11.25" hidden="false" customHeight="true" outlineLevel="0" collapsed="false">
      <c r="AK43" s="53"/>
      <c r="BM43" s="53" t="n">
        <v>11</v>
      </c>
    </row>
    <row r="44" customFormat="false" ht="11.25" hidden="false" customHeight="true" outlineLevel="0" collapsed="false">
      <c r="AK44" s="53"/>
      <c r="BM44" s="53" t="n">
        <v>11</v>
      </c>
    </row>
    <row r="45" customFormat="false" ht="11.25" hidden="false" customHeight="true" outlineLevel="0" collapsed="false">
      <c r="AK45" s="53"/>
      <c r="BM45" s="53" t="n">
        <v>11</v>
      </c>
    </row>
    <row r="46" customFormat="false" ht="11.25" hidden="false" customHeight="true" outlineLevel="0" collapsed="false">
      <c r="AK46" s="53"/>
      <c r="BM46" s="53" t="n">
        <v>11</v>
      </c>
    </row>
    <row r="47" customFormat="false" ht="11.25" hidden="false" customHeight="true" outlineLevel="0" collapsed="false">
      <c r="AK47" s="53"/>
      <c r="BM47" s="53" t="n">
        <v>11</v>
      </c>
    </row>
    <row r="48" customFormat="false" ht="11.25" hidden="false" customHeight="true" outlineLevel="0" collapsed="false">
      <c r="AK48" s="53"/>
      <c r="BM48" s="53" t="n">
        <v>11</v>
      </c>
    </row>
    <row r="49" customFormat="false" ht="11.25" hidden="false" customHeight="true" outlineLevel="0" collapsed="false">
      <c r="AK49" s="53"/>
      <c r="BM49" s="53" t="n">
        <v>11</v>
      </c>
    </row>
    <row r="50" customFormat="false" ht="11.25" hidden="true" customHeight="true" outlineLevel="0" collapsed="false">
      <c r="A50" s="53" t="s">
        <v>81</v>
      </c>
      <c r="B50" s="53" t="n">
        <v>0</v>
      </c>
      <c r="C50" s="53" t="n">
        <v>3</v>
      </c>
      <c r="D50" s="53" t="n">
        <v>3</v>
      </c>
      <c r="E50" s="53" t="n">
        <v>15</v>
      </c>
      <c r="F50" s="53" t="n">
        <v>15</v>
      </c>
      <c r="G50" s="53" t="n">
        <v>11</v>
      </c>
      <c r="H50" s="53" t="n">
        <v>3</v>
      </c>
      <c r="I50" s="53" t="n">
        <v>3</v>
      </c>
      <c r="J50" s="53" t="n">
        <v>12</v>
      </c>
      <c r="K50" s="53" t="n">
        <v>0</v>
      </c>
      <c r="L50" s="53" t="n">
        <v>10</v>
      </c>
      <c r="M50" s="53" t="n">
        <v>10</v>
      </c>
      <c r="N50" s="53" t="n">
        <v>3</v>
      </c>
      <c r="O50" s="53" t="n">
        <v>3</v>
      </c>
      <c r="P50" s="53" t="n">
        <v>19</v>
      </c>
      <c r="Q50" s="53" t="n">
        <v>0</v>
      </c>
      <c r="R50" s="53" t="n">
        <v>10</v>
      </c>
      <c r="S50" s="53" t="n">
        <v>10</v>
      </c>
      <c r="T50" s="53" t="n">
        <v>3</v>
      </c>
      <c r="U50" s="53" t="n">
        <v>3</v>
      </c>
      <c r="V50" s="53" t="n">
        <v>25</v>
      </c>
      <c r="W50" s="53" t="n">
        <v>0</v>
      </c>
      <c r="X50" s="53" t="n">
        <v>10</v>
      </c>
      <c r="Y50" s="53" t="n">
        <v>10</v>
      </c>
      <c r="Z50" s="53" t="n">
        <v>3</v>
      </c>
      <c r="AA50" s="53" t="n">
        <v>3</v>
      </c>
      <c r="AB50" s="53" t="n">
        <v>16</v>
      </c>
      <c r="AC50" s="53" t="n">
        <v>0</v>
      </c>
      <c r="AD50" s="53" t="n">
        <v>10</v>
      </c>
      <c r="AE50" s="53" t="n">
        <v>10</v>
      </c>
      <c r="AF50" s="53" t="n">
        <v>3</v>
      </c>
      <c r="AG50" s="53" t="n">
        <v>3</v>
      </c>
      <c r="AH50" s="53" t="n">
        <v>8</v>
      </c>
      <c r="AI50" s="53" t="n">
        <v>21</v>
      </c>
      <c r="AJ50" s="53" t="n">
        <v>8</v>
      </c>
      <c r="AK50" s="54" t="n">
        <v>8</v>
      </c>
      <c r="AL50" s="53" t="n">
        <v>8</v>
      </c>
      <c r="AM50" s="53" t="n">
        <v>8</v>
      </c>
      <c r="AN50" s="53" t="n">
        <v>8</v>
      </c>
      <c r="AO50" s="53" t="n">
        <v>8</v>
      </c>
      <c r="AP50" s="53" t="n">
        <v>8</v>
      </c>
      <c r="AQ50" s="53" t="n">
        <v>8</v>
      </c>
      <c r="AR50" s="53" t="n">
        <v>8</v>
      </c>
      <c r="AS50" s="53" t="n">
        <v>8</v>
      </c>
      <c r="AT50" s="53" t="n">
        <v>8</v>
      </c>
      <c r="AU50" s="53" t="n">
        <v>8</v>
      </c>
      <c r="AV50" s="53" t="n">
        <v>8</v>
      </c>
      <c r="AW50" s="53" t="n">
        <v>8</v>
      </c>
      <c r="AX50" s="53" t="n">
        <v>8</v>
      </c>
      <c r="AY50" s="53" t="n">
        <v>8</v>
      </c>
      <c r="AZ50" s="53" t="n">
        <v>8</v>
      </c>
      <c r="BA50" s="53" t="n">
        <v>8</v>
      </c>
      <c r="BB50" s="53" t="n">
        <v>8</v>
      </c>
      <c r="BC50" s="53" t="n">
        <v>8</v>
      </c>
      <c r="BD50" s="53" t="n">
        <v>8</v>
      </c>
      <c r="BE50" s="53" t="n">
        <v>8</v>
      </c>
      <c r="BF50" s="53" t="n">
        <v>8</v>
      </c>
      <c r="BG50" s="53" t="n">
        <v>8</v>
      </c>
      <c r="BH50" s="53" t="n">
        <v>8</v>
      </c>
      <c r="BI50" s="53" t="n">
        <v>8</v>
      </c>
      <c r="BJ50" s="53" t="n">
        <v>8</v>
      </c>
      <c r="BK50" s="53" t="n">
        <v>8</v>
      </c>
      <c r="BL50" s="53" t="n">
        <v>8</v>
      </c>
      <c r="BM50" s="53" t="n">
        <v>11</v>
      </c>
    </row>
  </sheetData>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dataValidations count="2">
    <dataValidation allowBlank="true" error="Допускается ввод не более 900 символов!" errorStyle="stop" errorTitle="Ошибка" operator="lessThanOrEqual" showDropDown="false" showErrorMessage="true" showInputMessage="true" sqref="J11:J12 P11:P14 AI11 J13:J15 J17:J18 P17:P20 AI17 J19:J21 J23:J24 P23:P26 AI23 J25:J27 J29:J30 P29:P32 AI29 J31:J33 J35:J36 P35:P38 AI35 J37:J39" type="textLength">
      <formula1>900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1 AC17 AC23 AC29 AC35" type="list">
      <formula1>list_typetko</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J6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1.25" zeroHeight="false" outlineLevelRow="0" outlineLevelCol="0"/>
  <cols>
    <col collapsed="false" customWidth="true" hidden="true" outlineLevel="0" max="1" min="1" style="284" width="15"/>
    <col collapsed="false" customWidth="true" hidden="true" outlineLevel="0" max="2" min="2" style="285" width="15"/>
    <col collapsed="false" customWidth="true" hidden="false" outlineLevel="0" max="3" min="3" style="286" width="3"/>
    <col collapsed="false" customWidth="true" hidden="false" outlineLevel="0" max="4" min="4" style="287" width="6"/>
    <col collapsed="false" customWidth="true" hidden="false" outlineLevel="0" max="5" min="5" style="286" width="52"/>
    <col collapsed="false" customWidth="true" hidden="false" outlineLevel="0" max="6" min="6" style="286" width="48"/>
    <col collapsed="false" customWidth="true" hidden="false" outlineLevel="0" max="7" min="7" style="286" width="121"/>
    <col collapsed="false" customWidth="true" hidden="false" outlineLevel="0" max="8" min="8" style="286" width="8"/>
    <col collapsed="false" customWidth="true" hidden="false" outlineLevel="0" max="9" min="9" style="286" width="64"/>
    <col collapsed="false" customWidth="false" hidden="true" outlineLevel="0" max="10" min="10" style="286" width="9.14"/>
  </cols>
  <sheetData>
    <row r="1" customFormat="false" ht="11.25" hidden="true" customHeight="true" outlineLevel="0" collapsed="false">
      <c r="A1" s="284" t="s">
        <v>312</v>
      </c>
      <c r="J1" s="286" t="s">
        <v>14</v>
      </c>
    </row>
    <row r="2" customFormat="false" ht="11.25" hidden="true" customHeight="true" outlineLevel="0" collapsed="false">
      <c r="J2" s="286" t="n">
        <v>0</v>
      </c>
    </row>
    <row r="3" s="288" customFormat="true" ht="11.25" hidden="false" customHeight="true" outlineLevel="0" collapsed="false">
      <c r="A3" s="284"/>
      <c r="B3" s="285"/>
      <c r="D3" s="289"/>
      <c r="J3" s="288" t="n">
        <v>11</v>
      </c>
    </row>
    <row r="4" customFormat="false" ht="27" hidden="false" customHeight="true" outlineLevel="0" collapsed="false">
      <c r="D4" s="220" t="str">
        <f aca="false">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0"/>
      <c r="F4" s="220"/>
      <c r="I4" s="290"/>
      <c r="J4" s="286" t="n">
        <v>26</v>
      </c>
    </row>
    <row r="5" customFormat="false" ht="18" hidden="false" customHeight="true" outlineLevel="0" collapsed="false">
      <c r="D5" s="261" t="str">
        <f aca="false">IF(org=0,"Не определено",org)</f>
        <v>ООО "Газпром теплоэнерго Ярославль"</v>
      </c>
      <c r="E5" s="261"/>
      <c r="F5" s="261"/>
      <c r="I5" s="290"/>
      <c r="J5" s="286" t="n">
        <v>17</v>
      </c>
    </row>
    <row r="6" s="288" customFormat="true" ht="11.25" hidden="false" customHeight="true" outlineLevel="0" collapsed="false">
      <c r="A6" s="284"/>
      <c r="B6" s="285"/>
      <c r="D6" s="291"/>
      <c r="E6" s="291"/>
      <c r="F6" s="292"/>
      <c r="G6" s="291"/>
      <c r="J6" s="288" t="n">
        <v>11</v>
      </c>
    </row>
    <row r="7" customFormat="false" ht="11.25" hidden="true" customHeight="true" outlineLevel="0" collapsed="false">
      <c r="A7" s="80"/>
      <c r="B7" s="293"/>
      <c r="C7" s="80"/>
      <c r="D7" s="72"/>
      <c r="E7" s="294"/>
      <c r="F7" s="294"/>
      <c r="J7" s="286" t="n">
        <v>0</v>
      </c>
    </row>
    <row r="8" customFormat="false" ht="11.25" hidden="false" customHeight="true" outlineLevel="0" collapsed="false">
      <c r="A8" s="80"/>
      <c r="B8" s="293"/>
      <c r="C8" s="80"/>
      <c r="D8" s="295" t="s">
        <v>313</v>
      </c>
      <c r="E8" s="295"/>
      <c r="F8" s="295"/>
      <c r="G8" s="296" t="s">
        <v>314</v>
      </c>
      <c r="J8" s="286" t="n">
        <v>11</v>
      </c>
    </row>
    <row r="9" customFormat="false" ht="11.25" hidden="false" customHeight="true" outlineLevel="0" collapsed="false">
      <c r="A9" s="80"/>
      <c r="B9" s="293"/>
      <c r="C9" s="80"/>
      <c r="D9" s="297" t="s">
        <v>87</v>
      </c>
      <c r="E9" s="296" t="s">
        <v>315</v>
      </c>
      <c r="F9" s="296" t="s">
        <v>316</v>
      </c>
      <c r="G9" s="296"/>
      <c r="J9" s="286" t="n">
        <v>11</v>
      </c>
    </row>
    <row r="10" customFormat="false" ht="12" hidden="true" customHeight="true" outlineLevel="0" collapsed="false">
      <c r="A10" s="80"/>
      <c r="B10" s="293"/>
      <c r="C10" s="80"/>
      <c r="D10" s="298"/>
      <c r="E10" s="298"/>
      <c r="F10" s="298"/>
      <c r="G10" s="298"/>
      <c r="J10" s="286" t="n">
        <v>0</v>
      </c>
    </row>
    <row r="11" customFormat="false" ht="22.5" hidden="true" customHeight="true" outlineLevel="0" collapsed="false">
      <c r="A11" s="80"/>
      <c r="B11" s="293"/>
      <c r="C11" s="80"/>
      <c r="D11" s="299" t="s">
        <v>120</v>
      </c>
      <c r="E11" s="300" t="s">
        <v>317</v>
      </c>
      <c r="F11" s="301" t="str">
        <f aca="false">IF(region_name="","",region_name)</f>
        <v>Ярославская область</v>
      </c>
      <c r="G11" s="300" t="s">
        <v>318</v>
      </c>
      <c r="H11" s="302"/>
      <c r="J11" s="286" t="n">
        <v>0</v>
      </c>
    </row>
    <row r="12" customFormat="false" ht="22.5" hidden="true" customHeight="true" outlineLevel="0" collapsed="false">
      <c r="A12" s="80"/>
      <c r="B12" s="293"/>
      <c r="C12" s="80"/>
      <c r="D12" s="303" t="s">
        <v>120</v>
      </c>
      <c r="E12" s="304" t="str">
        <f aca="false">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v>
      </c>
      <c r="F12" s="185" t="s">
        <v>319</v>
      </c>
      <c r="G12" s="305"/>
      <c r="H12" s="302"/>
      <c r="J12" s="286" t="n">
        <v>0</v>
      </c>
    </row>
    <row r="13" customFormat="false" ht="23.25" hidden="false" customHeight="true" outlineLevel="0" collapsed="false">
      <c r="A13" s="80"/>
      <c r="B13" s="293"/>
      <c r="C13" s="80"/>
      <c r="D13" s="303" t="s">
        <v>120</v>
      </c>
      <c r="E13" s="306" t="str">
        <f aca="false">"Наименование юридического лица"&amp;IF(TEMPLATE_SPHERE="TKO"," (индивидуального предпринимателя)","")</f>
        <v>Наименование юридического лица</v>
      </c>
      <c r="F13" s="307"/>
      <c r="G13" s="304" t="str">
        <f aca="false">"Наименование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02"/>
      <c r="J13" s="286" t="n">
        <v>22</v>
      </c>
    </row>
    <row r="14" customFormat="false" ht="22.5" hidden="true" customHeight="true" outlineLevel="0" collapsed="false">
      <c r="A14" s="80"/>
      <c r="B14" s="293"/>
      <c r="C14" s="80"/>
      <c r="D14" s="299" t="s">
        <v>320</v>
      </c>
      <c r="E14" s="308" t="s">
        <v>321</v>
      </c>
      <c r="F14" s="301" t="str">
        <f aca="false">IF(inn="","",inn)</f>
        <v>7603060690</v>
      </c>
      <c r="G14" s="300" t="s">
        <v>322</v>
      </c>
      <c r="H14" s="302"/>
      <c r="J14" s="286" t="n">
        <v>0</v>
      </c>
    </row>
    <row r="15" customFormat="false" ht="22.5" hidden="true" customHeight="true" outlineLevel="0" collapsed="false">
      <c r="A15" s="80"/>
      <c r="B15" s="293"/>
      <c r="C15" s="80"/>
      <c r="D15" s="299" t="s">
        <v>323</v>
      </c>
      <c r="E15" s="308" t="s">
        <v>324</v>
      </c>
      <c r="F15" s="301" t="str">
        <f aca="false">IF(kpp="","",kpp)</f>
        <v>760301001</v>
      </c>
      <c r="G15" s="300" t="s">
        <v>325</v>
      </c>
      <c r="H15" s="302"/>
      <c r="J15" s="286" t="n">
        <v>0</v>
      </c>
    </row>
    <row r="16" customFormat="false" ht="39" hidden="false" customHeight="true" outlineLevel="0" collapsed="false">
      <c r="A16" s="80"/>
      <c r="B16" s="293"/>
      <c r="C16" s="80"/>
      <c r="D16" s="303" t="s">
        <v>102</v>
      </c>
      <c r="E16" s="306" t="str">
        <f aca="false">"Основной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07"/>
      <c r="G16" s="304" t="str">
        <f aca="false">"Указывается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02"/>
      <c r="J16" s="286" t="n">
        <v>37</v>
      </c>
    </row>
    <row r="17" customFormat="false" ht="23.25" hidden="false" customHeight="true" outlineLevel="0" collapsed="false">
      <c r="A17" s="80"/>
      <c r="B17" s="293"/>
      <c r="C17" s="80"/>
      <c r="D17" s="303" t="s">
        <v>89</v>
      </c>
      <c r="E17" s="306" t="str">
        <f aca="false">"Дата присвоения ОГРН"&amp;IF(TEMPLATE_SPHERE="TKO",""," (ОГРНИП)")</f>
        <v>Дата присвоения ОГРН (ОГРНИП)</v>
      </c>
      <c r="F17" s="78"/>
      <c r="G17" s="304" t="str">
        <f aca="false">"Дата присвоения ОГРН"&amp;IF(TEMPLATE_SPHERE="TKO",""," (ОГРНИП)")&amp;" указывается в виде «ДД.ММ.ГГГГ»."</f>
        <v>Дата присвоения ОГРН (ОГРНИП) указывается в виде «ДД.ММ.ГГГГ».</v>
      </c>
      <c r="H17" s="302"/>
      <c r="J17" s="286" t="n">
        <v>22</v>
      </c>
    </row>
    <row r="18" customFormat="false" ht="71.25" hidden="false" customHeight="true" outlineLevel="0" collapsed="false">
      <c r="A18" s="80"/>
      <c r="B18" s="293"/>
      <c r="C18" s="80"/>
      <c r="D18" s="303" t="s">
        <v>90</v>
      </c>
      <c r="E18" s="306" t="str">
        <f aca="false">"Наименование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07"/>
      <c r="G18" s="305"/>
      <c r="H18" s="302"/>
      <c r="J18" s="286" t="n">
        <v>68</v>
      </c>
    </row>
    <row r="19" customFormat="false" ht="22.5" hidden="true" customHeight="true" outlineLevel="0" collapsed="false">
      <c r="A19" s="309" t="s">
        <v>326</v>
      </c>
      <c r="B19" s="293"/>
      <c r="C19" s="310"/>
      <c r="D19" s="303" t="str">
        <f aca="false">A19</f>
        <v>5.1</v>
      </c>
      <c r="E19" s="306" t="s">
        <v>327</v>
      </c>
      <c r="F19" s="185" t="s">
        <v>319</v>
      </c>
      <c r="G19" s="304" t="s">
        <v>328</v>
      </c>
      <c r="H19" s="302"/>
      <c r="I19" s="311"/>
      <c r="J19" s="286" t="n">
        <v>0</v>
      </c>
    </row>
    <row r="20" customFormat="false" ht="24" hidden="true" customHeight="true" outlineLevel="0" collapsed="false">
      <c r="A20" s="309"/>
      <c r="B20" s="293"/>
      <c r="C20" s="310"/>
      <c r="D20" s="312" t="str">
        <f aca="false">D19&amp;".1"</f>
        <v>5.1.1</v>
      </c>
      <c r="E20" s="313" t="s">
        <v>329</v>
      </c>
      <c r="F20" s="314"/>
      <c r="G20" s="305"/>
      <c r="H20" s="302"/>
      <c r="I20" s="311"/>
      <c r="J20" s="286" t="n">
        <v>0</v>
      </c>
    </row>
    <row r="21" customFormat="false" ht="22.5" hidden="true" customHeight="true" outlineLevel="0" collapsed="false">
      <c r="A21" s="309"/>
      <c r="B21" s="293"/>
      <c r="C21" s="310"/>
      <c r="D21" s="312" t="str">
        <f aca="false">D19&amp;".2"</f>
        <v>5.1.2</v>
      </c>
      <c r="E21" s="313" t="s">
        <v>330</v>
      </c>
      <c r="F21" s="85"/>
      <c r="G21" s="304" t="s">
        <v>331</v>
      </c>
      <c r="H21" s="302"/>
      <c r="I21" s="311"/>
      <c r="J21" s="286" t="n">
        <v>0</v>
      </c>
    </row>
    <row r="22" customFormat="false" ht="22.5" hidden="true" customHeight="true" outlineLevel="0" collapsed="false">
      <c r="A22" s="309"/>
      <c r="B22" s="293"/>
      <c r="C22" s="310"/>
      <c r="D22" s="312" t="str">
        <f aca="false">D19&amp;".3"</f>
        <v>5.1.3</v>
      </c>
      <c r="E22" s="313" t="s">
        <v>332</v>
      </c>
      <c r="F22" s="314"/>
      <c r="G22" s="305"/>
      <c r="H22" s="302"/>
      <c r="I22" s="311"/>
      <c r="J22" s="286" t="n">
        <v>0</v>
      </c>
    </row>
    <row r="23" customFormat="false" ht="22.5" hidden="true" customHeight="true" outlineLevel="0" collapsed="false">
      <c r="A23" s="309"/>
      <c r="B23" s="293"/>
      <c r="C23" s="310"/>
      <c r="D23" s="312" t="str">
        <f aca="false">D19&amp;".4"</f>
        <v>5.1.4</v>
      </c>
      <c r="E23" s="313" t="s">
        <v>333</v>
      </c>
      <c r="F23" s="314"/>
      <c r="G23" s="304" t="s">
        <v>334</v>
      </c>
      <c r="H23" s="302"/>
      <c r="I23" s="311"/>
      <c r="J23" s="286" t="n">
        <v>0</v>
      </c>
    </row>
    <row r="24" customFormat="false" ht="22.5" hidden="true" customHeight="true" outlineLevel="0" collapsed="false">
      <c r="A24" s="315"/>
      <c r="B24" s="293"/>
      <c r="C24" s="316"/>
      <c r="D24" s="317"/>
      <c r="E24" s="161" t="s">
        <v>335</v>
      </c>
      <c r="F24" s="318"/>
      <c r="G24" s="319"/>
      <c r="H24" s="302"/>
      <c r="I24" s="311"/>
      <c r="J24" s="286" t="n">
        <v>0</v>
      </c>
    </row>
    <row r="25" s="285" customFormat="true" ht="24.75" hidden="true" customHeight="true" outlineLevel="0" collapsed="false">
      <c r="A25" s="80"/>
      <c r="B25" s="293"/>
      <c r="C25" s="293"/>
      <c r="D25" s="320" t="s">
        <v>89</v>
      </c>
      <c r="E25" s="321" t="s">
        <v>336</v>
      </c>
      <c r="F25" s="147" t="s">
        <v>319</v>
      </c>
      <c r="G25" s="321"/>
      <c r="J25" s="285" t="n">
        <v>0</v>
      </c>
    </row>
    <row r="26" s="285" customFormat="true" ht="11.25" hidden="true" customHeight="true" outlineLevel="0" collapsed="false">
      <c r="A26" s="80"/>
      <c r="B26" s="293"/>
      <c r="C26" s="293"/>
      <c r="D26" s="320" t="s">
        <v>337</v>
      </c>
      <c r="E26" s="322" t="s">
        <v>338</v>
      </c>
      <c r="F26" s="147" t="s">
        <v>319</v>
      </c>
      <c r="G26" s="321"/>
      <c r="J26" s="285" t="n">
        <v>0</v>
      </c>
    </row>
    <row r="27" s="285" customFormat="true" ht="11.25" hidden="true" customHeight="true" outlineLevel="0" collapsed="false">
      <c r="A27" s="80"/>
      <c r="B27" s="293"/>
      <c r="C27" s="293"/>
      <c r="D27" s="320" t="s">
        <v>339</v>
      </c>
      <c r="E27" s="323" t="s">
        <v>340</v>
      </c>
      <c r="F27" s="324"/>
      <c r="G27" s="321" t="str">
        <f aca="false">"Указывается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285" t="n">
        <v>0</v>
      </c>
    </row>
    <row r="28" s="285" customFormat="true" ht="11.25" hidden="true" customHeight="true" outlineLevel="0" collapsed="false">
      <c r="A28" s="80"/>
      <c r="B28" s="293"/>
      <c r="C28" s="293"/>
      <c r="D28" s="320" t="s">
        <v>341</v>
      </c>
      <c r="E28" s="323" t="s">
        <v>342</v>
      </c>
      <c r="F28" s="324"/>
      <c r="G28" s="321" t="str">
        <f aca="false">"Указывается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285" t="n">
        <v>0</v>
      </c>
    </row>
    <row r="29" s="285" customFormat="true" ht="11.25" hidden="true" customHeight="true" outlineLevel="0" collapsed="false">
      <c r="A29" s="80"/>
      <c r="B29" s="293"/>
      <c r="C29" s="293"/>
      <c r="D29" s="320" t="s">
        <v>343</v>
      </c>
      <c r="E29" s="323" t="s">
        <v>344</v>
      </c>
      <c r="F29" s="324"/>
      <c r="G29" s="321" t="str">
        <f aca="false">"Указывается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285" t="n">
        <v>0</v>
      </c>
    </row>
    <row r="30" s="285" customFormat="true" ht="11.25" hidden="true" customHeight="true" outlineLevel="0" collapsed="false">
      <c r="A30" s="80"/>
      <c r="B30" s="293"/>
      <c r="C30" s="293"/>
      <c r="D30" s="320" t="s">
        <v>345</v>
      </c>
      <c r="E30" s="322" t="s">
        <v>346</v>
      </c>
      <c r="F30" s="324"/>
      <c r="G30" s="321"/>
      <c r="J30" s="285" t="n">
        <v>0</v>
      </c>
    </row>
    <row r="31" s="285" customFormat="true" ht="11.25" hidden="true" customHeight="true" outlineLevel="0" collapsed="false">
      <c r="A31" s="80"/>
      <c r="B31" s="293"/>
      <c r="C31" s="293"/>
      <c r="D31" s="320" t="s">
        <v>347</v>
      </c>
      <c r="E31" s="322" t="s">
        <v>348</v>
      </c>
      <c r="F31" s="324"/>
      <c r="G31" s="321"/>
      <c r="J31" s="285" t="n">
        <v>0</v>
      </c>
    </row>
    <row r="32" s="285" customFormat="true" ht="11.25" hidden="true" customHeight="true" outlineLevel="0" collapsed="false">
      <c r="A32" s="80"/>
      <c r="B32" s="293"/>
      <c r="C32" s="293"/>
      <c r="D32" s="320" t="s">
        <v>349</v>
      </c>
      <c r="E32" s="322" t="s">
        <v>350</v>
      </c>
      <c r="F32" s="324"/>
      <c r="G32" s="321"/>
      <c r="J32" s="285" t="n">
        <v>0</v>
      </c>
    </row>
    <row r="33" customFormat="false" ht="24" hidden="false" customHeight="true" outlineLevel="0" collapsed="false">
      <c r="A33" s="80" t="str">
        <f aca="false">IF(TEMPLATE_SPHERE="HEAT","6","5")</f>
        <v>6</v>
      </c>
      <c r="B33" s="293"/>
      <c r="C33" s="80"/>
      <c r="D33" s="312" t="str">
        <f aca="false">A33</f>
        <v>6</v>
      </c>
      <c r="E33" s="325" t="str">
        <f aca="false">"Фамилия,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185" t="s">
        <v>319</v>
      </c>
      <c r="G33" s="305"/>
      <c r="H33" s="302"/>
      <c r="J33" s="286" t="n">
        <v>23</v>
      </c>
    </row>
    <row r="34" customFormat="false" ht="23.25" hidden="false" customHeight="true" outlineLevel="0" collapsed="false">
      <c r="A34" s="80"/>
      <c r="B34" s="293"/>
      <c r="C34" s="80"/>
      <c r="D34" s="312" t="str">
        <f aca="false">D33&amp;".1"</f>
        <v>6.1</v>
      </c>
      <c r="E34" s="306" t="str">
        <f aca="false">"фамилия"&amp;IF(TEMPLATE_SPHERE&lt;&gt;"HEAT"," руководителя","")</f>
        <v>фамилия</v>
      </c>
      <c r="F34" s="307"/>
      <c r="G34" s="304" t="str">
        <f aca="false">"Указывается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302"/>
      <c r="J34" s="286" t="n">
        <v>22</v>
      </c>
    </row>
    <row r="35" customFormat="false" ht="23.25" hidden="false" customHeight="true" outlineLevel="0" collapsed="false">
      <c r="A35" s="80"/>
      <c r="B35" s="293"/>
      <c r="C35" s="80"/>
      <c r="D35" s="312" t="str">
        <f aca="false">D33&amp;".2"</f>
        <v>6.2</v>
      </c>
      <c r="E35" s="306" t="str">
        <f aca="false">"имя"&amp;IF(TEMPLATE_SPHERE&lt;&gt;"HEAT"," руководителя","")</f>
        <v>имя</v>
      </c>
      <c r="F35" s="307"/>
      <c r="G35" s="304" t="str">
        <f aca="false">"Указывается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302"/>
      <c r="J35" s="286" t="n">
        <v>22</v>
      </c>
    </row>
    <row r="36" customFormat="false" ht="24" hidden="false" customHeight="true" outlineLevel="0" collapsed="false">
      <c r="A36" s="80"/>
      <c r="B36" s="293"/>
      <c r="C36" s="80"/>
      <c r="D36" s="312" t="str">
        <f aca="false">D33&amp;".3"</f>
        <v>6.3</v>
      </c>
      <c r="E36" s="306" t="str">
        <f aca="false">"отчество"&amp;IF(TEMPLATE_SPHERE&lt;&gt;"HEAT"," руководителя","")</f>
        <v>отчество</v>
      </c>
      <c r="F36" s="326"/>
      <c r="G36" s="304" t="str">
        <f aca="false">"Указывается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302"/>
      <c r="J36" s="286" t="n">
        <v>23</v>
      </c>
    </row>
    <row r="37" customFormat="false" ht="35.25" hidden="false" customHeight="true" outlineLevel="0" collapsed="false">
      <c r="A37" s="80"/>
      <c r="B37" s="293"/>
      <c r="C37" s="80"/>
      <c r="D37" s="312" t="n">
        <f aca="false">D33+1</f>
        <v>7</v>
      </c>
      <c r="E37" s="325" t="str">
        <f aca="false">"Почтовый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07"/>
      <c r="G37" s="304" t="s">
        <v>351</v>
      </c>
      <c r="H37" s="302"/>
      <c r="J37" s="286" t="n">
        <v>34</v>
      </c>
    </row>
    <row r="38" customFormat="false" ht="35.25" hidden="false" customHeight="true" outlineLevel="0" collapsed="false">
      <c r="A38" s="80"/>
      <c r="B38" s="293"/>
      <c r="C38" s="80"/>
      <c r="D38" s="312" t="n">
        <f aca="false">D37+1</f>
        <v>8</v>
      </c>
      <c r="E38" s="325" t="str">
        <f aca="false">"Адрес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07"/>
      <c r="G38" s="304" t="s">
        <v>351</v>
      </c>
      <c r="H38" s="302"/>
      <c r="J38" s="286" t="n">
        <v>34</v>
      </c>
    </row>
    <row r="39" customFormat="false" ht="23.25" hidden="false" customHeight="true" outlineLevel="0" collapsed="false">
      <c r="A39" s="80"/>
      <c r="B39" s="293"/>
      <c r="C39" s="80"/>
      <c r="D39" s="312" t="n">
        <f aca="false">D38+1</f>
        <v>9</v>
      </c>
      <c r="E39" s="327" t="str">
        <f aca="false">"Контактные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185" t="s">
        <v>319</v>
      </c>
      <c r="G39" s="328" t="str">
        <f aca="false">"Указывается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02"/>
      <c r="J39" s="286" t="n">
        <v>22</v>
      </c>
    </row>
    <row r="40" customFormat="false" ht="22.5" hidden="true" customHeight="true" outlineLevel="0" collapsed="false">
      <c r="A40" s="80"/>
      <c r="B40" s="293"/>
      <c r="C40" s="80"/>
      <c r="D40" s="312" t="str">
        <f aca="false">D39&amp;".0"</f>
        <v>9.0</v>
      </c>
      <c r="E40" s="206"/>
      <c r="F40" s="314"/>
      <c r="G40" s="328"/>
      <c r="H40" s="302"/>
      <c r="J40" s="286" t="n">
        <v>0</v>
      </c>
    </row>
    <row r="41" customFormat="false" ht="23.25" hidden="false" customHeight="true" outlineLevel="0" collapsed="false">
      <c r="A41" s="80"/>
      <c r="B41" s="80"/>
      <c r="C41" s="329"/>
      <c r="D41" s="312" t="str">
        <f aca="false">D39&amp;".1"</f>
        <v>9.1</v>
      </c>
      <c r="E41" s="330"/>
      <c r="F41" s="331"/>
      <c r="G41" s="328"/>
      <c r="H41" s="302"/>
      <c r="J41" s="286" t="n">
        <v>22</v>
      </c>
    </row>
    <row r="42" customFormat="false" ht="15.75" hidden="false" customHeight="true" outlineLevel="0" collapsed="false">
      <c r="A42" s="80"/>
      <c r="B42" s="293"/>
      <c r="C42" s="80"/>
      <c r="D42" s="317"/>
      <c r="E42" s="161" t="s">
        <v>352</v>
      </c>
      <c r="F42" s="319"/>
      <c r="G42" s="328"/>
      <c r="H42" s="332"/>
      <c r="J42" s="286" t="n">
        <v>15</v>
      </c>
    </row>
    <row r="43" customFormat="false" ht="27" hidden="false" customHeight="true" outlineLevel="0" collapsed="false">
      <c r="A43" s="80"/>
      <c r="B43" s="293"/>
      <c r="C43" s="80"/>
      <c r="D43" s="312" t="n">
        <f aca="false">D39+1</f>
        <v>10</v>
      </c>
      <c r="E43" s="325" t="str">
        <f aca="false">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333"/>
      <c r="G43" s="304" t="str">
        <f aca="false">"Указывается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02"/>
      <c r="J43" s="286" t="n">
        <v>26</v>
      </c>
    </row>
    <row r="44" customFormat="false" ht="23.25" hidden="false" customHeight="true" outlineLevel="0" collapsed="false">
      <c r="A44" s="80"/>
      <c r="B44" s="293"/>
      <c r="C44" s="80"/>
      <c r="D44" s="312" t="n">
        <f aca="false">D43+1</f>
        <v>11</v>
      </c>
      <c r="E44" s="325" t="str">
        <f aca="false">"Адрес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34"/>
      <c r="G44" s="305" t="s">
        <v>353</v>
      </c>
      <c r="H44" s="302"/>
      <c r="J44" s="286" t="n">
        <v>22</v>
      </c>
    </row>
    <row r="45" customFormat="false" ht="23.25" hidden="false" customHeight="true" outlineLevel="0" collapsed="false">
      <c r="A45" s="80"/>
      <c r="B45" s="293"/>
      <c r="C45" s="80"/>
      <c r="D45" s="312" t="n">
        <f aca="false">D44+1</f>
        <v>12</v>
      </c>
      <c r="E45" s="325" t="s">
        <v>354</v>
      </c>
      <c r="F45" s="185" t="s">
        <v>319</v>
      </c>
      <c r="G45" s="327" t="str">
        <f aca="false">IF(TEMPLATE_SPHERE="TKO","Указывается режим работы организации.","")</f>
        <v/>
      </c>
      <c r="H45" s="302"/>
      <c r="J45" s="286" t="n">
        <v>22</v>
      </c>
    </row>
    <row r="46" customFormat="false" ht="24" hidden="false" customHeight="true" outlineLevel="0" collapsed="false">
      <c r="A46" s="80"/>
      <c r="B46" s="293"/>
      <c r="C46" s="80"/>
      <c r="D46" s="312" t="str">
        <f aca="false">D45&amp;".1"</f>
        <v>12.1</v>
      </c>
      <c r="E46" s="306" t="str">
        <f aca="false">"режим работы регулируемой организации"&amp;IF(TEMPLATE_SPHERE="HEAT",", ЕТО, ТО","")</f>
        <v>режим работы регулируемой организации, ЕТО, ТО</v>
      </c>
      <c r="F46" s="335"/>
      <c r="G46" s="327" t="s">
        <v>355</v>
      </c>
      <c r="H46" s="302"/>
      <c r="J46" s="286" t="n">
        <v>23</v>
      </c>
    </row>
    <row r="47" customFormat="false" ht="24" hidden="false" customHeight="true" outlineLevel="0" collapsed="false">
      <c r="A47" s="309"/>
      <c r="B47" s="293"/>
      <c r="C47" s="316"/>
      <c r="D47" s="312" t="str">
        <f aca="false">D45&amp;".2"</f>
        <v>12.2</v>
      </c>
      <c r="E47" s="306" t="s">
        <v>356</v>
      </c>
      <c r="F47" s="335"/>
      <c r="G47" s="327" t="s">
        <v>357</v>
      </c>
      <c r="H47" s="302"/>
      <c r="J47" s="286" t="n">
        <v>23</v>
      </c>
    </row>
    <row r="48" customFormat="false" ht="24" hidden="false" customHeight="true" outlineLevel="0" collapsed="false">
      <c r="A48" s="309"/>
      <c r="B48" s="293"/>
      <c r="C48" s="316"/>
      <c r="D48" s="312" t="str">
        <f aca="false">D45&amp;".3"</f>
        <v>12.3</v>
      </c>
      <c r="E48" s="306" t="s">
        <v>358</v>
      </c>
      <c r="F48" s="335"/>
      <c r="G48" s="327" t="s">
        <v>359</v>
      </c>
      <c r="H48" s="302"/>
      <c r="J48" s="286" t="n">
        <v>23</v>
      </c>
    </row>
    <row r="49" customFormat="false" ht="24" hidden="false" customHeight="true" outlineLevel="0" collapsed="false">
      <c r="A49" s="309"/>
      <c r="B49" s="293"/>
      <c r="C49" s="316"/>
      <c r="D49" s="312" t="str">
        <f aca="false">IF(TEMPLATE_SPHERE="TKO",D45&amp;".0",D45&amp;".4")</f>
        <v>12.4</v>
      </c>
      <c r="E49" s="336" t="s">
        <v>360</v>
      </c>
      <c r="F49" s="337"/>
      <c r="G49" s="338" t="s">
        <v>361</v>
      </c>
      <c r="H49" s="302"/>
      <c r="J49" s="286" t="n">
        <v>23</v>
      </c>
    </row>
    <row r="50" customFormat="false" ht="24" hidden="false" customHeight="true" outlineLevel="0" collapsed="false">
      <c r="A50" s="80"/>
      <c r="B50" s="293"/>
      <c r="C50" s="80"/>
      <c r="D50" s="317"/>
      <c r="E50" s="161" t="s">
        <v>362</v>
      </c>
      <c r="F50" s="318"/>
      <c r="G50" s="338" t="s">
        <v>363</v>
      </c>
      <c r="H50" s="332"/>
      <c r="J50" s="286" t="n">
        <v>23</v>
      </c>
    </row>
    <row r="51" customFormat="false" ht="24" hidden="false" customHeight="true" outlineLevel="0" collapsed="false">
      <c r="A51" s="309"/>
      <c r="B51" s="293"/>
      <c r="C51" s="316"/>
      <c r="D51" s="312" t="n">
        <f aca="false">D45+1</f>
        <v>13</v>
      </c>
      <c r="E51" s="339" t="s">
        <v>364</v>
      </c>
      <c r="F51" s="335"/>
      <c r="G51" s="340" t="str">
        <f aca="false">"Указывается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302"/>
      <c r="J51" s="286" t="n">
        <v>23</v>
      </c>
    </row>
    <row r="52" customFormat="false" ht="11.25" hidden="false" customHeight="true" outlineLevel="0" collapsed="false">
      <c r="A52" s="80"/>
      <c r="B52" s="293"/>
      <c r="C52" s="80"/>
      <c r="J52" s="286" t="n">
        <v>11</v>
      </c>
    </row>
    <row r="53" s="344" customFormat="true" ht="31.5" hidden="false" customHeight="true" outlineLevel="0" collapsed="false">
      <c r="A53" s="341"/>
      <c r="B53" s="47"/>
      <c r="C53" s="342"/>
      <c r="D53" s="343" t="str">
        <f aca="false">"В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343"/>
      <c r="F53" s="343"/>
      <c r="G53" s="343"/>
      <c r="H53" s="171"/>
      <c r="I53" s="171"/>
      <c r="J53" s="344" t="n">
        <v>30</v>
      </c>
    </row>
    <row r="54" s="344" customFormat="true" ht="42" hidden="false" customHeight="true" outlineLevel="0" collapsed="false">
      <c r="A54" s="80"/>
      <c r="B54" s="293"/>
      <c r="C54" s="342"/>
      <c r="D54" s="343" t="str">
        <f aca="false">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343"/>
      <c r="F54" s="343"/>
      <c r="G54" s="343"/>
      <c r="J54" s="344" t="n">
        <v>40</v>
      </c>
    </row>
    <row r="55" customFormat="false" ht="11.25" hidden="false" customHeight="true" outlineLevel="0" collapsed="false">
      <c r="J55" s="286" t="n">
        <v>11</v>
      </c>
    </row>
    <row r="56" customFormat="false" ht="28.5" hidden="false" customHeight="true" outlineLevel="0" collapsed="false">
      <c r="D56" s="345"/>
      <c r="E56" s="287"/>
      <c r="F56" s="346"/>
      <c r="G56" s="346"/>
      <c r="J56" s="286" t="n">
        <v>27</v>
      </c>
    </row>
    <row r="57" customFormat="false" ht="11.25" hidden="false" customHeight="true" outlineLevel="0" collapsed="false">
      <c r="E57" s="287"/>
      <c r="J57" s="286" t="n">
        <v>11</v>
      </c>
    </row>
    <row r="58" customFormat="false" ht="40.5" hidden="false" customHeight="true" outlineLevel="0" collapsed="false">
      <c r="D58" s="347"/>
      <c r="E58" s="348"/>
      <c r="F58" s="348"/>
      <c r="G58" s="348"/>
      <c r="J58" s="286" t="n">
        <v>39</v>
      </c>
    </row>
    <row r="59" customFormat="false" ht="28.5" hidden="false" customHeight="true" outlineLevel="0" collapsed="false">
      <c r="D59" s="347"/>
      <c r="E59" s="348"/>
      <c r="F59" s="348"/>
      <c r="G59" s="348"/>
      <c r="J59" s="286" t="n">
        <v>27</v>
      </c>
    </row>
    <row r="60" customFormat="false" ht="11.25" hidden="true" customHeight="true" outlineLevel="0" collapsed="false">
      <c r="A60" s="284" t="s">
        <v>81</v>
      </c>
      <c r="B60" s="285" t="n">
        <v>0</v>
      </c>
      <c r="C60" s="286" t="n">
        <v>3</v>
      </c>
      <c r="D60" s="287" t="n">
        <v>6</v>
      </c>
      <c r="E60" s="286" t="n">
        <v>52</v>
      </c>
      <c r="F60" s="286" t="n">
        <v>48</v>
      </c>
      <c r="G60" s="286" t="n">
        <v>121</v>
      </c>
      <c r="H60" s="286" t="n">
        <v>8</v>
      </c>
      <c r="I60" s="286" t="n">
        <v>64</v>
      </c>
      <c r="J60" s="286" t="n">
        <v>11</v>
      </c>
    </row>
  </sheetData>
  <mergeCells count="12">
    <mergeCell ref="D4:F4"/>
    <mergeCell ref="D5:F5"/>
    <mergeCell ref="E7:F7"/>
    <mergeCell ref="D8:F8"/>
    <mergeCell ref="G8:G9"/>
    <mergeCell ref="A19:A23"/>
    <mergeCell ref="C19:C23"/>
    <mergeCell ref="G39:G42"/>
    <mergeCell ref="A47:A49"/>
    <mergeCell ref="C53:C54"/>
    <mergeCell ref="D53:G53"/>
    <mergeCell ref="D54:G5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7 F21"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46:F49 F5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F13 F16 F18 F20 F22:F23 F27:F32 F34:F38 E40:F41 F43:F44"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AT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45" width="9.14"/>
    <col collapsed="false" customWidth="true" hidden="true" outlineLevel="0" max="2" min="2" style="42" width="9.14"/>
    <col collapsed="false" customWidth="true" hidden="false" outlineLevel="0" max="3" min="3" style="117" width="3"/>
    <col collapsed="false" customWidth="true" hidden="false" outlineLevel="0" max="4" min="4" style="42" width="5"/>
    <col collapsed="false" customWidth="true" hidden="false" outlineLevel="0" max="5" min="5" style="42" width="48"/>
    <col collapsed="false" customWidth="true" hidden="false" outlineLevel="0" max="6" min="6" style="42" width="38"/>
    <col collapsed="false" customWidth="true" hidden="true" outlineLevel="0" max="7" min="7" style="42" width="1.71"/>
    <col collapsed="false" customWidth="true" hidden="false" outlineLevel="0" max="11" min="8" style="42" width="19.85"/>
    <col collapsed="false" customWidth="true" hidden="false" outlineLevel="0" max="12" min="12" style="42" width="9.71"/>
    <col collapsed="false" customWidth="true" hidden="false" outlineLevel="0" max="18" min="13" style="42" width="19.85"/>
    <col collapsed="false" customWidth="true" hidden="true" outlineLevel="0" max="19" min="19" style="42" width="1.71"/>
    <col collapsed="false" customWidth="true" hidden="true" outlineLevel="0" max="22" min="20" style="42" width="19.85"/>
    <col collapsed="false" customWidth="true" hidden="true" outlineLevel="0" max="23" min="23" style="42" width="1.71"/>
    <col collapsed="false" customWidth="true" hidden="true" outlineLevel="0" max="26" min="24" style="42" width="19.85"/>
    <col collapsed="false" customWidth="true" hidden="true" outlineLevel="0" max="27" min="27" style="42" width="1.71"/>
    <col collapsed="false" customWidth="true" hidden="true" outlineLevel="0" max="29" min="28" style="42" width="19.85"/>
    <col collapsed="false" customWidth="true" hidden="true" outlineLevel="0" max="30" min="30" style="42" width="1.71"/>
    <col collapsed="false" customWidth="true" hidden="false" outlineLevel="0" max="31" min="31" style="42" width="103.71"/>
    <col collapsed="false" customWidth="true" hidden="true" outlineLevel="0" max="34" min="32" style="42" width="103.71"/>
    <col collapsed="false" customWidth="true" hidden="false" outlineLevel="0" max="35" min="35" style="129" width="3"/>
    <col collapsed="false" customWidth="true" hidden="false" outlineLevel="0" max="38" min="36" style="47" width="10"/>
    <col collapsed="false" customWidth="true" hidden="true" outlineLevel="0" max="39" min="39" style="47" width="13.71"/>
    <col collapsed="false" customWidth="true" hidden="false" outlineLevel="0" max="40" min="40" style="47" width="15"/>
    <col collapsed="false" customWidth="true" hidden="false" outlineLevel="0" max="41" min="41" style="47" width="16"/>
    <col collapsed="false" customWidth="true" hidden="false" outlineLevel="0" max="45" min="42" style="47" width="10"/>
    <col collapsed="false" customWidth="false" hidden="true" outlineLevel="0" max="46" min="46" style="42" width="10.57"/>
  </cols>
  <sheetData>
    <row r="1" customFormat="false" ht="22.5" hidden="true" customHeight="true" outlineLevel="0" collapsed="false">
      <c r="E1" s="157"/>
      <c r="F1" s="157"/>
      <c r="G1" s="157"/>
      <c r="H1" s="44" t="s">
        <v>365</v>
      </c>
      <c r="I1" s="44"/>
      <c r="J1" s="44"/>
      <c r="K1" s="44"/>
      <c r="L1" s="44"/>
      <c r="M1" s="44"/>
      <c r="N1" s="44"/>
      <c r="O1" s="44"/>
      <c r="P1" s="44"/>
      <c r="Q1" s="44"/>
      <c r="R1" s="44"/>
      <c r="T1" s="44" t="s">
        <v>366</v>
      </c>
      <c r="U1" s="44"/>
      <c r="V1" s="44"/>
      <c r="X1" s="44" t="s">
        <v>367</v>
      </c>
      <c r="Y1" s="44"/>
      <c r="Z1" s="44"/>
      <c r="AB1" s="44" t="s">
        <v>368</v>
      </c>
      <c r="AC1" s="44"/>
      <c r="AT1" s="42" t="s">
        <v>14</v>
      </c>
    </row>
    <row r="2" customFormat="false" ht="14.25" hidden="true" customHeight="true" outlineLevel="0" collapsed="false">
      <c r="AT2" s="42" t="n">
        <v>0</v>
      </c>
    </row>
    <row r="3" s="60" customFormat="true" ht="5.25" hidden="false" customHeight="true" outlineLevel="0" collapsed="false">
      <c r="C3" s="70"/>
      <c r="D3" s="349"/>
      <c r="E3" s="349"/>
      <c r="F3" s="349"/>
      <c r="G3" s="349"/>
      <c r="H3" s="349" t="s">
        <v>369</v>
      </c>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J3" s="47"/>
      <c r="AK3" s="47"/>
      <c r="AL3" s="47"/>
      <c r="AM3" s="47"/>
      <c r="AN3" s="47"/>
      <c r="AO3" s="47"/>
      <c r="AP3" s="47"/>
      <c r="AQ3" s="47"/>
      <c r="AR3" s="47"/>
      <c r="AS3" s="47"/>
      <c r="AT3" s="60" t="n">
        <v>5</v>
      </c>
    </row>
    <row r="4" customFormat="false" ht="39.75" hidden="false" customHeight="true" outlineLevel="0" collapsed="false">
      <c r="C4" s="329"/>
      <c r="D4" s="220" t="str">
        <f aca="false">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0"/>
      <c r="F4" s="220"/>
      <c r="G4" s="220"/>
      <c r="H4" s="220"/>
      <c r="I4" s="220"/>
      <c r="J4" s="220"/>
      <c r="K4" s="220"/>
      <c r="L4" s="220"/>
      <c r="M4" s="220"/>
      <c r="N4" s="220"/>
      <c r="O4" s="220"/>
      <c r="P4" s="220"/>
      <c r="Q4" s="220"/>
      <c r="R4" s="220"/>
      <c r="S4" s="350"/>
      <c r="T4" s="257"/>
      <c r="U4" s="257"/>
      <c r="V4" s="257"/>
      <c r="W4" s="257"/>
      <c r="X4" s="257"/>
      <c r="Y4" s="257"/>
      <c r="Z4" s="257"/>
      <c r="AA4" s="257"/>
      <c r="AB4" s="257"/>
      <c r="AC4" s="257"/>
      <c r="AD4" s="257"/>
      <c r="AE4" s="351"/>
      <c r="AF4" s="351"/>
      <c r="AG4" s="351"/>
      <c r="AH4" s="351"/>
      <c r="AI4" s="221"/>
      <c r="AT4" s="42" t="n">
        <v>38</v>
      </c>
    </row>
    <row r="5" s="42" customFormat="true" ht="18" hidden="false" customHeight="true" outlineLevel="0" collapsed="false">
      <c r="A5" s="45"/>
      <c r="C5" s="329"/>
      <c r="D5" s="261" t="str">
        <f aca="false">IF(org=0,"Не определено",org)</f>
        <v>ООО "Газпром теплоэнерго Ярославль"</v>
      </c>
      <c r="E5" s="261"/>
      <c r="F5" s="261"/>
      <c r="G5" s="261"/>
      <c r="H5" s="261"/>
      <c r="I5" s="261"/>
      <c r="J5" s="261"/>
      <c r="K5" s="261"/>
      <c r="L5" s="261"/>
      <c r="M5" s="261"/>
      <c r="N5" s="261"/>
      <c r="O5" s="261"/>
      <c r="P5" s="261"/>
      <c r="Q5" s="261"/>
      <c r="R5" s="261"/>
      <c r="S5" s="350"/>
      <c r="T5" s="257"/>
      <c r="U5" s="257"/>
      <c r="V5" s="257"/>
      <c r="W5" s="257"/>
      <c r="X5" s="257"/>
      <c r="Y5" s="257"/>
      <c r="Z5" s="257"/>
      <c r="AA5" s="257"/>
      <c r="AB5" s="257"/>
      <c r="AC5" s="257"/>
      <c r="AD5" s="257"/>
      <c r="AE5" s="351"/>
      <c r="AF5" s="351"/>
      <c r="AG5" s="351"/>
      <c r="AH5" s="351"/>
      <c r="AI5" s="221"/>
      <c r="AJ5" s="47"/>
      <c r="AK5" s="47"/>
      <c r="AL5" s="47"/>
      <c r="AM5" s="47"/>
      <c r="AN5" s="47"/>
      <c r="AO5" s="47"/>
      <c r="AP5" s="47"/>
      <c r="AQ5" s="47"/>
      <c r="AR5" s="47"/>
      <c r="AS5" s="47"/>
      <c r="AT5" s="42" t="n">
        <v>17</v>
      </c>
    </row>
    <row r="6" s="58" customFormat="true" ht="11.25" hidden="false" customHeight="true" outlineLevel="0" collapsed="false">
      <c r="A6" s="60"/>
      <c r="C6" s="352"/>
      <c r="D6" s="353"/>
      <c r="E6" s="353"/>
      <c r="F6" s="353"/>
      <c r="G6" s="353"/>
      <c r="H6" s="353"/>
      <c r="I6" s="353"/>
      <c r="J6" s="353"/>
      <c r="K6" s="353"/>
      <c r="L6" s="353"/>
      <c r="M6" s="353"/>
      <c r="N6" s="353"/>
      <c r="O6" s="353"/>
      <c r="P6" s="353"/>
      <c r="Q6" s="353"/>
      <c r="R6" s="292"/>
      <c r="S6" s="292"/>
      <c r="T6" s="353"/>
      <c r="U6" s="353"/>
      <c r="V6" s="354"/>
      <c r="W6" s="354"/>
      <c r="X6" s="353"/>
      <c r="Y6" s="353"/>
      <c r="Z6" s="354"/>
      <c r="AA6" s="354"/>
      <c r="AB6" s="353"/>
      <c r="AC6" s="354"/>
      <c r="AD6" s="354"/>
      <c r="AE6" s="353"/>
      <c r="AF6" s="353"/>
      <c r="AG6" s="353"/>
      <c r="AH6" s="353"/>
      <c r="AJ6" s="47"/>
      <c r="AK6" s="47"/>
      <c r="AL6" s="47"/>
      <c r="AM6" s="47"/>
      <c r="AN6" s="47"/>
      <c r="AO6" s="47"/>
      <c r="AP6" s="47"/>
      <c r="AQ6" s="47"/>
      <c r="AR6" s="47"/>
      <c r="AS6" s="47"/>
      <c r="AT6" s="58" t="n">
        <v>11</v>
      </c>
    </row>
    <row r="7" customFormat="false" ht="14.25" hidden="false" customHeight="true" outlineLevel="0" collapsed="false">
      <c r="C7" s="329"/>
      <c r="D7" s="185" t="s">
        <v>313</v>
      </c>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t="s">
        <v>314</v>
      </c>
      <c r="AF7" s="185" t="s">
        <v>314</v>
      </c>
      <c r="AG7" s="185" t="s">
        <v>314</v>
      </c>
      <c r="AH7" s="185" t="s">
        <v>314</v>
      </c>
      <c r="AT7" s="42" t="n">
        <v>14</v>
      </c>
    </row>
    <row r="8" customFormat="false" ht="27" hidden="false" customHeight="true" outlineLevel="0" collapsed="false">
      <c r="C8" s="329"/>
      <c r="D8" s="134" t="s">
        <v>87</v>
      </c>
      <c r="E8" s="355" t="str">
        <f aca="false">"Наименование "&amp;IF(TEMPLATE_SPHERE&lt;&gt;"HEAT","централизованной ","")&amp;"системы "&amp;TEMPLATE_SPHERE_RUS</f>
        <v>Наименование системы теплоснабжения</v>
      </c>
      <c r="F8" s="355" t="str">
        <f aca="false">IF(TEMPLATE_SPHERE&lt;&gt;"HEAT","Регулируемый вид деятельности","Вид регулируемой деятельности")</f>
        <v>Вид регулируемой деятельности</v>
      </c>
      <c r="G8" s="356"/>
      <c r="H8" s="355" t="s">
        <v>370</v>
      </c>
      <c r="I8" s="357" t="s">
        <v>371</v>
      </c>
      <c r="J8" s="357" t="s">
        <v>372</v>
      </c>
      <c r="K8" s="357"/>
      <c r="L8" s="357"/>
      <c r="M8" s="357"/>
      <c r="N8" s="185" t="s">
        <v>373</v>
      </c>
      <c r="O8" s="185"/>
      <c r="P8" s="185" t="s">
        <v>374</v>
      </c>
      <c r="Q8" s="185"/>
      <c r="R8" s="358" t="s">
        <v>375</v>
      </c>
      <c r="S8" s="359"/>
      <c r="T8" s="355" t="s">
        <v>376</v>
      </c>
      <c r="U8" s="355" t="s">
        <v>377</v>
      </c>
      <c r="V8" s="355" t="s">
        <v>378</v>
      </c>
      <c r="W8" s="356"/>
      <c r="X8" s="355" t="s">
        <v>379</v>
      </c>
      <c r="Y8" s="355" t="s">
        <v>380</v>
      </c>
      <c r="Z8" s="355" t="s">
        <v>381</v>
      </c>
      <c r="AA8" s="356"/>
      <c r="AB8" s="355" t="s">
        <v>382</v>
      </c>
      <c r="AC8" s="355" t="s">
        <v>375</v>
      </c>
      <c r="AD8" s="356"/>
      <c r="AE8" s="185"/>
      <c r="AF8" s="185"/>
      <c r="AG8" s="185"/>
      <c r="AH8" s="185"/>
      <c r="AT8" s="42" t="n">
        <v>26</v>
      </c>
    </row>
    <row r="9" customFormat="false" ht="45.75" hidden="false" customHeight="true" outlineLevel="0" collapsed="false">
      <c r="C9" s="329"/>
      <c r="D9" s="134"/>
      <c r="E9" s="355"/>
      <c r="F9" s="355"/>
      <c r="G9" s="360"/>
      <c r="H9" s="355"/>
      <c r="I9" s="357"/>
      <c r="J9" s="185" t="s">
        <v>383</v>
      </c>
      <c r="K9" s="185" t="s">
        <v>384</v>
      </c>
      <c r="L9" s="185" t="s">
        <v>385</v>
      </c>
      <c r="M9" s="357" t="s">
        <v>386</v>
      </c>
      <c r="N9" s="185" t="s">
        <v>387</v>
      </c>
      <c r="O9" s="185" t="s">
        <v>386</v>
      </c>
      <c r="P9" s="185" t="s">
        <v>388</v>
      </c>
      <c r="Q9" s="185" t="s">
        <v>386</v>
      </c>
      <c r="R9" s="358"/>
      <c r="S9" s="361"/>
      <c r="T9" s="355"/>
      <c r="U9" s="355"/>
      <c r="V9" s="355"/>
      <c r="W9" s="360"/>
      <c r="X9" s="355"/>
      <c r="Y9" s="355"/>
      <c r="Z9" s="355"/>
      <c r="AA9" s="360"/>
      <c r="AB9" s="355"/>
      <c r="AC9" s="355"/>
      <c r="AD9" s="360"/>
      <c r="AE9" s="185"/>
      <c r="AF9" s="185"/>
      <c r="AG9" s="185"/>
      <c r="AH9" s="185"/>
      <c r="AT9" s="42" t="n">
        <v>44</v>
      </c>
    </row>
    <row r="10" customFormat="false" ht="12" hidden="true" customHeight="true" outlineLevel="0" collapsed="false">
      <c r="C10" s="362"/>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42"/>
      <c r="AP10" s="118"/>
      <c r="AQ10" s="118"/>
      <c r="AT10" s="42" t="n">
        <v>0</v>
      </c>
    </row>
    <row r="11" s="120" customFormat="true" ht="11.25" hidden="true" customHeight="true" outlineLevel="0" collapsed="false">
      <c r="C11" s="364"/>
      <c r="D11" s="365" t="s">
        <v>389</v>
      </c>
      <c r="E11" s="365"/>
      <c r="F11" s="365"/>
      <c r="G11" s="365"/>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7"/>
      <c r="AF11" s="367"/>
      <c r="AG11" s="367"/>
      <c r="AH11" s="367"/>
      <c r="AJ11" s="47"/>
      <c r="AK11" s="47"/>
      <c r="AL11" s="47"/>
      <c r="AM11" s="47"/>
      <c r="AN11" s="47"/>
      <c r="AO11" s="47"/>
      <c r="AP11" s="47"/>
      <c r="AQ11" s="47"/>
      <c r="AR11" s="47"/>
      <c r="AS11" s="47"/>
      <c r="AT11" s="120" t="n">
        <v>0</v>
      </c>
    </row>
    <row r="12" customFormat="false" ht="14.25" hidden="false" customHeight="true" outlineLevel="0" collapsed="false">
      <c r="A12" s="42"/>
      <c r="C12" s="329"/>
      <c r="D12" s="368" t="s">
        <v>120</v>
      </c>
      <c r="E12" s="326"/>
      <c r="F12" s="369"/>
      <c r="G12" s="370"/>
      <c r="H12" s="371"/>
      <c r="I12" s="371"/>
      <c r="J12" s="372"/>
      <c r="K12" s="373"/>
      <c r="L12" s="374"/>
      <c r="M12" s="373"/>
      <c r="N12" s="372"/>
      <c r="O12" s="373"/>
      <c r="P12" s="372"/>
      <c r="Q12" s="373"/>
      <c r="R12" s="372"/>
      <c r="S12" s="375"/>
      <c r="T12" s="371"/>
      <c r="U12" s="372"/>
      <c r="V12" s="372"/>
      <c r="W12" s="360"/>
      <c r="X12" s="371"/>
      <c r="Y12" s="372"/>
      <c r="Z12" s="372"/>
      <c r="AA12" s="360"/>
      <c r="AB12" s="371"/>
      <c r="AC12" s="372"/>
      <c r="AD12" s="360"/>
      <c r="AE12" s="376" t="s">
        <v>390</v>
      </c>
      <c r="AF12" s="376" t="s">
        <v>391</v>
      </c>
      <c r="AG12" s="376" t="s">
        <v>392</v>
      </c>
      <c r="AH12" s="376" t="s">
        <v>393</v>
      </c>
      <c r="AI12" s="42"/>
      <c r="AP12" s="118" t="s">
        <v>394</v>
      </c>
      <c r="AQ12" s="118" t="s">
        <v>394</v>
      </c>
      <c r="AT12" s="42" t="n">
        <v>14</v>
      </c>
    </row>
    <row r="13" customFormat="false" ht="18" hidden="false" customHeight="true" outlineLevel="0" collapsed="false">
      <c r="A13" s="42"/>
      <c r="C13" s="329"/>
      <c r="D13" s="377"/>
      <c r="E13" s="378" t="str">
        <f aca="false">IF(TITLE_DIFFERENTIATION_TYPE="нет","","Добавить систему")</f>
        <v/>
      </c>
      <c r="F13" s="378" t="str">
        <f aca="false">IF(TITLE_DIFFERENTIATION_TYPE="нет","Добавить вид деятельности","")</f>
        <v>Добавить вид деятельности</v>
      </c>
      <c r="G13" s="379"/>
      <c r="H13" s="380"/>
      <c r="I13" s="380"/>
      <c r="J13" s="380"/>
      <c r="K13" s="380"/>
      <c r="L13" s="380"/>
      <c r="M13" s="380"/>
      <c r="N13" s="380"/>
      <c r="O13" s="380"/>
      <c r="P13" s="380"/>
      <c r="Q13" s="380"/>
      <c r="R13" s="380"/>
      <c r="S13" s="380"/>
      <c r="T13" s="380"/>
      <c r="U13" s="380"/>
      <c r="V13" s="380"/>
      <c r="W13" s="380"/>
      <c r="X13" s="380"/>
      <c r="Y13" s="380"/>
      <c r="Z13" s="380"/>
      <c r="AA13" s="380"/>
      <c r="AB13" s="380"/>
      <c r="AC13" s="380"/>
      <c r="AD13" s="381"/>
      <c r="AE13" s="376"/>
      <c r="AF13" s="376"/>
      <c r="AG13" s="376"/>
      <c r="AH13" s="376"/>
      <c r="AI13" s="42"/>
      <c r="AT13" s="42" t="n">
        <v>17</v>
      </c>
    </row>
    <row r="14" customFormat="false" ht="14.25" hidden="false" customHeight="true" outlineLevel="0" collapsed="false">
      <c r="AI14" s="42"/>
      <c r="AT14" s="42" t="n">
        <v>14</v>
      </c>
    </row>
    <row r="15" customFormat="false" ht="14.25" hidden="false" customHeight="true" outlineLevel="0" collapsed="false">
      <c r="AT15" s="42" t="n">
        <v>14</v>
      </c>
    </row>
    <row r="16" customFormat="false" ht="14.25" hidden="false" customHeight="true" outlineLevel="0" collapsed="false">
      <c r="AT16" s="42" t="n">
        <v>14</v>
      </c>
    </row>
    <row r="17" customFormat="false" ht="14.25" hidden="false" customHeight="true" outlineLevel="0" collapsed="false">
      <c r="AT17" s="42" t="n">
        <v>14</v>
      </c>
    </row>
    <row r="18" customFormat="false" ht="22.5" hidden="true" customHeight="true" outlineLevel="0" collapsed="false">
      <c r="A18" s="45" t="s">
        <v>81</v>
      </c>
      <c r="B18" s="42" t="n">
        <v>0</v>
      </c>
      <c r="C18" s="117" t="n">
        <v>3</v>
      </c>
      <c r="D18" s="42" t="n">
        <v>5</v>
      </c>
      <c r="E18" s="42" t="n">
        <v>48</v>
      </c>
      <c r="F18" s="42" t="n">
        <v>38</v>
      </c>
      <c r="G18" s="42" t="n">
        <v>0</v>
      </c>
      <c r="H18" s="42" t="n">
        <v>0</v>
      </c>
      <c r="I18" s="42" t="n">
        <v>0</v>
      </c>
      <c r="J18" s="42" t="n">
        <v>0</v>
      </c>
      <c r="K18" s="42" t="n">
        <v>0</v>
      </c>
      <c r="L18" s="42" t="n">
        <v>0</v>
      </c>
      <c r="M18" s="42" t="n">
        <v>0</v>
      </c>
      <c r="N18" s="42" t="n">
        <v>0</v>
      </c>
      <c r="O18" s="42" t="n">
        <v>0</v>
      </c>
      <c r="P18" s="42" t="n">
        <v>0</v>
      </c>
      <c r="Q18" s="42" t="n">
        <v>0</v>
      </c>
      <c r="R18" s="42" t="n">
        <v>0</v>
      </c>
      <c r="S18" s="42" t="n">
        <v>0</v>
      </c>
      <c r="T18" s="42" t="n">
        <v>0</v>
      </c>
      <c r="U18" s="42" t="n">
        <v>0</v>
      </c>
      <c r="V18" s="42" t="n">
        <v>0</v>
      </c>
      <c r="W18" s="42" t="n">
        <v>0</v>
      </c>
      <c r="X18" s="42" t="n">
        <v>0</v>
      </c>
      <c r="Y18" s="42" t="n">
        <v>0</v>
      </c>
      <c r="Z18" s="42" t="n">
        <v>0</v>
      </c>
      <c r="AA18" s="42" t="n">
        <v>0</v>
      </c>
      <c r="AB18" s="42" t="n">
        <v>0</v>
      </c>
      <c r="AC18" s="42" t="n">
        <v>0</v>
      </c>
      <c r="AD18" s="42" t="n">
        <v>0</v>
      </c>
      <c r="AE18" s="42" t="n">
        <v>0</v>
      </c>
      <c r="AF18" s="42" t="n">
        <v>0</v>
      </c>
      <c r="AG18" s="42" t="n">
        <v>0</v>
      </c>
      <c r="AH18" s="42" t="n">
        <v>0</v>
      </c>
      <c r="AI18" s="129" t="n">
        <v>3</v>
      </c>
      <c r="AJ18" s="47" t="n">
        <v>10</v>
      </c>
      <c r="AK18" s="47" t="n">
        <v>10</v>
      </c>
      <c r="AL18" s="47" t="n">
        <v>10</v>
      </c>
      <c r="AM18" s="47" t="n">
        <v>0</v>
      </c>
      <c r="AN18" s="47" t="n">
        <v>15</v>
      </c>
      <c r="AO18" s="47" t="n">
        <v>16</v>
      </c>
      <c r="AP18" s="47" t="n">
        <v>10</v>
      </c>
      <c r="AQ18" s="47" t="n">
        <v>10</v>
      </c>
      <c r="AR18" s="47" t="n">
        <v>10</v>
      </c>
      <c r="AS18" s="47" t="n">
        <v>10</v>
      </c>
      <c r="AT18" s="42" t="n">
        <v>23</v>
      </c>
    </row>
  </sheetData>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6">
    <dataValidation allowBlank="true" error="Допускается ввод только неотрицательных чисел!" errorStyle="stop" errorTitle="Ошибка" operator="between" showDropDown="false" showErrorMessage="true" showInputMessage="false" sqref="E11:G11"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1:AD11 H12:I12 K12 M12 O12 Q12 T12 X12 AB12" type="decimal">
      <formula1>0</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E12" type="textLength">
      <formula1>900</formula1>
      <formula2>0</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12"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12 N12 P12 R12:S12 U12:V12 Y12:Z12 AC12" type="whole">
      <formula1>0</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12" type="list">
      <formula1>kind_of_power_te_unit</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V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45" width="9.14"/>
    <col collapsed="false" customWidth="true" hidden="true" outlineLevel="0" max="2" min="2" style="42" width="9.14"/>
    <col collapsed="false" customWidth="true" hidden="false" outlineLevel="0" max="3" min="3" style="117" width="3"/>
    <col collapsed="false" customWidth="true" hidden="false" outlineLevel="0" max="4" min="4" style="42" width="5"/>
    <col collapsed="false" customWidth="true" hidden="false" outlineLevel="0" max="5" min="5" style="42" width="38"/>
    <col collapsed="false" customWidth="true" hidden="false" outlineLevel="0" max="7" min="6" style="42" width="3"/>
    <col collapsed="false" customWidth="true" hidden="false" outlineLevel="0" max="8" min="8" style="42" width="38"/>
    <col collapsed="false" customWidth="true" hidden="false" outlineLevel="0" max="9" min="9" style="42" width="35"/>
    <col collapsed="false" customWidth="true" hidden="false" outlineLevel="0" max="10" min="10" style="42" width="103"/>
    <col collapsed="false" customWidth="true" hidden="false" outlineLevel="0" max="11" min="11" style="129" width="3"/>
    <col collapsed="false" customWidth="true" hidden="false" outlineLevel="0" max="14" min="12" style="47" width="10"/>
    <col collapsed="false" customWidth="true" hidden="false" outlineLevel="0" max="15" min="15" style="47" width="13"/>
    <col collapsed="false" customWidth="true" hidden="false" outlineLevel="0" max="16" min="16" style="47" width="15"/>
    <col collapsed="false" customWidth="true" hidden="false" outlineLevel="0" max="17" min="17" style="47" width="16"/>
    <col collapsed="false" customWidth="true" hidden="false" outlineLevel="0" max="21" min="18" style="47" width="10"/>
    <col collapsed="false" customWidth="false" hidden="true" outlineLevel="0" max="22" min="22" style="42" width="10.57"/>
  </cols>
  <sheetData>
    <row r="1" customFormat="false" ht="22.5" hidden="true" customHeight="true" outlineLevel="0" collapsed="false">
      <c r="E1" s="157"/>
      <c r="F1" s="157"/>
      <c r="G1" s="157"/>
      <c r="H1" s="44" t="s">
        <v>365</v>
      </c>
      <c r="I1" s="44"/>
      <c r="V1" s="42" t="s">
        <v>14</v>
      </c>
    </row>
    <row r="2" s="42" customFormat="true" ht="14.25" hidden="true" customHeight="true" outlineLevel="0" collapsed="false">
      <c r="C2" s="329"/>
      <c r="D2" s="382" t="s">
        <v>120</v>
      </c>
      <c r="E2" s="383"/>
      <c r="F2" s="384"/>
      <c r="G2" s="198" t="s">
        <v>120</v>
      </c>
      <c r="H2" s="333"/>
      <c r="I2" s="385"/>
      <c r="L2" s="47"/>
      <c r="M2" s="47"/>
      <c r="N2" s="47"/>
      <c r="O2" s="47" t="s">
        <v>395</v>
      </c>
      <c r="P2" s="47"/>
      <c r="Q2" s="47"/>
      <c r="R2" s="118" t="s">
        <v>394</v>
      </c>
      <c r="S2" s="118" t="s">
        <v>394</v>
      </c>
      <c r="T2" s="47"/>
      <c r="U2" s="47"/>
      <c r="V2" s="42" t="n">
        <v>0</v>
      </c>
    </row>
    <row r="3" s="42" customFormat="true" ht="14.25" hidden="true" customHeight="true" outlineLevel="0" collapsed="false">
      <c r="C3" s="329"/>
      <c r="D3" s="382"/>
      <c r="E3" s="383"/>
      <c r="F3" s="377"/>
      <c r="G3" s="378"/>
      <c r="H3" s="378" t="s">
        <v>396</v>
      </c>
      <c r="I3" s="379"/>
      <c r="L3" s="47"/>
      <c r="M3" s="47"/>
      <c r="N3" s="47"/>
      <c r="O3" s="47"/>
      <c r="P3" s="47"/>
      <c r="Q3" s="47"/>
      <c r="R3" s="118"/>
      <c r="S3" s="118"/>
      <c r="T3" s="47"/>
      <c r="U3" s="47"/>
      <c r="V3" s="42" t="n">
        <v>0</v>
      </c>
    </row>
    <row r="4" customFormat="false" ht="14.25" hidden="true" customHeight="true" outlineLevel="0" collapsed="false">
      <c r="V4" s="42" t="n">
        <v>0</v>
      </c>
    </row>
    <row r="5" s="60" customFormat="true" ht="5.25" hidden="false" customHeight="true" outlineLevel="0" collapsed="false">
      <c r="C5" s="70"/>
      <c r="D5" s="349"/>
      <c r="E5" s="349"/>
      <c r="F5" s="349"/>
      <c r="G5" s="349"/>
      <c r="H5" s="349" t="s">
        <v>369</v>
      </c>
      <c r="I5" s="349"/>
      <c r="J5" s="349"/>
      <c r="L5" s="47"/>
      <c r="M5" s="47"/>
      <c r="N5" s="47"/>
      <c r="O5" s="47"/>
      <c r="P5" s="47"/>
      <c r="Q5" s="47"/>
      <c r="R5" s="47"/>
      <c r="S5" s="47"/>
      <c r="T5" s="47"/>
      <c r="U5" s="47"/>
      <c r="V5" s="60" t="n">
        <v>5</v>
      </c>
    </row>
    <row r="6" customFormat="false" ht="29.25" hidden="false" customHeight="true" outlineLevel="0" collapsed="false">
      <c r="C6" s="329"/>
      <c r="D6" s="386" t="s">
        <v>397</v>
      </c>
      <c r="E6" s="386"/>
      <c r="F6" s="386"/>
      <c r="G6" s="386"/>
      <c r="H6" s="386"/>
      <c r="I6" s="386"/>
      <c r="J6" s="351"/>
      <c r="K6" s="221"/>
      <c r="V6" s="42" t="n">
        <v>28</v>
      </c>
    </row>
    <row r="7" customFormat="false" ht="18" hidden="false" customHeight="true" outlineLevel="0" collapsed="false">
      <c r="C7" s="329"/>
      <c r="D7" s="261" t="str">
        <f aca="false">IF(org=0,"Не определено",org)</f>
        <v>ООО "Газпром теплоэнерго Ярославль"</v>
      </c>
      <c r="E7" s="261"/>
      <c r="F7" s="261"/>
      <c r="G7" s="261"/>
      <c r="H7" s="261"/>
      <c r="I7" s="261"/>
      <c r="J7" s="351"/>
      <c r="K7" s="221"/>
      <c r="V7" s="42" t="n">
        <v>17</v>
      </c>
    </row>
    <row r="8" s="58" customFormat="true" ht="5.25" hidden="false" customHeight="true" outlineLevel="0" collapsed="false">
      <c r="A8" s="60"/>
      <c r="C8" s="352"/>
      <c r="D8" s="353"/>
      <c r="E8" s="353"/>
      <c r="F8" s="353"/>
      <c r="G8" s="353"/>
      <c r="H8" s="353"/>
      <c r="I8" s="353"/>
      <c r="J8" s="353"/>
      <c r="L8" s="47"/>
      <c r="M8" s="47"/>
      <c r="N8" s="47"/>
      <c r="O8" s="47"/>
      <c r="P8" s="47"/>
      <c r="Q8" s="47"/>
      <c r="R8" s="47"/>
      <c r="S8" s="47"/>
      <c r="T8" s="47"/>
      <c r="U8" s="47"/>
      <c r="V8" s="58" t="n">
        <v>5</v>
      </c>
    </row>
    <row r="9" s="58" customFormat="true" ht="5.25" hidden="false" customHeight="true" outlineLevel="0" collapsed="false">
      <c r="A9" s="60"/>
      <c r="C9" s="352"/>
      <c r="D9" s="353"/>
      <c r="E9" s="353"/>
      <c r="F9" s="353"/>
      <c r="G9" s="353"/>
      <c r="H9" s="353"/>
      <c r="I9" s="353"/>
      <c r="J9" s="353"/>
      <c r="L9" s="47"/>
      <c r="M9" s="47"/>
      <c r="N9" s="47"/>
      <c r="O9" s="47"/>
      <c r="P9" s="47"/>
      <c r="Q9" s="47"/>
      <c r="R9" s="47"/>
      <c r="S9" s="47"/>
      <c r="T9" s="47"/>
      <c r="U9" s="47"/>
      <c r="V9" s="58" t="n">
        <v>5</v>
      </c>
    </row>
    <row r="10" customFormat="false" ht="14.25" hidden="false" customHeight="true" outlineLevel="0" collapsed="false">
      <c r="C10" s="329"/>
      <c r="D10" s="357" t="s">
        <v>313</v>
      </c>
      <c r="E10" s="357"/>
      <c r="F10" s="357"/>
      <c r="G10" s="357"/>
      <c r="H10" s="357"/>
      <c r="I10" s="357"/>
      <c r="J10" s="185" t="s">
        <v>314</v>
      </c>
      <c r="V10" s="42" t="n">
        <v>14</v>
      </c>
    </row>
    <row r="11" customFormat="false" ht="27" hidden="false" customHeight="true" outlineLevel="0" collapsed="false">
      <c r="C11" s="329"/>
      <c r="D11" s="134" t="s">
        <v>87</v>
      </c>
      <c r="E11" s="355" t="s">
        <v>116</v>
      </c>
      <c r="F11" s="134" t="s">
        <v>87</v>
      </c>
      <c r="G11" s="134"/>
      <c r="H11" s="134" t="s">
        <v>398</v>
      </c>
      <c r="I11" s="134" t="s">
        <v>399</v>
      </c>
      <c r="J11" s="185"/>
      <c r="V11" s="42" t="n">
        <v>26</v>
      </c>
    </row>
    <row r="12" customFormat="false" ht="14.25" hidden="false" customHeight="true" outlineLevel="0" collapsed="false">
      <c r="C12" s="329"/>
      <c r="D12" s="134"/>
      <c r="E12" s="355"/>
      <c r="F12" s="134"/>
      <c r="G12" s="134"/>
      <c r="H12" s="134"/>
      <c r="I12" s="134"/>
      <c r="J12" s="185"/>
      <c r="V12" s="42" t="n">
        <v>14</v>
      </c>
    </row>
    <row r="13" s="120" customFormat="true" ht="11.25" hidden="true" customHeight="true" outlineLevel="0" collapsed="false">
      <c r="C13" s="364"/>
      <c r="D13" s="365" t="s">
        <v>389</v>
      </c>
      <c r="E13" s="365"/>
      <c r="F13" s="365"/>
      <c r="G13" s="365"/>
      <c r="H13" s="366"/>
      <c r="I13" s="366"/>
      <c r="J13" s="367"/>
      <c r="L13" s="47"/>
      <c r="M13" s="47"/>
      <c r="N13" s="47"/>
      <c r="O13" s="47"/>
      <c r="P13" s="47"/>
      <c r="Q13" s="47"/>
      <c r="R13" s="47"/>
      <c r="S13" s="47"/>
      <c r="T13" s="47"/>
      <c r="U13" s="47"/>
      <c r="V13" s="120" t="n">
        <v>0</v>
      </c>
    </row>
    <row r="14" customFormat="false" ht="14.25" hidden="false" customHeight="true" outlineLevel="0" collapsed="false">
      <c r="A14" s="42"/>
      <c r="C14" s="329"/>
      <c r="D14" s="382" t="s">
        <v>120</v>
      </c>
      <c r="E14" s="383"/>
      <c r="F14" s="384"/>
      <c r="G14" s="198" t="s">
        <v>120</v>
      </c>
      <c r="H14" s="333"/>
      <c r="I14" s="385"/>
      <c r="J14" s="232" t="s">
        <v>400</v>
      </c>
      <c r="K14" s="42"/>
      <c r="R14" s="118" t="s">
        <v>394</v>
      </c>
      <c r="S14" s="118" t="s">
        <v>394</v>
      </c>
      <c r="V14" s="42" t="n">
        <v>14</v>
      </c>
    </row>
    <row r="15" customFormat="false" ht="14.25" hidden="false" customHeight="true" outlineLevel="0" collapsed="false">
      <c r="A15" s="42"/>
      <c r="C15" s="329"/>
      <c r="D15" s="382"/>
      <c r="E15" s="383"/>
      <c r="F15" s="377"/>
      <c r="G15" s="378"/>
      <c r="H15" s="378" t="s">
        <v>396</v>
      </c>
      <c r="I15" s="379"/>
      <c r="J15" s="232"/>
      <c r="K15" s="42"/>
      <c r="R15" s="118"/>
      <c r="S15" s="118"/>
      <c r="V15" s="42" t="n">
        <v>14</v>
      </c>
    </row>
    <row r="16" customFormat="false" ht="14.25" hidden="false" customHeight="true" outlineLevel="0" collapsed="false">
      <c r="A16" s="42"/>
      <c r="C16" s="329"/>
      <c r="D16" s="377"/>
      <c r="E16" s="378" t="s">
        <v>136</v>
      </c>
      <c r="F16" s="379"/>
      <c r="G16" s="379"/>
      <c r="H16" s="380"/>
      <c r="I16" s="380"/>
      <c r="J16" s="232"/>
      <c r="K16" s="42"/>
      <c r="V16" s="42" t="n">
        <v>14</v>
      </c>
    </row>
    <row r="17" customFormat="false" ht="14.25" hidden="false" customHeight="true" outlineLevel="0" collapsed="false">
      <c r="K17" s="42"/>
      <c r="V17" s="42" t="n">
        <v>14</v>
      </c>
    </row>
    <row r="18" customFormat="false" ht="22.5" hidden="true" customHeight="true" outlineLevel="0" collapsed="false">
      <c r="A18" s="45" t="s">
        <v>81</v>
      </c>
      <c r="B18" s="42" t="n">
        <v>0</v>
      </c>
      <c r="C18" s="117" t="n">
        <v>3</v>
      </c>
      <c r="D18" s="42" t="n">
        <v>5</v>
      </c>
      <c r="E18" s="42" t="n">
        <v>38</v>
      </c>
      <c r="F18" s="42" t="n">
        <v>3</v>
      </c>
      <c r="G18" s="42" t="n">
        <v>3</v>
      </c>
      <c r="H18" s="42" t="n">
        <v>38</v>
      </c>
      <c r="I18" s="42" t="n">
        <v>35</v>
      </c>
      <c r="J18" s="42" t="n">
        <v>103</v>
      </c>
      <c r="K18" s="129" t="n">
        <v>3</v>
      </c>
      <c r="L18" s="47" t="n">
        <v>10</v>
      </c>
      <c r="M18" s="47" t="n">
        <v>10</v>
      </c>
      <c r="N18" s="47" t="n">
        <v>10</v>
      </c>
      <c r="O18" s="47" t="n">
        <v>13</v>
      </c>
      <c r="P18" s="47" t="n">
        <v>15</v>
      </c>
      <c r="Q18" s="47" t="n">
        <v>16</v>
      </c>
      <c r="R18" s="47" t="n">
        <v>10</v>
      </c>
      <c r="S18" s="47" t="n">
        <v>10</v>
      </c>
      <c r="T18" s="47" t="n">
        <v>10</v>
      </c>
      <c r="U18" s="47" t="n">
        <v>10</v>
      </c>
      <c r="V18" s="42" t="n">
        <v>23</v>
      </c>
    </row>
  </sheetData>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5">
    <dataValidation allowBlank="true" error="Допускается ввод только неотрицательных чисел!" errorStyle="stop" errorTitle="Ошибка" operator="between" showDropDown="false" showErrorMessage="true" showInputMessage="false" sqref="E13:G13" type="none">
      <formula1>0</formula1>
      <formula2>0</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E2 E14"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I2 I14" type="whole">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H13:I13" type="decimal">
      <formula1>0</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H2 H14"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W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45" width="9.14"/>
    <col collapsed="false" customWidth="true" hidden="true" outlineLevel="0" max="3" min="2" style="42" width="9.14"/>
    <col collapsed="false" customWidth="true" hidden="false" outlineLevel="0" max="4" min="4" style="117" width="3"/>
    <col collapsed="false" customWidth="true" hidden="false" outlineLevel="0" max="5" min="5" style="42" width="6"/>
    <col collapsed="false" customWidth="true" hidden="true" outlineLevel="0" max="6" min="6" style="42" width="1.71"/>
    <col collapsed="false" customWidth="true" hidden="false" outlineLevel="0" max="8" min="7" style="42" width="30"/>
    <col collapsed="false" customWidth="true" hidden="false" outlineLevel="0" max="9" min="9" style="42" width="8"/>
    <col collapsed="false" customWidth="true" hidden="false" outlineLevel="0" max="10" min="10" style="42" width="12.14"/>
    <col collapsed="false" customWidth="true" hidden="false" outlineLevel="0" max="11" min="11" style="42" width="46"/>
    <col collapsed="false" customWidth="true" hidden="false" outlineLevel="0" max="12" min="12" style="42" width="100"/>
    <col collapsed="false" customWidth="true" hidden="false" outlineLevel="0" max="13" min="13" style="129" width="7"/>
    <col collapsed="false" customWidth="true" hidden="false" outlineLevel="0" max="22" min="14" style="42" width="10"/>
    <col collapsed="false" customWidth="false" hidden="true" outlineLevel="0" max="23" min="23" style="42" width="10.57"/>
  </cols>
  <sheetData>
    <row r="1" s="47" customFormat="true" ht="5.25" hidden="true" customHeight="true" outlineLevel="0" collapsed="false">
      <c r="D1" s="121"/>
      <c r="G1" s="47" t="s">
        <v>82</v>
      </c>
      <c r="H1" s="47" t="s">
        <v>83</v>
      </c>
      <c r="I1" s="47" t="s">
        <v>84</v>
      </c>
      <c r="P1" s="47" t="s">
        <v>82</v>
      </c>
      <c r="Q1" s="47" t="s">
        <v>83</v>
      </c>
      <c r="R1" s="47" t="s">
        <v>84</v>
      </c>
      <c r="W1" s="47" t="s">
        <v>14</v>
      </c>
    </row>
    <row r="2" s="47" customFormat="true" ht="5.25" hidden="true" customHeight="true" outlineLevel="0" collapsed="false">
      <c r="D2" s="121"/>
      <c r="W2" s="47" t="n">
        <v>0</v>
      </c>
    </row>
    <row r="3" s="58" customFormat="true" ht="5.25" hidden="false" customHeight="true" outlineLevel="0" collapsed="false">
      <c r="A3" s="60"/>
      <c r="D3" s="352"/>
      <c r="E3" s="57"/>
      <c r="F3" s="57"/>
      <c r="G3" s="57"/>
      <c r="H3" s="57"/>
      <c r="I3" s="387"/>
      <c r="J3" s="388"/>
      <c r="K3" s="388"/>
      <c r="L3" s="388"/>
      <c r="W3" s="58" t="n">
        <v>5</v>
      </c>
    </row>
    <row r="4" customFormat="false" ht="23.25" hidden="false" customHeight="true" outlineLevel="0" collapsed="false">
      <c r="D4" s="329"/>
      <c r="E4" s="256" t="s">
        <v>401</v>
      </c>
      <c r="F4" s="256"/>
      <c r="G4" s="256"/>
      <c r="H4" s="256"/>
      <c r="I4" s="256"/>
      <c r="J4" s="351"/>
      <c r="K4" s="389"/>
      <c r="L4" s="389"/>
      <c r="W4" s="42" t="n">
        <v>22</v>
      </c>
    </row>
    <row r="5" s="42" customFormat="true" ht="18" hidden="false" customHeight="true" outlineLevel="0" collapsed="false">
      <c r="A5" s="45"/>
      <c r="D5" s="329"/>
      <c r="E5" s="261" t="str">
        <f aca="false">IF(org=0,"Не определено",org)</f>
        <v>ООО "Газпром теплоэнерго Ярославль"</v>
      </c>
      <c r="F5" s="261"/>
      <c r="G5" s="261"/>
      <c r="H5" s="261"/>
      <c r="I5" s="261"/>
      <c r="J5" s="351"/>
      <c r="K5" s="389"/>
      <c r="L5" s="389"/>
      <c r="M5" s="129"/>
      <c r="W5" s="42" t="n">
        <v>17</v>
      </c>
    </row>
    <row r="6" s="58" customFormat="true" ht="11.25" hidden="false" customHeight="true" outlineLevel="0" collapsed="false">
      <c r="A6" s="60"/>
      <c r="D6" s="352"/>
      <c r="E6" s="57"/>
      <c r="F6" s="57"/>
      <c r="G6" s="390"/>
      <c r="H6" s="390"/>
      <c r="I6" s="353"/>
      <c r="J6" s="353"/>
      <c r="K6" s="292"/>
      <c r="L6" s="353"/>
      <c r="W6" s="58" t="n">
        <v>11</v>
      </c>
    </row>
    <row r="7" customFormat="false" ht="14.25" hidden="false" customHeight="true" outlineLevel="0" collapsed="false">
      <c r="D7" s="329"/>
      <c r="E7" s="296" t="s">
        <v>313</v>
      </c>
      <c r="F7" s="296"/>
      <c r="G7" s="296"/>
      <c r="H7" s="296"/>
      <c r="I7" s="296"/>
      <c r="J7" s="296"/>
      <c r="K7" s="296"/>
      <c r="L7" s="355" t="s">
        <v>314</v>
      </c>
      <c r="W7" s="42" t="n">
        <v>14</v>
      </c>
    </row>
    <row r="8" customFormat="false" ht="48" hidden="false" customHeight="true" outlineLevel="0" collapsed="false">
      <c r="D8" s="329"/>
      <c r="E8" s="391" t="s">
        <v>87</v>
      </c>
      <c r="F8" s="391"/>
      <c r="G8" s="146" t="s">
        <v>85</v>
      </c>
      <c r="H8" s="146" t="s">
        <v>86</v>
      </c>
      <c r="I8" s="185" t="s">
        <v>84</v>
      </c>
      <c r="J8" s="185" t="s">
        <v>402</v>
      </c>
      <c r="K8" s="185" t="s">
        <v>403</v>
      </c>
      <c r="L8" s="355"/>
      <c r="W8" s="42" t="n">
        <v>46</v>
      </c>
    </row>
    <row r="9" customFormat="false" ht="12" hidden="true" customHeight="true" outlineLevel="0" collapsed="false">
      <c r="D9" s="362"/>
      <c r="E9" s="392"/>
      <c r="F9" s="392"/>
      <c r="G9" s="392"/>
      <c r="H9" s="392"/>
      <c r="I9" s="392"/>
      <c r="J9" s="392"/>
      <c r="K9" s="392"/>
      <c r="L9" s="392"/>
      <c r="M9" s="42"/>
      <c r="W9" s="42" t="n">
        <v>0</v>
      </c>
    </row>
    <row r="10" customFormat="false" ht="14.25" hidden="true" customHeight="true" outlineLevel="0" collapsed="false">
      <c r="A10" s="42"/>
      <c r="D10" s="329"/>
      <c r="E10" s="146" t="n">
        <v>0</v>
      </c>
      <c r="F10" s="146"/>
      <c r="G10" s="393"/>
      <c r="H10" s="393"/>
      <c r="I10" s="393"/>
      <c r="J10" s="393"/>
      <c r="K10" s="393"/>
      <c r="L10" s="376" t="s">
        <v>404</v>
      </c>
      <c r="W10" s="42" t="n">
        <v>0</v>
      </c>
    </row>
    <row r="11" customFormat="false" ht="15" hidden="true" customHeight="true" outlineLevel="0" collapsed="false">
      <c r="A11" s="43"/>
      <c r="B11" s="132"/>
      <c r="C11" s="132"/>
      <c r="D11" s="394"/>
      <c r="E11" s="395"/>
      <c r="F11" s="395"/>
      <c r="G11" s="395"/>
      <c r="H11" s="395"/>
      <c r="I11" s="194"/>
      <c r="J11" s="396"/>
      <c r="K11" s="397"/>
      <c r="L11" s="376"/>
      <c r="M11" s="47"/>
      <c r="N11" s="47"/>
      <c r="O11" s="47"/>
      <c r="P11" s="46"/>
      <c r="Q11" s="46"/>
      <c r="R11" s="398"/>
      <c r="S11" s="47"/>
      <c r="T11" s="47"/>
      <c r="U11" s="47"/>
      <c r="V11" s="47"/>
      <c r="W11" s="42" t="n">
        <v>0</v>
      </c>
    </row>
    <row r="12" s="58" customFormat="true" ht="15" hidden="false" customHeight="true" outlineLevel="0" collapsed="false">
      <c r="A12" s="43"/>
      <c r="B12" s="132"/>
      <c r="C12" s="132"/>
      <c r="D12" s="399"/>
      <c r="E12" s="391" t="n">
        <v>1</v>
      </c>
      <c r="F12" s="400" t="n">
        <v>23</v>
      </c>
      <c r="G12" s="401"/>
      <c r="H12" s="153"/>
      <c r="I12" s="154"/>
      <c r="J12" s="402" t="s">
        <v>61</v>
      </c>
      <c r="K12" s="403"/>
      <c r="L12" s="376"/>
      <c r="M12" s="47"/>
      <c r="N12" s="47"/>
      <c r="O12" s="47"/>
      <c r="P12" s="46" t="s">
        <v>405</v>
      </c>
      <c r="Q12" s="46" t="s">
        <v>406</v>
      </c>
      <c r="R12" s="398" t="s">
        <v>407</v>
      </c>
      <c r="S12" s="47" t="s">
        <v>408</v>
      </c>
      <c r="T12" s="47"/>
      <c r="U12" s="47"/>
      <c r="V12" s="47"/>
      <c r="W12" s="58" t="n">
        <v>14</v>
      </c>
    </row>
    <row r="13" customFormat="false" ht="15.75" hidden="false" customHeight="true" outlineLevel="0" collapsed="false">
      <c r="A13" s="43"/>
      <c r="D13" s="329"/>
      <c r="E13" s="377"/>
      <c r="F13" s="404"/>
      <c r="G13" s="168" t="s">
        <v>101</v>
      </c>
      <c r="H13" s="405"/>
      <c r="I13" s="405"/>
      <c r="J13" s="405"/>
      <c r="K13" s="406"/>
      <c r="L13" s="376"/>
      <c r="M13" s="42"/>
      <c r="W13" s="42" t="n">
        <v>15</v>
      </c>
    </row>
    <row r="14" customFormat="false" ht="11.25" hidden="false" customHeight="true" outlineLevel="0" collapsed="false">
      <c r="A14" s="60"/>
      <c r="B14" s="58"/>
      <c r="C14" s="58"/>
      <c r="D14" s="407"/>
      <c r="E14" s="58"/>
      <c r="F14" s="58"/>
      <c r="G14" s="58"/>
      <c r="H14" s="58"/>
      <c r="I14" s="58"/>
      <c r="J14" s="58"/>
      <c r="K14" s="58"/>
      <c r="L14" s="58"/>
      <c r="M14" s="58"/>
      <c r="N14" s="58"/>
      <c r="O14" s="58"/>
      <c r="P14" s="58"/>
      <c r="Q14" s="58"/>
      <c r="R14" s="58"/>
      <c r="S14" s="58"/>
      <c r="T14" s="58"/>
      <c r="U14" s="58"/>
      <c r="V14" s="58"/>
      <c r="W14" s="42" t="n">
        <v>11</v>
      </c>
    </row>
    <row r="15" customFormat="false" ht="14.25" hidden="false" customHeight="true" outlineLevel="0" collapsed="false">
      <c r="D15" s="408"/>
      <c r="E15" s="409"/>
      <c r="F15" s="409"/>
      <c r="G15" s="410" t="str">
        <f aca="false">"&lt;1&gt;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8"/>
      <c r="I15" s="408"/>
      <c r="J15" s="408"/>
      <c r="K15" s="408"/>
      <c r="L15" s="408"/>
      <c r="W15" s="42" t="n">
        <v>14</v>
      </c>
    </row>
    <row r="16" customFormat="false" ht="14.25" hidden="false" customHeight="true" outlineLevel="0" collapsed="false">
      <c r="W16" s="42" t="n">
        <v>14</v>
      </c>
    </row>
    <row r="17" customFormat="false" ht="14.25" hidden="false" customHeight="true" outlineLevel="0" collapsed="false">
      <c r="W17" s="42" t="n">
        <v>14</v>
      </c>
    </row>
    <row r="18" customFormat="false" ht="14.25" hidden="false" customHeight="true" outlineLevel="0" collapsed="false">
      <c r="W18" s="42" t="n">
        <v>14</v>
      </c>
    </row>
    <row r="19" customFormat="false" ht="22.5" hidden="true" customHeight="true" outlineLevel="0" collapsed="false">
      <c r="A19" s="45" t="s">
        <v>81</v>
      </c>
      <c r="B19" s="42" t="n">
        <v>0</v>
      </c>
      <c r="C19" s="42" t="n">
        <v>0</v>
      </c>
      <c r="D19" s="117" t="n">
        <v>3</v>
      </c>
      <c r="E19" s="42" t="n">
        <v>6</v>
      </c>
      <c r="F19" s="42" t="n">
        <v>0</v>
      </c>
      <c r="G19" s="42" t="n">
        <v>30</v>
      </c>
      <c r="H19" s="42" t="n">
        <v>30</v>
      </c>
      <c r="I19" s="42" t="n">
        <v>8</v>
      </c>
      <c r="J19" s="42" t="n">
        <v>12</v>
      </c>
      <c r="K19" s="42" t="n">
        <v>46</v>
      </c>
      <c r="L19" s="42" t="n">
        <v>100</v>
      </c>
      <c r="M19" s="129" t="n">
        <v>7</v>
      </c>
      <c r="N19" s="42" t="n">
        <v>10</v>
      </c>
      <c r="O19" s="42" t="n">
        <v>10</v>
      </c>
      <c r="P19" s="42" t="n">
        <v>10</v>
      </c>
      <c r="Q19" s="42" t="n">
        <v>10</v>
      </c>
      <c r="R19" s="42" t="n">
        <v>10</v>
      </c>
      <c r="S19" s="42" t="n">
        <v>10</v>
      </c>
      <c r="T19" s="42" t="n">
        <v>10</v>
      </c>
      <c r="U19" s="42" t="n">
        <v>10</v>
      </c>
      <c r="V19" s="42" t="n">
        <v>10</v>
      </c>
      <c r="W19" s="42" t="n">
        <v>23</v>
      </c>
    </row>
  </sheetData>
  <mergeCells count="6">
    <mergeCell ref="E4:I4"/>
    <mergeCell ref="E5:I5"/>
    <mergeCell ref="E7:K7"/>
    <mergeCell ref="L7:L8"/>
    <mergeCell ref="L10:L13"/>
    <mergeCell ref="A11:A13"/>
  </mergeCells>
  <dataValidations count="3">
    <dataValidation allowBlank="true" error="Допускается ввод только неотрицательных чисел!" errorStyle="stop" errorTitle="Ошибка" operator="between" showDropDown="false" showErrorMessage="true" showInputMessage="false" sqref="G10:K10" type="decimal">
      <formula1>0</formula1>
      <formula2>9.99999999999999E+023</formula2>
    </dataValidation>
    <dataValidation allowBlank="true" errorStyle="stop" operator="between" prompt="Изменение значения по двойному щелчоку левой кнопки мыши" showDropDown="false" showErrorMessage="true" showInputMessage="true" sqref="J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K12"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
    <col collapsed="false" customWidth="true" hidden="false" outlineLevel="0" max="18" min="17" style="411" width="3"/>
    <col collapsed="false" customWidth="true" hidden="false" outlineLevel="0" max="19" min="19" style="75" width="12"/>
    <col collapsed="false" customWidth="true" hidden="false" outlineLevel="0" max="20" min="20" style="42" width="35"/>
    <col collapsed="false" customWidth="true" hidden="false" outlineLevel="0" max="21" min="21" style="42" width="0.14"/>
    <col collapsed="false" customWidth="true" hidden="true" outlineLevel="0" max="22" min="22" style="42" width="24.71"/>
    <col collapsed="false" customWidth="true" hidden="true" outlineLevel="0" max="23" min="23" style="42" width="0.14"/>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4"/>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7"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12"/>
      <c r="B2" s="412"/>
      <c r="C2" s="412"/>
      <c r="D2" s="412"/>
      <c r="E2" s="413" t="n">
        <v>1</v>
      </c>
      <c r="F2" s="412"/>
      <c r="G2" s="412"/>
      <c r="H2" s="412"/>
      <c r="I2" s="412"/>
      <c r="J2" s="412"/>
      <c r="K2" s="412"/>
      <c r="L2" s="414"/>
      <c r="M2" s="40"/>
      <c r="N2" s="40"/>
      <c r="O2" s="40"/>
      <c r="Q2" s="132"/>
      <c r="R2" s="415"/>
      <c r="S2" s="416" t="e">
        <f aca="false">INDEX(PT_DIFFERENTIATION_NUM_NTAR,MATCH(A2,PT_DIFFERENTIATION_NTAR_ID,0))</f>
        <v>#N/A</v>
      </c>
      <c r="T2" s="417" t="s">
        <v>138</v>
      </c>
      <c r="U2" s="418"/>
      <c r="V2" s="419"/>
      <c r="W2" s="419"/>
      <c r="X2" s="419"/>
      <c r="Y2" s="419"/>
      <c r="Z2" s="419"/>
      <c r="AA2" s="419"/>
      <c r="AB2" s="419"/>
      <c r="AC2" s="419"/>
      <c r="AD2" s="420" t="e">
        <f aca="false">INDEX(PT_DIFFERENTIATION_NTAR,MATCH(A2,PT_DIFFERENTIATION_NTAR_ID,0))</f>
        <v>#N/A</v>
      </c>
      <c r="AE2" s="420"/>
      <c r="AF2" s="420"/>
      <c r="AG2" s="420"/>
      <c r="AH2" s="420"/>
      <c r="AI2" s="420"/>
      <c r="AJ2" s="420"/>
      <c r="AK2" s="420"/>
      <c r="AL2" s="420"/>
      <c r="AM2" s="421" t="s">
        <v>409</v>
      </c>
      <c r="AO2" s="118"/>
      <c r="AP2" s="118" t="str">
        <f aca="false">IF(T2="","",T2)</f>
        <v>Наименование тарифа</v>
      </c>
      <c r="AQ2" s="118"/>
      <c r="AR2" s="118"/>
      <c r="AS2" s="42" t="n">
        <v>0</v>
      </c>
    </row>
    <row r="3" customFormat="false" ht="21" hidden="true" customHeight="true" outlineLevel="0" collapsed="false">
      <c r="A3" s="412"/>
      <c r="B3" s="412"/>
      <c r="C3" s="412"/>
      <c r="D3" s="412"/>
      <c r="E3" s="413"/>
      <c r="F3" s="413" t="n">
        <v>1</v>
      </c>
      <c r="G3" s="412"/>
      <c r="H3" s="412"/>
      <c r="I3" s="412"/>
      <c r="J3" s="412"/>
      <c r="K3" s="412"/>
      <c r="L3" s="414"/>
      <c r="M3" s="40"/>
      <c r="N3" s="40"/>
      <c r="O3" s="40"/>
      <c r="P3" s="43"/>
      <c r="Q3" s="422"/>
      <c r="R3" s="423"/>
      <c r="S3" s="416" t="e">
        <f aca="false">INDEX(PT_DIFFERENTIATION_NUM_TER,MATCH(B3,PT_DIFFERENTIATION_TER_ID,0))</f>
        <v>#N/A</v>
      </c>
      <c r="T3" s="424" t="s">
        <v>410</v>
      </c>
      <c r="U3" s="418"/>
      <c r="V3" s="419"/>
      <c r="W3" s="419"/>
      <c r="X3" s="419"/>
      <c r="Y3" s="419"/>
      <c r="Z3" s="419"/>
      <c r="AA3" s="419"/>
      <c r="AB3" s="419"/>
      <c r="AC3" s="419"/>
      <c r="AD3" s="420" t="e">
        <f aca="false">INDEX(PT_DIFFERENTIATION_TER,MATCH(B3,PT_DIFFERENTIATION_TER_ID,0))</f>
        <v>#N/A</v>
      </c>
      <c r="AE3" s="420"/>
      <c r="AF3" s="420"/>
      <c r="AG3" s="420"/>
      <c r="AH3" s="420"/>
      <c r="AI3" s="420"/>
      <c r="AJ3" s="420"/>
      <c r="AK3" s="420"/>
      <c r="AL3" s="420"/>
      <c r="AM3" s="421" t="s">
        <v>411</v>
      </c>
      <c r="AO3" s="118"/>
      <c r="AP3" s="118" t="str">
        <f aca="false">IF(T3="","",T3)</f>
        <v>Территория действия тарифа</v>
      </c>
      <c r="AQ3" s="118"/>
      <c r="AR3" s="118"/>
      <c r="AS3" s="42" t="n">
        <v>0</v>
      </c>
    </row>
    <row r="4" customFormat="false" ht="23.25" hidden="true" customHeight="true" outlineLevel="0" collapsed="false">
      <c r="A4" s="412"/>
      <c r="B4" s="412"/>
      <c r="C4" s="412"/>
      <c r="D4" s="412"/>
      <c r="E4" s="413"/>
      <c r="F4" s="413"/>
      <c r="G4" s="413" t="n">
        <v>1</v>
      </c>
      <c r="H4" s="412"/>
      <c r="I4" s="412"/>
      <c r="J4" s="412"/>
      <c r="K4" s="412"/>
      <c r="L4" s="414"/>
      <c r="M4" s="40"/>
      <c r="N4" s="40"/>
      <c r="O4" s="40"/>
      <c r="P4" s="425"/>
      <c r="Q4" s="422"/>
      <c r="R4" s="423"/>
      <c r="S4" s="416" t="e">
        <f aca="false">INDEX(PT_DIFFERENTIATION_NUM_CS,MATCH(C4,PT_DIFFERENTIATION_CS_ID,0))</f>
        <v>#N/A</v>
      </c>
      <c r="T4" s="426" t="s">
        <v>412</v>
      </c>
      <c r="U4" s="418"/>
      <c r="V4" s="419"/>
      <c r="W4" s="419"/>
      <c r="X4" s="419"/>
      <c r="Y4" s="419"/>
      <c r="Z4" s="419"/>
      <c r="AA4" s="419"/>
      <c r="AB4" s="419"/>
      <c r="AC4" s="419"/>
      <c r="AD4" s="420" t="e">
        <f aca="false">INDEX(PT_DIFFERENTIATION_CS,MATCH(C4,PT_DIFFERENTIATION_CS_ID,0))</f>
        <v>#N/A</v>
      </c>
      <c r="AE4" s="420"/>
      <c r="AF4" s="420"/>
      <c r="AG4" s="420"/>
      <c r="AH4" s="420"/>
      <c r="AI4" s="420"/>
      <c r="AJ4" s="420"/>
      <c r="AK4" s="420"/>
      <c r="AL4" s="420"/>
      <c r="AM4" s="421" t="s">
        <v>413</v>
      </c>
      <c r="AO4" s="118"/>
      <c r="AP4" s="118" t="str">
        <f aca="false">IF(T4="","",T4)</f>
        <v>Наименование системы теплоснабжения</v>
      </c>
      <c r="AQ4" s="118"/>
      <c r="AR4" s="118"/>
      <c r="AS4" s="42" t="n">
        <v>0</v>
      </c>
    </row>
    <row r="5" customFormat="false" ht="21" hidden="true" customHeight="true" outlineLevel="0" collapsed="false">
      <c r="A5" s="412"/>
      <c r="B5" s="412"/>
      <c r="C5" s="412"/>
      <c r="D5" s="412"/>
      <c r="E5" s="413"/>
      <c r="F5" s="413"/>
      <c r="G5" s="413"/>
      <c r="H5" s="413" t="n">
        <v>1</v>
      </c>
      <c r="I5" s="412"/>
      <c r="J5" s="412"/>
      <c r="K5" s="412"/>
      <c r="L5" s="414"/>
      <c r="M5" s="40"/>
      <c r="N5" s="40"/>
      <c r="O5" s="40"/>
      <c r="P5" s="425"/>
      <c r="Q5" s="422"/>
      <c r="R5" s="423"/>
      <c r="S5" s="416" t="e">
        <f aca="false">INDEX(PT_DIFFERENTIATION_NUM_IST_TE,MATCH(D5,PT_DIFFERENTIATION_IST_TE_ID,0))</f>
        <v>#N/A</v>
      </c>
      <c r="T5" s="427" t="s">
        <v>414</v>
      </c>
      <c r="U5" s="418"/>
      <c r="V5" s="419"/>
      <c r="W5" s="419"/>
      <c r="X5" s="419"/>
      <c r="Y5" s="419"/>
      <c r="Z5" s="419"/>
      <c r="AA5" s="419"/>
      <c r="AB5" s="419"/>
      <c r="AC5" s="419"/>
      <c r="AD5" s="420" t="e">
        <f aca="false">INDEX(PT_DIFFERENTIATION_IST_TE,MATCH(D5,PT_DIFFERENTIATION_IST_TE_ID,0))</f>
        <v>#N/A</v>
      </c>
      <c r="AE5" s="420"/>
      <c r="AF5" s="420"/>
      <c r="AG5" s="420"/>
      <c r="AH5" s="420"/>
      <c r="AI5" s="420"/>
      <c r="AJ5" s="420"/>
      <c r="AK5" s="420"/>
      <c r="AL5" s="420"/>
      <c r="AM5" s="421" t="s">
        <v>415</v>
      </c>
      <c r="AO5" s="118"/>
      <c r="AP5" s="118" t="str">
        <f aca="false">IF(T5="","",T5)</f>
        <v>Источник тепловой энергии</v>
      </c>
      <c r="AQ5" s="118"/>
      <c r="AR5" s="118"/>
      <c r="AS5" s="42" t="n">
        <v>0</v>
      </c>
    </row>
    <row r="6" customFormat="false" ht="47.25" hidden="true" customHeight="true" outlineLevel="0" collapsed="false">
      <c r="A6" s="412"/>
      <c r="B6" s="412"/>
      <c r="C6" s="412"/>
      <c r="D6" s="412"/>
      <c r="E6" s="413"/>
      <c r="F6" s="413"/>
      <c r="G6" s="413"/>
      <c r="H6" s="413"/>
      <c r="I6" s="428" t="e">
        <f aca="false">S5&amp;".1"</f>
        <v>#N/A</v>
      </c>
      <c r="J6" s="412"/>
      <c r="K6" s="412"/>
      <c r="L6" s="414" t="s">
        <v>416</v>
      </c>
      <c r="M6" s="45"/>
      <c r="P6" s="121" t="n">
        <v>1</v>
      </c>
      <c r="Q6" s="121"/>
      <c r="R6" s="429"/>
      <c r="S6" s="416" t="e">
        <f aca="false">$I6</f>
        <v>#N/A</v>
      </c>
      <c r="T6" s="430" t="s">
        <v>417</v>
      </c>
      <c r="U6" s="418"/>
      <c r="V6" s="431"/>
      <c r="W6" s="431"/>
      <c r="X6" s="431"/>
      <c r="Y6" s="431"/>
      <c r="Z6" s="431"/>
      <c r="AA6" s="431"/>
      <c r="AB6" s="431"/>
      <c r="AC6" s="431"/>
      <c r="AD6" s="431"/>
      <c r="AE6" s="431"/>
      <c r="AF6" s="431"/>
      <c r="AG6" s="431"/>
      <c r="AH6" s="431"/>
      <c r="AI6" s="431"/>
      <c r="AJ6" s="431"/>
      <c r="AK6" s="431"/>
      <c r="AL6" s="431"/>
      <c r="AM6" s="421" t="s">
        <v>418</v>
      </c>
      <c r="AO6" s="118"/>
      <c r="AP6" s="118" t="str">
        <f aca="false">IF(T6="","",T6)</f>
        <v>Схема подключения теплопотребляющей установки к коллектору источника тепловой энергии</v>
      </c>
      <c r="AQ6" s="118"/>
      <c r="AR6" s="118"/>
      <c r="AS6" s="42" t="n">
        <v>0</v>
      </c>
    </row>
    <row r="7" customFormat="false" ht="21" hidden="true" customHeight="true" outlineLevel="0" collapsed="false">
      <c r="A7" s="412"/>
      <c r="B7" s="412"/>
      <c r="C7" s="412"/>
      <c r="D7" s="412"/>
      <c r="E7" s="413"/>
      <c r="F7" s="413"/>
      <c r="G7" s="413"/>
      <c r="H7" s="413"/>
      <c r="I7" s="428"/>
      <c r="J7" s="428" t="e">
        <f aca="false">I6&amp;".1"</f>
        <v>#N/A</v>
      </c>
      <c r="K7" s="412"/>
      <c r="L7" s="414" t="s">
        <v>419</v>
      </c>
      <c r="M7" s="45"/>
      <c r="N7" s="45"/>
      <c r="P7" s="121"/>
      <c r="Q7" s="121" t="n">
        <v>1</v>
      </c>
      <c r="R7" s="432"/>
      <c r="S7" s="416" t="e">
        <f aca="false">$J7</f>
        <v>#N/A</v>
      </c>
      <c r="T7" s="433" t="s">
        <v>420</v>
      </c>
      <c r="U7" s="418"/>
      <c r="V7" s="431"/>
      <c r="W7" s="431"/>
      <c r="X7" s="431"/>
      <c r="Y7" s="431"/>
      <c r="Z7" s="431"/>
      <c r="AA7" s="431"/>
      <c r="AB7" s="431"/>
      <c r="AC7" s="431"/>
      <c r="AD7" s="431"/>
      <c r="AE7" s="431"/>
      <c r="AF7" s="431"/>
      <c r="AG7" s="431"/>
      <c r="AH7" s="431"/>
      <c r="AI7" s="431"/>
      <c r="AJ7" s="431"/>
      <c r="AK7" s="431"/>
      <c r="AL7" s="431"/>
      <c r="AM7" s="421" t="s">
        <v>421</v>
      </c>
      <c r="AO7" s="118"/>
      <c r="AP7" s="118" t="str">
        <f aca="false">IF(T7="","",T7)</f>
        <v>Группа потребителей</v>
      </c>
      <c r="AQ7" s="118"/>
      <c r="AR7" s="118"/>
      <c r="AS7" s="42" t="n">
        <v>0</v>
      </c>
    </row>
    <row r="8" customFormat="false" ht="21" hidden="true" customHeight="true" outlineLevel="0" collapsed="false">
      <c r="A8" s="412"/>
      <c r="B8" s="412"/>
      <c r="C8" s="412"/>
      <c r="D8" s="412"/>
      <c r="E8" s="413"/>
      <c r="F8" s="413"/>
      <c r="G8" s="413"/>
      <c r="H8" s="413"/>
      <c r="I8" s="428"/>
      <c r="J8" s="428"/>
      <c r="K8" s="428" t="e">
        <f aca="false">J7&amp;".1"</f>
        <v>#N/A</v>
      </c>
      <c r="L8" s="414" t="s">
        <v>422</v>
      </c>
      <c r="M8" s="45"/>
      <c r="N8" s="45"/>
      <c r="O8" s="45"/>
      <c r="P8" s="121"/>
      <c r="Q8" s="121"/>
      <c r="R8" s="432" t="n">
        <v>1</v>
      </c>
      <c r="S8" s="416" t="e">
        <f aca="false">$K8</f>
        <v>#N/A</v>
      </c>
      <c r="T8" s="434"/>
      <c r="U8" s="418"/>
      <c r="V8" s="435"/>
      <c r="W8" s="436"/>
      <c r="X8" s="435"/>
      <c r="Y8" s="437"/>
      <c r="Z8" s="438"/>
      <c r="AA8" s="204" t="s">
        <v>61</v>
      </c>
      <c r="AB8" s="438"/>
      <c r="AC8" s="204" t="s">
        <v>61</v>
      </c>
      <c r="AD8" s="435"/>
      <c r="AE8" s="436"/>
      <c r="AF8" s="435"/>
      <c r="AG8" s="437"/>
      <c r="AH8" s="438"/>
      <c r="AI8" s="204" t="s">
        <v>61</v>
      </c>
      <c r="AJ8" s="438"/>
      <c r="AK8" s="204" t="s">
        <v>61</v>
      </c>
      <c r="AL8" s="436"/>
      <c r="AM8" s="439" t="s">
        <v>423</v>
      </c>
      <c r="AN8" s="47" t="e">
        <f aca="false">strcheckdate(V9:AL9)</f>
        <v>#NAME?</v>
      </c>
      <c r="AO8" s="118"/>
      <c r="AP8" s="118" t="str">
        <f aca="false">IF(T8="","",T8)</f>
        <v/>
      </c>
      <c r="AQ8" s="118"/>
      <c r="AR8" s="118"/>
      <c r="AS8" s="42" t="n">
        <v>0</v>
      </c>
    </row>
    <row r="9" customFormat="false" ht="0.75" hidden="true" customHeight="true" outlineLevel="0" collapsed="false">
      <c r="A9" s="412"/>
      <c r="B9" s="412"/>
      <c r="C9" s="412"/>
      <c r="D9" s="412"/>
      <c r="E9" s="413"/>
      <c r="F9" s="413"/>
      <c r="G9" s="413"/>
      <c r="H9" s="413"/>
      <c r="I9" s="428"/>
      <c r="J9" s="428"/>
      <c r="K9" s="428"/>
      <c r="L9" s="414"/>
      <c r="M9" s="45"/>
      <c r="N9" s="45"/>
      <c r="O9" s="45"/>
      <c r="P9" s="121"/>
      <c r="Q9" s="121"/>
      <c r="R9" s="432"/>
      <c r="S9" s="393"/>
      <c r="T9" s="418"/>
      <c r="U9" s="418"/>
      <c r="V9" s="436"/>
      <c r="W9" s="436"/>
      <c r="X9" s="436"/>
      <c r="Y9" s="440" t="str">
        <f aca="false">Z8&amp;"-"&amp;AB8</f>
        <v>-</v>
      </c>
      <c r="Z9" s="438"/>
      <c r="AA9" s="204"/>
      <c r="AB9" s="438"/>
      <c r="AC9" s="204"/>
      <c r="AD9" s="436"/>
      <c r="AE9" s="436"/>
      <c r="AF9" s="436"/>
      <c r="AG9" s="440" t="str">
        <f aca="false">AH8&amp;"-"&amp;AJ8</f>
        <v>-</v>
      </c>
      <c r="AH9" s="438"/>
      <c r="AI9" s="204"/>
      <c r="AJ9" s="438"/>
      <c r="AK9" s="204"/>
      <c r="AL9" s="436"/>
      <c r="AM9" s="439"/>
      <c r="AO9" s="118"/>
      <c r="AP9" s="118" t="str">
        <f aca="false">IF(T9="","",T9)</f>
        <v/>
      </c>
      <c r="AQ9" s="118"/>
      <c r="AR9" s="118"/>
      <c r="AS9" s="42" t="n">
        <v>0</v>
      </c>
    </row>
    <row r="10" customFormat="false" ht="15" hidden="true" customHeight="true" outlineLevel="0" collapsed="false">
      <c r="A10" s="412"/>
      <c r="B10" s="412"/>
      <c r="C10" s="412"/>
      <c r="D10" s="412"/>
      <c r="E10" s="413"/>
      <c r="F10" s="413"/>
      <c r="G10" s="413"/>
      <c r="H10" s="413"/>
      <c r="I10" s="428"/>
      <c r="J10" s="428"/>
      <c r="K10" s="412"/>
      <c r="L10" s="414"/>
      <c r="M10" s="45"/>
      <c r="N10" s="45"/>
      <c r="P10" s="121"/>
      <c r="Q10" s="121"/>
      <c r="R10" s="429"/>
      <c r="S10" s="441"/>
      <c r="T10" s="442" t="s">
        <v>424</v>
      </c>
      <c r="U10" s="194"/>
      <c r="V10" s="194"/>
      <c r="W10" s="194"/>
      <c r="X10" s="194"/>
      <c r="Y10" s="194"/>
      <c r="Z10" s="194"/>
      <c r="AA10" s="194"/>
      <c r="AB10" s="194"/>
      <c r="AC10" s="194"/>
      <c r="AD10" s="194"/>
      <c r="AE10" s="194"/>
      <c r="AF10" s="194"/>
      <c r="AG10" s="194"/>
      <c r="AH10" s="194"/>
      <c r="AI10" s="194"/>
      <c r="AJ10" s="194"/>
      <c r="AK10" s="194"/>
      <c r="AL10" s="443"/>
      <c r="AM10" s="439"/>
      <c r="AO10" s="118"/>
      <c r="AP10" s="118" t="str">
        <f aca="false">IF(T10="","",T10)</f>
        <v>Добавить вид теплоносителя (параметры теплоносителя)</v>
      </c>
      <c r="AQ10" s="118"/>
      <c r="AR10" s="118"/>
      <c r="AS10" s="42" t="n">
        <v>0</v>
      </c>
    </row>
    <row r="11" customFormat="false" ht="15" hidden="true" customHeight="true" outlineLevel="0" collapsed="false">
      <c r="A11" s="412"/>
      <c r="B11" s="412"/>
      <c r="C11" s="412"/>
      <c r="D11" s="412"/>
      <c r="E11" s="413"/>
      <c r="F11" s="413"/>
      <c r="G11" s="413"/>
      <c r="H11" s="413"/>
      <c r="I11" s="428"/>
      <c r="J11" s="412"/>
      <c r="K11" s="412"/>
      <c r="L11" s="414"/>
      <c r="M11" s="45"/>
      <c r="P11" s="121"/>
      <c r="Q11" s="121"/>
      <c r="R11" s="429"/>
      <c r="S11" s="441"/>
      <c r="T11" s="444" t="s">
        <v>425</v>
      </c>
      <c r="U11" s="194"/>
      <c r="V11" s="194"/>
      <c r="W11" s="194"/>
      <c r="X11" s="194"/>
      <c r="Y11" s="194"/>
      <c r="Z11" s="194"/>
      <c r="AA11" s="194"/>
      <c r="AB11" s="194"/>
      <c r="AC11" s="445"/>
      <c r="AD11" s="194"/>
      <c r="AE11" s="194"/>
      <c r="AF11" s="194"/>
      <c r="AG11" s="194"/>
      <c r="AH11" s="194"/>
      <c r="AI11" s="194"/>
      <c r="AJ11" s="194"/>
      <c r="AK11" s="445"/>
      <c r="AL11" s="194"/>
      <c r="AM11" s="446"/>
      <c r="AO11" s="118"/>
      <c r="AP11" s="118" t="str">
        <f aca="false">IF(T11="","",T11)</f>
        <v>Добавить группу потребителей</v>
      </c>
      <c r="AQ11" s="118"/>
      <c r="AR11" s="118"/>
      <c r="AS11" s="42" t="n">
        <v>0</v>
      </c>
    </row>
    <row r="12" customFormat="false" ht="14.25" hidden="true" customHeight="true" outlineLevel="0" collapsed="false">
      <c r="A12" s="412"/>
      <c r="B12" s="412"/>
      <c r="C12" s="412"/>
      <c r="D12" s="412"/>
      <c r="E12" s="413"/>
      <c r="F12" s="413"/>
      <c r="G12" s="413"/>
      <c r="H12" s="413"/>
      <c r="I12" s="412"/>
      <c r="J12" s="412"/>
      <c r="K12" s="412"/>
      <c r="L12" s="414"/>
      <c r="M12" s="40"/>
      <c r="N12" s="40"/>
      <c r="O12" s="45"/>
      <c r="P12" s="132"/>
      <c r="Q12" s="447"/>
      <c r="R12" s="415"/>
      <c r="S12" s="441"/>
      <c r="T12" s="448" t="s">
        <v>426</v>
      </c>
      <c r="U12" s="194"/>
      <c r="V12" s="194"/>
      <c r="W12" s="194"/>
      <c r="X12" s="194"/>
      <c r="Y12" s="194"/>
      <c r="Z12" s="194"/>
      <c r="AA12" s="194"/>
      <c r="AB12" s="194"/>
      <c r="AC12" s="445"/>
      <c r="AD12" s="194"/>
      <c r="AE12" s="194"/>
      <c r="AF12" s="194"/>
      <c r="AG12" s="194"/>
      <c r="AH12" s="194"/>
      <c r="AI12" s="194"/>
      <c r="AJ12" s="194"/>
      <c r="AK12" s="445"/>
      <c r="AL12" s="194"/>
      <c r="AM12" s="446"/>
      <c r="AO12" s="118"/>
      <c r="AP12" s="118" t="str">
        <f aca="false">IF(T12="","",T12)</f>
        <v>Добавить схему подключения</v>
      </c>
      <c r="AQ12" s="118"/>
      <c r="AR12" s="118"/>
      <c r="AS12" s="42" t="n">
        <v>0</v>
      </c>
    </row>
    <row r="13" s="47" customFormat="true" ht="0.75" hidden="true" customHeight="true" outlineLevel="0" collapsed="false">
      <c r="A13" s="122"/>
      <c r="B13" s="122"/>
      <c r="C13" s="122"/>
      <c r="D13" s="122"/>
      <c r="E13" s="413"/>
      <c r="F13" s="413"/>
      <c r="G13" s="413"/>
      <c r="H13" s="122"/>
      <c r="I13" s="122"/>
      <c r="J13" s="122"/>
      <c r="K13" s="122"/>
      <c r="L13" s="192"/>
      <c r="M13" s="46"/>
      <c r="N13" s="46"/>
      <c r="P13" s="156"/>
      <c r="Q13" s="449"/>
      <c r="R13" s="156"/>
      <c r="S13" s="450"/>
      <c r="T13" s="451" t="s">
        <v>427</v>
      </c>
      <c r="U13" s="452"/>
      <c r="V13" s="452"/>
      <c r="W13" s="452"/>
      <c r="X13" s="452"/>
      <c r="Y13" s="452"/>
      <c r="Z13" s="452"/>
      <c r="AA13" s="452"/>
      <c r="AB13" s="452"/>
      <c r="AC13" s="452"/>
      <c r="AD13" s="452"/>
      <c r="AE13" s="452"/>
      <c r="AF13" s="452"/>
      <c r="AG13" s="452"/>
      <c r="AH13" s="452"/>
      <c r="AI13" s="452"/>
      <c r="AJ13" s="452"/>
      <c r="AK13" s="452"/>
      <c r="AL13" s="452"/>
      <c r="AM13" s="452"/>
      <c r="AO13" s="118"/>
      <c r="AP13" s="118" t="str">
        <f aca="false">IF(T13="","",T13)</f>
        <v>Добавить источник для дифференциации</v>
      </c>
      <c r="AQ13" s="118"/>
      <c r="AR13" s="118"/>
      <c r="AS13" s="47" t="n">
        <v>0</v>
      </c>
    </row>
    <row r="14" s="47" customFormat="true" ht="0.75" hidden="true" customHeight="true" outlineLevel="0" collapsed="false">
      <c r="A14" s="122"/>
      <c r="B14" s="122"/>
      <c r="C14" s="122"/>
      <c r="D14" s="122"/>
      <c r="E14" s="413"/>
      <c r="F14" s="413"/>
      <c r="G14" s="122"/>
      <c r="H14" s="122"/>
      <c r="I14" s="122"/>
      <c r="J14" s="122"/>
      <c r="K14" s="122"/>
      <c r="L14" s="192"/>
      <c r="M14" s="453"/>
      <c r="N14" s="453"/>
      <c r="P14" s="156"/>
      <c r="Q14" s="449"/>
      <c r="R14" s="156"/>
      <c r="S14" s="454"/>
      <c r="T14" s="455" t="s">
        <v>428</v>
      </c>
      <c r="U14" s="456"/>
      <c r="V14" s="456"/>
      <c r="W14" s="456"/>
      <c r="X14" s="456"/>
      <c r="Y14" s="456"/>
      <c r="Z14" s="456"/>
      <c r="AA14" s="456"/>
      <c r="AB14" s="456"/>
      <c r="AC14" s="456"/>
      <c r="AD14" s="456"/>
      <c r="AE14" s="456"/>
      <c r="AF14" s="456"/>
      <c r="AG14" s="456"/>
      <c r="AH14" s="456"/>
      <c r="AI14" s="456"/>
      <c r="AJ14" s="456"/>
      <c r="AK14" s="456"/>
      <c r="AL14" s="456"/>
      <c r="AM14" s="456"/>
      <c r="AO14" s="118"/>
      <c r="AP14" s="118" t="str">
        <f aca="false">IF(T14="","",T14)</f>
        <v>Добавить централизованную систему для дифференциации</v>
      </c>
      <c r="AQ14" s="118"/>
      <c r="AR14" s="118"/>
      <c r="AS14" s="47" t="n">
        <v>0</v>
      </c>
    </row>
    <row r="15" s="47" customFormat="true" ht="0.75" hidden="true" customHeight="true" outlineLevel="0" collapsed="false">
      <c r="A15" s="122"/>
      <c r="B15" s="122"/>
      <c r="C15" s="122"/>
      <c r="D15" s="122"/>
      <c r="E15" s="413"/>
      <c r="F15" s="122"/>
      <c r="G15" s="122"/>
      <c r="H15" s="122"/>
      <c r="I15" s="122"/>
      <c r="J15" s="122"/>
      <c r="K15" s="122"/>
      <c r="L15" s="192"/>
      <c r="M15" s="453"/>
      <c r="N15" s="453"/>
      <c r="P15" s="156"/>
      <c r="Q15" s="449"/>
      <c r="R15" s="156"/>
      <c r="S15" s="454"/>
      <c r="T15" s="457" t="s">
        <v>429</v>
      </c>
      <c r="U15" s="456"/>
      <c r="V15" s="456"/>
      <c r="W15" s="456"/>
      <c r="X15" s="456"/>
      <c r="Y15" s="456"/>
      <c r="Z15" s="456"/>
      <c r="AA15" s="456"/>
      <c r="AB15" s="456"/>
      <c r="AC15" s="456"/>
      <c r="AD15" s="456"/>
      <c r="AE15" s="456"/>
      <c r="AF15" s="456"/>
      <c r="AG15" s="456"/>
      <c r="AH15" s="456"/>
      <c r="AI15" s="456"/>
      <c r="AJ15" s="456"/>
      <c r="AK15" s="456"/>
      <c r="AL15" s="456"/>
      <c r="AM15" s="456"/>
      <c r="AO15" s="118"/>
      <c r="AP15" s="118" t="str">
        <f aca="false">IF(T15="","",T15)</f>
        <v>Добавить территорию для дифференциации</v>
      </c>
      <c r="AQ15" s="118"/>
      <c r="AR15" s="118"/>
      <c r="AS15" s="47" t="n">
        <v>0</v>
      </c>
    </row>
    <row r="16" customFormat="false" ht="14.25" hidden="true" customHeight="true" outlineLevel="0" collapsed="false">
      <c r="AS16" s="42" t="n">
        <v>0</v>
      </c>
    </row>
    <row r="17" customFormat="false" ht="14.25" hidden="true" customHeight="true" outlineLevel="0" collapsed="false">
      <c r="AD17" s="458"/>
      <c r="AE17" s="458"/>
      <c r="AF17" s="458"/>
      <c r="AG17" s="459"/>
      <c r="AH17" s="460"/>
      <c r="AI17" s="461" t="s">
        <v>61</v>
      </c>
      <c r="AJ17" s="460"/>
      <c r="AK17" s="461" t="s">
        <v>61</v>
      </c>
      <c r="AS17" s="42" t="n">
        <v>0</v>
      </c>
    </row>
    <row r="18" customFormat="false" ht="14.25" hidden="true" customHeight="true" outlineLevel="0" collapsed="false">
      <c r="AD18" s="458"/>
      <c r="AE18" s="458"/>
      <c r="AF18" s="458"/>
      <c r="AG18" s="440" t="str">
        <f aca="false">AH17&amp;"-"&amp;AJ17</f>
        <v>-</v>
      </c>
      <c r="AH18" s="460"/>
      <c r="AI18" s="460"/>
      <c r="AJ18" s="460"/>
      <c r="AK18" s="460"/>
      <c r="AS18" s="42" t="n">
        <v>0</v>
      </c>
    </row>
    <row r="19" customFormat="false" ht="14.25" hidden="true" customHeight="true" outlineLevel="0" collapsed="false">
      <c r="AS19" s="42" t="n">
        <v>0</v>
      </c>
    </row>
    <row r="20" s="45" customFormat="true" ht="22.5" hidden="true" customHeight="true" outlineLevel="0" collapsed="false">
      <c r="L20" s="44"/>
      <c r="M20" s="51"/>
      <c r="N20" s="51"/>
      <c r="O20" s="462" t="s">
        <v>430</v>
      </c>
      <c r="P20" s="51"/>
      <c r="Q20" s="463"/>
      <c r="R20" s="463"/>
      <c r="S20" s="40"/>
      <c r="Z20" s="462"/>
      <c r="AB20" s="462"/>
      <c r="AH20" s="462"/>
      <c r="AJ20" s="462"/>
      <c r="AN20" s="47"/>
      <c r="AO20" s="47"/>
      <c r="AP20" s="47"/>
      <c r="AQ20" s="47"/>
      <c r="AR20" s="47"/>
      <c r="AS20" s="45" t="n">
        <v>0</v>
      </c>
    </row>
    <row r="21" s="45" customFormat="true" ht="14.25" hidden="true" customHeight="true" outlineLevel="0" collapsed="false">
      <c r="L21" s="44"/>
      <c r="M21" s="51"/>
      <c r="N21" s="51"/>
      <c r="O21" s="51"/>
      <c r="P21" s="51"/>
      <c r="Q21" s="463"/>
      <c r="R21" s="463"/>
      <c r="S21" s="40"/>
      <c r="AN21" s="47"/>
      <c r="AO21" s="47"/>
      <c r="AP21" s="47"/>
      <c r="AQ21" s="47"/>
      <c r="AR21" s="47"/>
      <c r="AS21" s="45" t="n">
        <v>0</v>
      </c>
    </row>
    <row r="22" s="45" customFormat="true" ht="14.25" hidden="true" customHeight="true" outlineLevel="0" collapsed="false">
      <c r="L22" s="44"/>
      <c r="M22" s="51"/>
      <c r="N22" s="51"/>
      <c r="O22" s="414" t="s">
        <v>431</v>
      </c>
      <c r="P22" s="51"/>
      <c r="Q22" s="463"/>
      <c r="R22" s="463"/>
      <c r="S22" s="40"/>
      <c r="T22" s="45" t="s">
        <v>432</v>
      </c>
      <c r="AA22" s="140" t="s">
        <v>433</v>
      </c>
      <c r="AC22" s="140" t="s">
        <v>434</v>
      </c>
      <c r="AD22" s="45" t="s">
        <v>432</v>
      </c>
      <c r="AI22" s="140" t="s">
        <v>435</v>
      </c>
      <c r="AK22" s="140" t="s">
        <v>434</v>
      </c>
      <c r="AN22" s="47"/>
      <c r="AO22" s="47"/>
      <c r="AP22" s="47"/>
      <c r="AQ22" s="47"/>
      <c r="AR22" s="47"/>
      <c r="AS22" s="45" t="n">
        <v>0</v>
      </c>
    </row>
    <row r="23" customFormat="false" ht="14.25" hidden="true" customHeight="true" outlineLevel="0" collapsed="false">
      <c r="O23" s="414"/>
      <c r="AS23" s="42" t="n">
        <v>0</v>
      </c>
    </row>
    <row r="24" customFormat="false" ht="14.25" hidden="true" customHeight="true" outlineLevel="0" collapsed="false">
      <c r="O24" s="414"/>
      <c r="AS24" s="42" t="n">
        <v>0</v>
      </c>
    </row>
    <row r="25" customFormat="false" ht="14.25" hidden="false" customHeight="true" outlineLevel="0" collapsed="false">
      <c r="Q25" s="464"/>
      <c r="R25" s="464"/>
      <c r="S25" s="465"/>
      <c r="T25" s="80"/>
      <c r="U25" s="80"/>
      <c r="AS25" s="42" t="n">
        <v>14</v>
      </c>
    </row>
    <row r="26" customFormat="false" ht="14.25" hidden="false" customHeight="true" outlineLevel="0" collapsed="false">
      <c r="Q26" s="464"/>
      <c r="R26" s="46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64"/>
      <c r="R27" s="464"/>
      <c r="S27" s="261" t="str">
        <f aca="false">IF(org=0,"Не определено",org)</f>
        <v>ООО "Газпром теплоэнерго Ярославль"</v>
      </c>
      <c r="T27" s="261"/>
      <c r="U27" s="261"/>
      <c r="V27" s="261"/>
      <c r="W27" s="261"/>
      <c r="X27" s="261"/>
      <c r="Y27" s="261"/>
      <c r="Z27" s="261"/>
      <c r="AA27" s="261"/>
      <c r="AB27" s="261"/>
      <c r="AC27" s="261"/>
      <c r="AD27" s="261"/>
      <c r="AE27" s="261"/>
      <c r="AF27" s="261"/>
      <c r="AG27" s="261"/>
      <c r="AH27" s="261"/>
      <c r="AI27" s="261"/>
      <c r="AJ27" s="261"/>
      <c r="AK27" s="222"/>
      <c r="AS27" s="42" t="n">
        <v>14</v>
      </c>
    </row>
    <row r="28" customFormat="false" ht="14.25" hidden="true" customHeight="true" outlineLevel="0" collapsed="false">
      <c r="Q28" s="464"/>
      <c r="R28" s="464"/>
      <c r="S28" s="465"/>
      <c r="T28" s="80"/>
      <c r="U28" s="80"/>
      <c r="V28" s="466"/>
      <c r="W28" s="466"/>
      <c r="X28" s="466"/>
      <c r="Y28" s="466"/>
      <c r="Z28" s="466"/>
      <c r="AA28" s="466"/>
      <c r="AB28" s="466"/>
      <c r="AC28" s="466"/>
      <c r="AD28" s="466"/>
      <c r="AE28" s="466"/>
      <c r="AF28" s="466"/>
      <c r="AG28" s="466"/>
      <c r="AH28" s="466"/>
      <c r="AI28" s="466"/>
      <c r="AJ28" s="466"/>
      <c r="AK28" s="466"/>
      <c r="AS28" s="42" t="n">
        <v>0</v>
      </c>
    </row>
    <row r="29" s="175" customFormat="true" ht="25.5" hidden="true" customHeight="true" outlineLevel="0" collapsed="false">
      <c r="A29" s="140"/>
      <c r="B29" s="140"/>
      <c r="C29" s="140"/>
      <c r="D29" s="140"/>
      <c r="E29" s="140"/>
      <c r="F29" s="140"/>
      <c r="G29" s="140"/>
      <c r="H29" s="140"/>
      <c r="I29" s="140"/>
      <c r="J29" s="140"/>
      <c r="K29" s="140"/>
      <c r="L29" s="414"/>
      <c r="M29" s="140"/>
      <c r="N29" s="140"/>
      <c r="O29" s="140"/>
      <c r="S29" s="467" t="s">
        <v>40</v>
      </c>
      <c r="T29" s="467"/>
      <c r="U29" s="468"/>
      <c r="V29" s="469" t="str">
        <f aca="false">IF(TITLE_NAME_OR_PR_CHANGE="",IF(TITLE_NAME_OR_PR="","",TITLE_NAME_OR_PR),TITLE_NAME_OR_PR_CHANGE)</f>
        <v/>
      </c>
      <c r="W29" s="469"/>
      <c r="X29" s="469"/>
      <c r="Y29" s="469"/>
      <c r="Z29" s="469"/>
      <c r="AA29" s="469"/>
      <c r="AB29" s="469"/>
      <c r="AC29" s="42"/>
      <c r="AD29" s="469" t="str">
        <f aca="false">IF(TITLE_NAME_OR_PR_CHANGE="",IF(TITLE_NAME_OR_PR="","",TITLE_NAME_OR_PR),TITLE_NAME_OR_PR_CHANGE)</f>
        <v/>
      </c>
      <c r="AE29" s="469"/>
      <c r="AF29" s="469"/>
      <c r="AG29" s="469"/>
      <c r="AH29" s="469"/>
      <c r="AI29" s="469"/>
      <c r="AJ29" s="469"/>
      <c r="AK29" s="42"/>
      <c r="AL29" s="42"/>
      <c r="AM29" s="470"/>
      <c r="AN29" s="118"/>
      <c r="AO29" s="118"/>
      <c r="AP29" s="118"/>
      <c r="AQ29" s="118"/>
      <c r="AR29" s="118"/>
      <c r="AS29" s="175" t="n">
        <v>0</v>
      </c>
    </row>
    <row r="30" s="175" customFormat="true" ht="18.75" hidden="true" customHeight="true" outlineLevel="0" collapsed="false">
      <c r="A30" s="140"/>
      <c r="B30" s="140"/>
      <c r="C30" s="140"/>
      <c r="D30" s="140"/>
      <c r="E30" s="140"/>
      <c r="F30" s="140"/>
      <c r="G30" s="140"/>
      <c r="H30" s="140"/>
      <c r="I30" s="140"/>
      <c r="J30" s="140"/>
      <c r="K30" s="140"/>
      <c r="L30" s="414"/>
      <c r="M30" s="140"/>
      <c r="N30" s="140"/>
      <c r="O30" s="140"/>
      <c r="S30" s="467" t="s">
        <v>436</v>
      </c>
      <c r="T30" s="467"/>
      <c r="U30" s="468"/>
      <c r="V30" s="471" t="str">
        <f aca="false">IF(TITLE_DATE_PR_CHANGE="",IF(TITLE_DATE_PR="","",TITLE_DATE_PR),TITLE_DATE_PR_CHANGE)</f>
        <v/>
      </c>
      <c r="W30" s="471"/>
      <c r="X30" s="471"/>
      <c r="Y30" s="471"/>
      <c r="Z30" s="471"/>
      <c r="AA30" s="471"/>
      <c r="AB30" s="471"/>
      <c r="AC30" s="42"/>
      <c r="AD30" s="471" t="str">
        <f aca="false">IF(TITLE_DATE_PR_CHANGE="",IF(TITLE_DATE_PR="","",TITLE_DATE_PR),TITLE_DATE_PR_CHANGE)</f>
        <v/>
      </c>
      <c r="AE30" s="471"/>
      <c r="AF30" s="471"/>
      <c r="AG30" s="471"/>
      <c r="AH30" s="471"/>
      <c r="AI30" s="471"/>
      <c r="AJ30" s="471"/>
      <c r="AK30" s="42"/>
      <c r="AL30" s="42"/>
      <c r="AM30" s="470"/>
      <c r="AN30" s="118"/>
      <c r="AO30" s="118"/>
      <c r="AP30" s="118"/>
      <c r="AQ30" s="118"/>
      <c r="AR30" s="118"/>
      <c r="AS30" s="175" t="n">
        <v>0</v>
      </c>
    </row>
    <row r="31" s="175" customFormat="true" ht="18.75" hidden="true" customHeight="true" outlineLevel="0" collapsed="false">
      <c r="A31" s="140"/>
      <c r="B31" s="140"/>
      <c r="C31" s="140"/>
      <c r="D31" s="140"/>
      <c r="E31" s="140"/>
      <c r="F31" s="140"/>
      <c r="G31" s="140"/>
      <c r="H31" s="140"/>
      <c r="I31" s="140"/>
      <c r="J31" s="140"/>
      <c r="K31" s="140"/>
      <c r="L31" s="414"/>
      <c r="M31" s="140"/>
      <c r="N31" s="140"/>
      <c r="O31" s="140"/>
      <c r="S31" s="467" t="s">
        <v>437</v>
      </c>
      <c r="T31" s="467"/>
      <c r="U31" s="468"/>
      <c r="V31" s="469" t="str">
        <f aca="false">IF(TITLE_NUMBER_PR_CHANGE="",IF(TITLE_NUMBER_PR="","",TITLE_NUMBER_PR),TITLE_NUMBER_PR_CHANGE)</f>
        <v/>
      </c>
      <c r="W31" s="469"/>
      <c r="X31" s="469"/>
      <c r="Y31" s="469"/>
      <c r="Z31" s="469"/>
      <c r="AA31" s="469"/>
      <c r="AB31" s="469"/>
      <c r="AC31" s="42"/>
      <c r="AD31" s="469" t="str">
        <f aca="false">IF(TITLE_NUMBER_PR_CHANGE="",IF(TITLE_NUMBER_PR="","",TITLE_NUMBER_PR),TITLE_NUMBER_PR_CHANGE)</f>
        <v/>
      </c>
      <c r="AE31" s="469"/>
      <c r="AF31" s="469"/>
      <c r="AG31" s="469"/>
      <c r="AH31" s="469"/>
      <c r="AI31" s="469"/>
      <c r="AJ31" s="469"/>
      <c r="AK31" s="42"/>
      <c r="AL31" s="42"/>
      <c r="AM31" s="470"/>
      <c r="AN31" s="118"/>
      <c r="AO31" s="118"/>
      <c r="AP31" s="118"/>
      <c r="AQ31" s="118"/>
      <c r="AR31" s="118"/>
      <c r="AS31" s="175" t="n">
        <v>0</v>
      </c>
    </row>
    <row r="32" s="175" customFormat="true" ht="18.75" hidden="true" customHeight="true" outlineLevel="0" collapsed="false">
      <c r="A32" s="140"/>
      <c r="B32" s="140"/>
      <c r="C32" s="140"/>
      <c r="D32" s="140"/>
      <c r="E32" s="140"/>
      <c r="F32" s="140"/>
      <c r="G32" s="140"/>
      <c r="H32" s="140"/>
      <c r="I32" s="140"/>
      <c r="J32" s="140"/>
      <c r="K32" s="140"/>
      <c r="L32" s="414"/>
      <c r="M32" s="140"/>
      <c r="N32" s="140"/>
      <c r="O32" s="140"/>
      <c r="S32" s="467" t="s">
        <v>41</v>
      </c>
      <c r="T32" s="467"/>
      <c r="U32" s="468"/>
      <c r="V32" s="469" t="str">
        <f aca="false">IF(TITLE_IST_PUB_CHANGE="",IF(TITLE_IST_PUB="","",TITLE_IST_PUB),TITLE_IST_PUB_CHANGE)</f>
        <v/>
      </c>
      <c r="W32" s="469"/>
      <c r="X32" s="469"/>
      <c r="Y32" s="469"/>
      <c r="Z32" s="469"/>
      <c r="AA32" s="469"/>
      <c r="AB32" s="469"/>
      <c r="AC32" s="42"/>
      <c r="AD32" s="469" t="str">
        <f aca="false">IF(TITLE_IST_PUB_CHANGE="",IF(TITLE_IST_PUB="","",TITLE_IST_PUB),TITLE_IST_PUB_CHANGE)</f>
        <v/>
      </c>
      <c r="AE32" s="469"/>
      <c r="AF32" s="469"/>
      <c r="AG32" s="469"/>
      <c r="AH32" s="469"/>
      <c r="AI32" s="469"/>
      <c r="AJ32" s="469"/>
      <c r="AK32" s="42"/>
      <c r="AL32" s="42"/>
      <c r="AM32" s="470"/>
      <c r="AN32" s="118"/>
      <c r="AO32" s="118"/>
      <c r="AP32" s="118"/>
      <c r="AQ32" s="118"/>
      <c r="AR32" s="118"/>
      <c r="AS32" s="175" t="n">
        <v>0</v>
      </c>
    </row>
    <row r="33" customFormat="false" ht="14.25" hidden="true" customHeight="true" outlineLevel="0" collapsed="false">
      <c r="Q33" s="464"/>
      <c r="R33" s="464"/>
      <c r="S33" s="465"/>
      <c r="T33" s="80"/>
      <c r="U33" s="80"/>
      <c r="V33" s="466"/>
      <c r="W33" s="466"/>
      <c r="X33" s="466"/>
      <c r="Y33" s="466"/>
      <c r="Z33" s="466"/>
      <c r="AA33" s="466"/>
      <c r="AB33" s="466"/>
      <c r="AC33" s="466"/>
      <c r="AD33" s="466"/>
      <c r="AE33" s="466"/>
      <c r="AF33" s="466"/>
      <c r="AG33" s="466"/>
      <c r="AH33" s="466"/>
      <c r="AI33" s="466"/>
      <c r="AJ33" s="466"/>
      <c r="AK33" s="466"/>
      <c r="AS33" s="42" t="n">
        <v>0</v>
      </c>
    </row>
    <row r="34" s="175" customFormat="true" ht="18.75" hidden="true" customHeight="true" outlineLevel="0" collapsed="false">
      <c r="A34" s="140"/>
      <c r="B34" s="140"/>
      <c r="C34" s="140"/>
      <c r="D34" s="140"/>
      <c r="E34" s="140"/>
      <c r="F34" s="140"/>
      <c r="G34" s="140"/>
      <c r="H34" s="140"/>
      <c r="I34" s="140"/>
      <c r="J34" s="140"/>
      <c r="K34" s="140"/>
      <c r="L34" s="414"/>
      <c r="M34" s="140"/>
      <c r="N34" s="140"/>
      <c r="O34" s="140"/>
      <c r="S34" s="467" t="s">
        <v>438</v>
      </c>
      <c r="T34" s="467"/>
      <c r="U34" s="468"/>
      <c r="V34" s="471" t="str">
        <f aca="false">IF(TITLE_DATE_PR_CHANGE="",IF(TITLE_DATE_PR="","",TITLE_DATE_PR),TITLE_DATE_PR_CHANGE)</f>
        <v/>
      </c>
      <c r="W34" s="471"/>
      <c r="X34" s="471"/>
      <c r="Y34" s="471"/>
      <c r="Z34" s="471"/>
      <c r="AA34" s="471"/>
      <c r="AB34" s="471"/>
      <c r="AC34" s="42"/>
      <c r="AD34" s="471" t="str">
        <f aca="false">IF(TITLE_DATE_PR_CHANGE="",IF(TITLE_DATE_PR="","",TITLE_DATE_PR),TITLE_DATE_PR_CHANGE)</f>
        <v/>
      </c>
      <c r="AE34" s="471"/>
      <c r="AF34" s="471"/>
      <c r="AG34" s="471"/>
      <c r="AH34" s="471"/>
      <c r="AI34" s="471"/>
      <c r="AJ34" s="471"/>
      <c r="AK34" s="42"/>
      <c r="AL34" s="42"/>
      <c r="AM34" s="470"/>
      <c r="AN34" s="118"/>
      <c r="AO34" s="118"/>
      <c r="AP34" s="118"/>
      <c r="AQ34" s="118"/>
      <c r="AR34" s="118"/>
      <c r="AS34" s="175" t="n">
        <v>0</v>
      </c>
    </row>
    <row r="35" s="175" customFormat="true" ht="18.75" hidden="true" customHeight="true" outlineLevel="0" collapsed="false">
      <c r="A35" s="140"/>
      <c r="B35" s="140"/>
      <c r="C35" s="140"/>
      <c r="D35" s="140"/>
      <c r="E35" s="140"/>
      <c r="F35" s="140"/>
      <c r="G35" s="140"/>
      <c r="H35" s="140"/>
      <c r="I35" s="140"/>
      <c r="J35" s="140"/>
      <c r="K35" s="140"/>
      <c r="L35" s="414"/>
      <c r="M35" s="140"/>
      <c r="N35" s="140"/>
      <c r="O35" s="140"/>
      <c r="S35" s="467" t="s">
        <v>439</v>
      </c>
      <c r="T35" s="467"/>
      <c r="U35" s="468"/>
      <c r="V35" s="469" t="str">
        <f aca="false">IF(TITLE_NUMBER_PR_CHANGE="",IF(TITLE_NUMBER_PR="","",TITLE_NUMBER_PR),TITLE_NUMBER_PR_CHANGE)</f>
        <v/>
      </c>
      <c r="W35" s="469"/>
      <c r="X35" s="469"/>
      <c r="Y35" s="469"/>
      <c r="Z35" s="469"/>
      <c r="AA35" s="469"/>
      <c r="AB35" s="469"/>
      <c r="AC35" s="42"/>
      <c r="AD35" s="469" t="str">
        <f aca="false">IF(TITLE_NUMBER_PR_CHANGE="",IF(TITLE_NUMBER_PR="","",TITLE_NUMBER_PR),TITLE_NUMBER_PR_CHANGE)</f>
        <v/>
      </c>
      <c r="AE35" s="469"/>
      <c r="AF35" s="469"/>
      <c r="AG35" s="469"/>
      <c r="AH35" s="469"/>
      <c r="AI35" s="469"/>
      <c r="AJ35" s="469"/>
      <c r="AK35" s="42"/>
      <c r="AL35" s="42"/>
      <c r="AM35" s="470"/>
      <c r="AN35" s="118"/>
      <c r="AO35" s="118"/>
      <c r="AP35" s="118"/>
      <c r="AQ35" s="118"/>
      <c r="AR35" s="118"/>
      <c r="AS35" s="175" t="n">
        <v>0</v>
      </c>
    </row>
    <row r="36" s="175" customFormat="true" ht="12.8" hidden="false" customHeight="false" outlineLevel="0" collapsed="false">
      <c r="A36" s="140"/>
      <c r="B36" s="140"/>
      <c r="C36" s="140"/>
      <c r="D36" s="140"/>
      <c r="E36" s="140"/>
      <c r="F36" s="140"/>
      <c r="G36" s="140"/>
      <c r="H36" s="140"/>
      <c r="I36" s="140"/>
      <c r="J36" s="140"/>
      <c r="K36" s="140"/>
      <c r="L36" s="414"/>
      <c r="M36" s="140"/>
      <c r="N36" s="140"/>
      <c r="O36" s="140"/>
      <c r="S36" s="42"/>
      <c r="T36" s="42"/>
      <c r="U36" s="128"/>
      <c r="V36" s="42"/>
      <c r="W36" s="42"/>
      <c r="X36" s="42"/>
      <c r="Y36" s="42"/>
      <c r="Z36" s="42"/>
      <c r="AA36" s="42"/>
      <c r="AB36" s="42"/>
      <c r="AC36" s="47" t="s">
        <v>440</v>
      </c>
      <c r="AD36" s="42"/>
      <c r="AE36" s="42"/>
      <c r="AF36" s="42"/>
      <c r="AG36" s="42"/>
      <c r="AH36" s="42"/>
      <c r="AI36" s="42"/>
      <c r="AJ36" s="42"/>
      <c r="AK36" s="47" t="s">
        <v>440</v>
      </c>
      <c r="AN36" s="118"/>
      <c r="AO36" s="118"/>
      <c r="AP36" s="118"/>
      <c r="AQ36" s="118"/>
      <c r="AR36" s="118"/>
      <c r="AS36" s="175" t="n">
        <v>0</v>
      </c>
    </row>
    <row r="37" customFormat="false" ht="14.25" hidden="false" customHeight="true" outlineLevel="0" collapsed="false">
      <c r="Q37" s="464"/>
      <c r="R37" s="464"/>
      <c r="S37" s="465"/>
      <c r="T37" s="80"/>
      <c r="U37" s="472"/>
      <c r="V37" s="473"/>
      <c r="W37" s="473"/>
      <c r="X37" s="473"/>
      <c r="Y37" s="473"/>
      <c r="Z37" s="473"/>
      <c r="AA37" s="473"/>
      <c r="AB37" s="473"/>
      <c r="AC37" s="473"/>
      <c r="AD37" s="473"/>
      <c r="AE37" s="473"/>
      <c r="AF37" s="473"/>
      <c r="AG37" s="473"/>
      <c r="AH37" s="473"/>
      <c r="AI37" s="473"/>
      <c r="AJ37" s="473"/>
      <c r="AK37" s="473"/>
      <c r="AS37" s="42" t="n">
        <v>14</v>
      </c>
    </row>
    <row r="38" customFormat="false" ht="14.25" hidden="false" customHeight="true" outlineLevel="0" collapsed="false">
      <c r="Q38" s="464"/>
      <c r="R38" s="464"/>
      <c r="S38" s="134" t="s">
        <v>313</v>
      </c>
      <c r="T38" s="134"/>
      <c r="U38" s="134"/>
      <c r="V38" s="134"/>
      <c r="W38" s="134"/>
      <c r="X38" s="134"/>
      <c r="Y38" s="134"/>
      <c r="Z38" s="134"/>
      <c r="AA38" s="134"/>
      <c r="AB38" s="134"/>
      <c r="AC38" s="134"/>
      <c r="AD38" s="134"/>
      <c r="AE38" s="134"/>
      <c r="AF38" s="134"/>
      <c r="AG38" s="134"/>
      <c r="AH38" s="134"/>
      <c r="AI38" s="134"/>
      <c r="AJ38" s="134"/>
      <c r="AK38" s="134"/>
      <c r="AL38" s="134"/>
      <c r="AM38" s="134" t="s">
        <v>314</v>
      </c>
      <c r="AS38" s="42" t="n">
        <v>14</v>
      </c>
    </row>
    <row r="39" customFormat="false" ht="14.25" hidden="false" customHeight="true" outlineLevel="0" collapsed="false">
      <c r="Q39" s="464"/>
      <c r="R39" s="464"/>
      <c r="S39" s="474" t="s">
        <v>87</v>
      </c>
      <c r="T39" s="391" t="s">
        <v>441</v>
      </c>
      <c r="U39" s="475"/>
      <c r="V39" s="296" t="s">
        <v>442</v>
      </c>
      <c r="W39" s="296"/>
      <c r="X39" s="296"/>
      <c r="Y39" s="296"/>
      <c r="Z39" s="296"/>
      <c r="AA39" s="296"/>
      <c r="AB39" s="296"/>
      <c r="AC39" s="391" t="s">
        <v>443</v>
      </c>
      <c r="AD39" s="296" t="s">
        <v>442</v>
      </c>
      <c r="AE39" s="296"/>
      <c r="AF39" s="296"/>
      <c r="AG39" s="296"/>
      <c r="AH39" s="296"/>
      <c r="AI39" s="296"/>
      <c r="AJ39" s="296"/>
      <c r="AK39" s="391" t="s">
        <v>444</v>
      </c>
      <c r="AL39" s="476" t="s">
        <v>445</v>
      </c>
      <c r="AM39" s="134"/>
      <c r="AS39" s="42" t="n">
        <v>14</v>
      </c>
    </row>
    <row r="40" customFormat="false" ht="35.25" hidden="false" customHeight="true" outlineLevel="0" collapsed="false">
      <c r="Q40" s="464"/>
      <c r="R40" s="464"/>
      <c r="S40" s="474"/>
      <c r="T40" s="391"/>
      <c r="U40" s="477"/>
      <c r="V40" s="134" t="s">
        <v>446</v>
      </c>
      <c r="W40" s="428" t="s">
        <v>447</v>
      </c>
      <c r="X40" s="134" t="s">
        <v>448</v>
      </c>
      <c r="Y40" s="134"/>
      <c r="Z40" s="134" t="s">
        <v>449</v>
      </c>
      <c r="AA40" s="134"/>
      <c r="AB40" s="134"/>
      <c r="AC40" s="391"/>
      <c r="AD40" s="134" t="s">
        <v>446</v>
      </c>
      <c r="AE40" s="428" t="s">
        <v>447</v>
      </c>
      <c r="AF40" s="134" t="s">
        <v>448</v>
      </c>
      <c r="AG40" s="134"/>
      <c r="AH40" s="134" t="s">
        <v>449</v>
      </c>
      <c r="AI40" s="134"/>
      <c r="AJ40" s="134"/>
      <c r="AK40" s="391"/>
      <c r="AL40" s="476"/>
      <c r="AM40" s="134"/>
      <c r="AS40" s="42" t="n">
        <v>34</v>
      </c>
    </row>
    <row r="41" customFormat="false" ht="35.25" hidden="false" customHeight="true" outlineLevel="0" collapsed="false">
      <c r="A41" s="140"/>
      <c r="B41" s="140" t="s">
        <v>150</v>
      </c>
      <c r="C41" s="140" t="s">
        <v>151</v>
      </c>
      <c r="D41" s="140" t="s">
        <v>152</v>
      </c>
      <c r="E41" s="414" t="s">
        <v>450</v>
      </c>
      <c r="F41" s="414" t="s">
        <v>451</v>
      </c>
      <c r="G41" s="414" t="s">
        <v>452</v>
      </c>
      <c r="H41" s="414" t="s">
        <v>453</v>
      </c>
      <c r="I41" s="414" t="s">
        <v>454</v>
      </c>
      <c r="J41" s="414" t="s">
        <v>455</v>
      </c>
      <c r="K41" s="414" t="s">
        <v>456</v>
      </c>
      <c r="L41" s="414" t="s">
        <v>431</v>
      </c>
      <c r="Q41" s="464"/>
      <c r="R41" s="464"/>
      <c r="S41" s="474"/>
      <c r="T41" s="391"/>
      <c r="U41" s="478"/>
      <c r="V41" s="134"/>
      <c r="W41" s="428"/>
      <c r="X41" s="185" t="s">
        <v>457</v>
      </c>
      <c r="Y41" s="185" t="s">
        <v>458</v>
      </c>
      <c r="Z41" s="185" t="s">
        <v>459</v>
      </c>
      <c r="AA41" s="185" t="s">
        <v>460</v>
      </c>
      <c r="AB41" s="185"/>
      <c r="AC41" s="391"/>
      <c r="AD41" s="134"/>
      <c r="AE41" s="428"/>
      <c r="AF41" s="185" t="s">
        <v>457</v>
      </c>
      <c r="AG41" s="185" t="s">
        <v>458</v>
      </c>
      <c r="AH41" s="185" t="s">
        <v>459</v>
      </c>
      <c r="AI41" s="185" t="s">
        <v>460</v>
      </c>
      <c r="AJ41" s="185"/>
      <c r="AK41" s="391"/>
      <c r="AL41" s="476"/>
      <c r="AM41" s="134"/>
      <c r="AS41" s="42" t="n">
        <v>34</v>
      </c>
    </row>
    <row r="42" s="120" customFormat="true" ht="11.25" hidden="true" customHeight="true" outlineLevel="0" collapsed="false">
      <c r="A42" s="140"/>
      <c r="B42" s="140"/>
      <c r="C42" s="140"/>
      <c r="D42" s="140"/>
      <c r="E42" s="140"/>
      <c r="F42" s="140"/>
      <c r="G42" s="140"/>
      <c r="H42" s="140"/>
      <c r="I42" s="140"/>
      <c r="J42" s="140"/>
      <c r="K42" s="140"/>
      <c r="L42" s="414"/>
      <c r="M42" s="51"/>
      <c r="N42" s="51"/>
      <c r="O42" s="51"/>
      <c r="P42" s="479"/>
      <c r="Q42" s="480"/>
      <c r="R42" s="481" t="n">
        <v>1</v>
      </c>
      <c r="S42" s="482" t="s">
        <v>120</v>
      </c>
      <c r="T42" s="483" t="s">
        <v>102</v>
      </c>
      <c r="U42" s="484" t="str">
        <f aca="true">OFFSET(U42,0,-1)</f>
        <v>2</v>
      </c>
      <c r="V42" s="485" t="n">
        <f aca="true">OFFSET(V42,0,-1)+1</f>
        <v>3</v>
      </c>
      <c r="W42" s="485"/>
      <c r="X42" s="485" t="n">
        <f aca="true">OFFSET(X42,0,-1)+1</f>
        <v>1</v>
      </c>
      <c r="Y42" s="485" t="n">
        <f aca="true">OFFSET(Y42,0,-1)+1</f>
        <v>2</v>
      </c>
      <c r="Z42" s="485" t="n">
        <f aca="true">OFFSET(Z42,0,-1)+1</f>
        <v>3</v>
      </c>
      <c r="AA42" s="485" t="n">
        <f aca="true">OFFSET(AA42,0,-1)+1</f>
        <v>4</v>
      </c>
      <c r="AB42" s="485"/>
      <c r="AC42" s="485" t="n">
        <f aca="true">OFFSET(AC42,0,-2)+1</f>
        <v>5</v>
      </c>
      <c r="AD42" s="485" t="n">
        <f aca="true">OFFSET(AD42,0,-1)+1</f>
        <v>6</v>
      </c>
      <c r="AE42" s="485"/>
      <c r="AF42" s="485" t="n">
        <f aca="true">OFFSET(AF42,0,-1)+1</f>
        <v>1</v>
      </c>
      <c r="AG42" s="485" t="n">
        <f aca="true">OFFSET(AG42,0,-1)+1</f>
        <v>2</v>
      </c>
      <c r="AH42" s="485" t="n">
        <f aca="true">OFFSET(AH42,0,-1)+1</f>
        <v>3</v>
      </c>
      <c r="AI42" s="485" t="n">
        <f aca="true">OFFSET(AI42,0,-1)+1</f>
        <v>4</v>
      </c>
      <c r="AJ42" s="485"/>
      <c r="AK42" s="485" t="n">
        <f aca="true">OFFSET(AK42,0,-2)+1</f>
        <v>5</v>
      </c>
      <c r="AL42" s="484" t="n">
        <f aca="true">OFFSET(AL42,0,-1)</f>
        <v>5</v>
      </c>
      <c r="AM42" s="485" t="n">
        <f aca="true">OFFSET(AM42,0,-1)+1</f>
        <v>6</v>
      </c>
      <c r="AN42" s="47"/>
      <c r="AO42" s="47"/>
      <c r="AP42" s="47"/>
      <c r="AQ42" s="47"/>
      <c r="AR42" s="47"/>
      <c r="AS42" s="120" t="n">
        <v>0</v>
      </c>
    </row>
    <row r="43" customFormat="false" ht="24" hidden="false" customHeight="true" outlineLevel="0" collapsed="false">
      <c r="A43" s="412" t="s">
        <v>171</v>
      </c>
      <c r="B43" s="412"/>
      <c r="C43" s="412"/>
      <c r="D43" s="412"/>
      <c r="E43" s="413" t="n">
        <v>1</v>
      </c>
      <c r="F43" s="412"/>
      <c r="G43" s="412"/>
      <c r="H43" s="412"/>
      <c r="I43" s="412"/>
      <c r="J43" s="412"/>
      <c r="K43" s="412"/>
      <c r="L43" s="414"/>
      <c r="M43" s="40"/>
      <c r="N43" s="40"/>
      <c r="O43" s="40"/>
      <c r="Q43" s="132"/>
      <c r="R43" s="415"/>
      <c r="S43" s="416" t="n">
        <f aca="false">INDEX(PT_DIFFERENTIATION_NUM_NTAR,MATCH(A43,PT_DIFFERENTIATION_NTAR_ID,0))</f>
        <v>0</v>
      </c>
      <c r="T43" s="417" t="s">
        <v>138</v>
      </c>
      <c r="U43" s="418"/>
      <c r="V43" s="419"/>
      <c r="W43" s="419"/>
      <c r="X43" s="419"/>
      <c r="Y43" s="419"/>
      <c r="Z43" s="419"/>
      <c r="AA43" s="419"/>
      <c r="AB43" s="419"/>
      <c r="AC43" s="419"/>
      <c r="AD43" s="420" t="str">
        <f aca="false">INDEX(PT_DIFFERENTIATION_NTAR,MATCH(A43,PT_DIFFERENTIATION_NTAR_ID,0))</f>
        <v/>
      </c>
      <c r="AE43" s="420"/>
      <c r="AF43" s="420"/>
      <c r="AG43" s="420"/>
      <c r="AH43" s="420"/>
      <c r="AI43" s="420"/>
      <c r="AJ43" s="420"/>
      <c r="AK43" s="420"/>
      <c r="AL43" s="420"/>
      <c r="AM43" s="421"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8"/>
      <c r="AP43" s="118" t="str">
        <f aca="false">IF(T43="","",T43)</f>
        <v>Наименование тарифа</v>
      </c>
      <c r="AQ43" s="118"/>
      <c r="AR43" s="118"/>
      <c r="AS43" s="42" t="n">
        <v>23</v>
      </c>
    </row>
    <row r="44" customFormat="false" ht="24" hidden="false" customHeight="true" outlineLevel="0" collapsed="false">
      <c r="A44" s="412" t="s">
        <v>171</v>
      </c>
      <c r="B44" s="412" t="s">
        <v>172</v>
      </c>
      <c r="C44" s="412"/>
      <c r="D44" s="412"/>
      <c r="E44" s="413"/>
      <c r="F44" s="413" t="n">
        <v>1</v>
      </c>
      <c r="G44" s="412"/>
      <c r="H44" s="412"/>
      <c r="I44" s="412"/>
      <c r="J44" s="412"/>
      <c r="K44" s="412"/>
      <c r="L44" s="414"/>
      <c r="M44" s="40"/>
      <c r="N44" s="40"/>
      <c r="O44" s="40"/>
      <c r="P44" s="43"/>
      <c r="Q44" s="422"/>
      <c r="R44" s="423"/>
      <c r="S44" s="416" t="str">
        <f aca="false">INDEX(PT_DIFFERENTIATION_NUM_TER,MATCH(B44,PT_DIFFERENTIATION_TER_ID,0))</f>
        <v>.</v>
      </c>
      <c r="T44" s="424" t="s">
        <v>410</v>
      </c>
      <c r="U44" s="418"/>
      <c r="V44" s="419"/>
      <c r="W44" s="419"/>
      <c r="X44" s="419"/>
      <c r="Y44" s="419"/>
      <c r="Z44" s="419"/>
      <c r="AA44" s="419"/>
      <c r="AB44" s="419"/>
      <c r="AC44" s="419"/>
      <c r="AD44" s="420" t="str">
        <f aca="false">INDEX(PT_DIFFERENTIATION_TER,MATCH(B44,PT_DIFFERENTIATION_TER_ID,0))</f>
        <v/>
      </c>
      <c r="AE44" s="420"/>
      <c r="AF44" s="420"/>
      <c r="AG44" s="420"/>
      <c r="AH44" s="420"/>
      <c r="AI44" s="420"/>
      <c r="AJ44" s="420"/>
      <c r="AK44" s="420"/>
      <c r="AL44" s="420"/>
      <c r="AM44" s="421" t="s">
        <v>411</v>
      </c>
      <c r="AO44" s="118"/>
      <c r="AP44" s="118" t="str">
        <f aca="false">IF(T44="","",T44)</f>
        <v>Территория действия тарифа</v>
      </c>
      <c r="AQ44" s="118"/>
      <c r="AR44" s="118"/>
      <c r="AS44" s="42" t="n">
        <v>23</v>
      </c>
    </row>
    <row r="45" customFormat="false" ht="24" hidden="false" customHeight="true" outlineLevel="0" collapsed="false">
      <c r="A45" s="412" t="s">
        <v>171</v>
      </c>
      <c r="B45" s="412" t="s">
        <v>172</v>
      </c>
      <c r="C45" s="412" t="s">
        <v>173</v>
      </c>
      <c r="D45" s="412"/>
      <c r="E45" s="413"/>
      <c r="F45" s="413"/>
      <c r="G45" s="413" t="n">
        <v>1</v>
      </c>
      <c r="H45" s="412"/>
      <c r="I45" s="412"/>
      <c r="J45" s="412"/>
      <c r="K45" s="412"/>
      <c r="L45" s="414"/>
      <c r="M45" s="40"/>
      <c r="N45" s="40"/>
      <c r="O45" s="40"/>
      <c r="P45" s="425"/>
      <c r="Q45" s="422"/>
      <c r="R45" s="423"/>
      <c r="S45" s="416" t="str">
        <f aca="false">INDEX(PT_DIFFERENTIATION_NUM_CS,MATCH(C45,PT_DIFFERENTIATION_CS_ID,0))</f>
        <v>..</v>
      </c>
      <c r="T45" s="426" t="s">
        <v>412</v>
      </c>
      <c r="U45" s="418"/>
      <c r="V45" s="419"/>
      <c r="W45" s="419"/>
      <c r="X45" s="419"/>
      <c r="Y45" s="419"/>
      <c r="Z45" s="419"/>
      <c r="AA45" s="419"/>
      <c r="AB45" s="419"/>
      <c r="AC45" s="419"/>
      <c r="AD45" s="420" t="str">
        <f aca="false">INDEX(PT_DIFFERENTIATION_CS,MATCH(C45,PT_DIFFERENTIATION_CS_ID,0))</f>
        <v/>
      </c>
      <c r="AE45" s="420"/>
      <c r="AF45" s="420"/>
      <c r="AG45" s="420"/>
      <c r="AH45" s="420"/>
      <c r="AI45" s="420"/>
      <c r="AJ45" s="420"/>
      <c r="AK45" s="420"/>
      <c r="AL45" s="420"/>
      <c r="AM45" s="421" t="s">
        <v>413</v>
      </c>
      <c r="AO45" s="118"/>
      <c r="AP45" s="118" t="str">
        <f aca="false">IF(T45="","",T45)</f>
        <v>Наименование системы теплоснабжения</v>
      </c>
      <c r="AQ45" s="118"/>
      <c r="AR45" s="118"/>
      <c r="AS45" s="42" t="n">
        <v>23</v>
      </c>
    </row>
    <row r="46" customFormat="false" ht="24" hidden="false" customHeight="true" outlineLevel="0" collapsed="false">
      <c r="A46" s="412" t="s">
        <v>171</v>
      </c>
      <c r="B46" s="412" t="s">
        <v>172</v>
      </c>
      <c r="C46" s="412" t="s">
        <v>173</v>
      </c>
      <c r="D46" s="412" t="s">
        <v>174</v>
      </c>
      <c r="E46" s="413"/>
      <c r="F46" s="413"/>
      <c r="G46" s="413"/>
      <c r="H46" s="413" t="n">
        <v>1</v>
      </c>
      <c r="I46" s="412"/>
      <c r="J46" s="412"/>
      <c r="K46" s="412"/>
      <c r="L46" s="414"/>
      <c r="M46" s="40"/>
      <c r="N46" s="40"/>
      <c r="O46" s="40"/>
      <c r="P46" s="425"/>
      <c r="Q46" s="422"/>
      <c r="R46" s="423"/>
      <c r="S46" s="416" t="str">
        <f aca="false">INDEX(PT_DIFFERENTIATION_NUM_IST_TE,MATCH(D46,PT_DIFFERENTIATION_IST_TE_ID,0))</f>
        <v>...</v>
      </c>
      <c r="T46" s="427" t="s">
        <v>414</v>
      </c>
      <c r="U46" s="418"/>
      <c r="V46" s="419"/>
      <c r="W46" s="419"/>
      <c r="X46" s="419"/>
      <c r="Y46" s="419"/>
      <c r="Z46" s="419"/>
      <c r="AA46" s="419"/>
      <c r="AB46" s="419"/>
      <c r="AC46" s="419"/>
      <c r="AD46" s="420" t="str">
        <f aca="false">INDEX(PT_DIFFERENTIATION_IST_TE,MATCH(D46,PT_DIFFERENTIATION_IST_TE_ID,0))</f>
        <v/>
      </c>
      <c r="AE46" s="420"/>
      <c r="AF46" s="420"/>
      <c r="AG46" s="420"/>
      <c r="AH46" s="420"/>
      <c r="AI46" s="420"/>
      <c r="AJ46" s="420"/>
      <c r="AK46" s="420"/>
      <c r="AL46" s="420"/>
      <c r="AM46" s="421" t="s">
        <v>415</v>
      </c>
      <c r="AO46" s="118"/>
      <c r="AP46" s="118" t="str">
        <f aca="false">IF(T46="","",T46)</f>
        <v>Источник тепловой энергии</v>
      </c>
      <c r="AQ46" s="118"/>
      <c r="AR46" s="118"/>
      <c r="AS46" s="42" t="n">
        <v>23</v>
      </c>
    </row>
    <row r="47" customFormat="false" ht="49.5" hidden="false" customHeight="true" outlineLevel="0" collapsed="false">
      <c r="A47" s="412" t="s">
        <v>171</v>
      </c>
      <c r="B47" s="412" t="s">
        <v>172</v>
      </c>
      <c r="C47" s="412" t="s">
        <v>173</v>
      </c>
      <c r="D47" s="412" t="s">
        <v>174</v>
      </c>
      <c r="E47" s="413"/>
      <c r="F47" s="413"/>
      <c r="G47" s="413"/>
      <c r="H47" s="413"/>
      <c r="I47" s="428" t="str">
        <f aca="false">S46&amp;".1"</f>
        <v>....1</v>
      </c>
      <c r="J47" s="412"/>
      <c r="K47" s="412"/>
      <c r="L47" s="414" t="s">
        <v>416</v>
      </c>
      <c r="P47" s="121" t="n">
        <v>1</v>
      </c>
      <c r="Q47" s="121"/>
      <c r="R47" s="429"/>
      <c r="S47" s="416" t="str">
        <f aca="false">$I47</f>
        <v>....1</v>
      </c>
      <c r="T47" s="430" t="s">
        <v>417</v>
      </c>
      <c r="U47" s="418"/>
      <c r="V47" s="431"/>
      <c r="W47" s="431"/>
      <c r="X47" s="431"/>
      <c r="Y47" s="431"/>
      <c r="Z47" s="431"/>
      <c r="AA47" s="431"/>
      <c r="AB47" s="431"/>
      <c r="AC47" s="431"/>
      <c r="AD47" s="431"/>
      <c r="AE47" s="431"/>
      <c r="AF47" s="431"/>
      <c r="AG47" s="431"/>
      <c r="AH47" s="431"/>
      <c r="AI47" s="431"/>
      <c r="AJ47" s="431"/>
      <c r="AK47" s="431"/>
      <c r="AL47" s="431"/>
      <c r="AM47" s="421" t="s">
        <v>418</v>
      </c>
      <c r="AO47" s="118"/>
      <c r="AP47" s="118" t="str">
        <f aca="false">IF(T47="","",T47)</f>
        <v>Схема подключения теплопотребляющей установки к коллектору источника тепловой энергии</v>
      </c>
      <c r="AQ47" s="118"/>
      <c r="AR47" s="118"/>
      <c r="AS47" s="42" t="n">
        <v>47</v>
      </c>
    </row>
    <row r="48" customFormat="false" ht="24" hidden="false" customHeight="true" outlineLevel="0" collapsed="false">
      <c r="A48" s="412" t="s">
        <v>171</v>
      </c>
      <c r="B48" s="412" t="s">
        <v>172</v>
      </c>
      <c r="C48" s="412" t="s">
        <v>173</v>
      </c>
      <c r="D48" s="412" t="s">
        <v>174</v>
      </c>
      <c r="E48" s="413"/>
      <c r="F48" s="413"/>
      <c r="G48" s="413"/>
      <c r="H48" s="413"/>
      <c r="I48" s="428"/>
      <c r="J48" s="428" t="str">
        <f aca="false">I47&amp;".1"</f>
        <v>....1.1</v>
      </c>
      <c r="K48" s="412"/>
      <c r="L48" s="414" t="s">
        <v>419</v>
      </c>
      <c r="P48" s="121"/>
      <c r="Q48" s="121" t="n">
        <v>1</v>
      </c>
      <c r="R48" s="432"/>
      <c r="S48" s="416" t="str">
        <f aca="false">$J48</f>
        <v>....1.1</v>
      </c>
      <c r="T48" s="433" t="s">
        <v>420</v>
      </c>
      <c r="U48" s="418"/>
      <c r="V48" s="431"/>
      <c r="W48" s="431"/>
      <c r="X48" s="431"/>
      <c r="Y48" s="431"/>
      <c r="Z48" s="431"/>
      <c r="AA48" s="431"/>
      <c r="AB48" s="431"/>
      <c r="AC48" s="431"/>
      <c r="AD48" s="431"/>
      <c r="AE48" s="431"/>
      <c r="AF48" s="431"/>
      <c r="AG48" s="431"/>
      <c r="AH48" s="431"/>
      <c r="AI48" s="431"/>
      <c r="AJ48" s="431"/>
      <c r="AK48" s="431"/>
      <c r="AL48" s="431"/>
      <c r="AM48" s="421" t="s">
        <v>421</v>
      </c>
      <c r="AO48" s="118"/>
      <c r="AP48" s="118" t="str">
        <f aca="false">IF(T48="","",T48)</f>
        <v>Группа потребителей</v>
      </c>
      <c r="AQ48" s="118"/>
      <c r="AR48" s="118"/>
      <c r="AS48" s="42" t="n">
        <v>23</v>
      </c>
    </row>
    <row r="49" customFormat="false" ht="24" hidden="false" customHeight="true" outlineLevel="0" collapsed="false">
      <c r="A49" s="412" t="s">
        <v>171</v>
      </c>
      <c r="B49" s="412" t="s">
        <v>172</v>
      </c>
      <c r="C49" s="412" t="s">
        <v>173</v>
      </c>
      <c r="D49" s="412" t="s">
        <v>174</v>
      </c>
      <c r="E49" s="413"/>
      <c r="F49" s="413"/>
      <c r="G49" s="413"/>
      <c r="H49" s="413"/>
      <c r="I49" s="428"/>
      <c r="J49" s="428"/>
      <c r="K49" s="428" t="str">
        <f aca="false">J48&amp;".1"</f>
        <v>....1.1.1</v>
      </c>
      <c r="L49" s="414" t="s">
        <v>422</v>
      </c>
      <c r="P49" s="121"/>
      <c r="Q49" s="121"/>
      <c r="R49" s="432" t="n">
        <v>1</v>
      </c>
      <c r="S49" s="416" t="str">
        <f aca="false">$K49</f>
        <v>....1.1.1</v>
      </c>
      <c r="T49" s="434"/>
      <c r="U49" s="418"/>
      <c r="V49" s="435"/>
      <c r="W49" s="436"/>
      <c r="X49" s="435"/>
      <c r="Y49" s="437"/>
      <c r="Z49" s="438"/>
      <c r="AA49" s="204" t="s">
        <v>61</v>
      </c>
      <c r="AB49" s="438"/>
      <c r="AC49" s="204" t="s">
        <v>61</v>
      </c>
      <c r="AD49" s="435"/>
      <c r="AE49" s="436"/>
      <c r="AF49" s="435"/>
      <c r="AG49" s="437"/>
      <c r="AH49" s="438"/>
      <c r="AI49" s="204" t="s">
        <v>61</v>
      </c>
      <c r="AJ49" s="438"/>
      <c r="AK49" s="204" t="s">
        <v>61</v>
      </c>
      <c r="AL49" s="486"/>
      <c r="AM49" s="439" t="s">
        <v>423</v>
      </c>
      <c r="AN49" s="47" t="e">
        <f aca="false">strcheckdate(V50:AL50)</f>
        <v>#NAME?</v>
      </c>
      <c r="AO49" s="118"/>
      <c r="AP49" s="118" t="str">
        <f aca="false">IF(T49="","",T49)</f>
        <v/>
      </c>
      <c r="AQ49" s="118"/>
      <c r="AR49" s="118"/>
      <c r="AS49" s="42" t="n">
        <v>23</v>
      </c>
    </row>
    <row r="50" customFormat="false" ht="0.75" hidden="false" customHeight="true" outlineLevel="0" collapsed="false">
      <c r="A50" s="412" t="s">
        <v>171</v>
      </c>
      <c r="B50" s="412" t="s">
        <v>172</v>
      </c>
      <c r="C50" s="412" t="s">
        <v>173</v>
      </c>
      <c r="D50" s="412" t="s">
        <v>174</v>
      </c>
      <c r="E50" s="413"/>
      <c r="F50" s="413"/>
      <c r="G50" s="413"/>
      <c r="H50" s="413"/>
      <c r="I50" s="428"/>
      <c r="J50" s="428"/>
      <c r="K50" s="428"/>
      <c r="L50" s="414"/>
      <c r="P50" s="121"/>
      <c r="Q50" s="121"/>
      <c r="R50" s="432"/>
      <c r="S50" s="393"/>
      <c r="T50" s="418"/>
      <c r="U50" s="418"/>
      <c r="V50" s="436"/>
      <c r="W50" s="436"/>
      <c r="X50" s="436"/>
      <c r="Y50" s="440" t="str">
        <f aca="false">Z49&amp;"-"&amp;AB49</f>
        <v>-</v>
      </c>
      <c r="Z50" s="438"/>
      <c r="AA50" s="204"/>
      <c r="AB50" s="438"/>
      <c r="AC50" s="204"/>
      <c r="AD50" s="436"/>
      <c r="AE50" s="436"/>
      <c r="AF50" s="436"/>
      <c r="AG50" s="440" t="str">
        <f aca="false">AH49&amp;"-"&amp;AJ49</f>
        <v>-</v>
      </c>
      <c r="AH50" s="438"/>
      <c r="AI50" s="204"/>
      <c r="AJ50" s="438"/>
      <c r="AK50" s="204"/>
      <c r="AL50" s="487"/>
      <c r="AM50" s="439"/>
      <c r="AO50" s="118"/>
      <c r="AP50" s="118" t="str">
        <f aca="false">IF(T50="","",T50)</f>
        <v/>
      </c>
      <c r="AQ50" s="118"/>
      <c r="AR50" s="118"/>
      <c r="AS50" s="42" t="n">
        <v>1</v>
      </c>
    </row>
    <row r="51" customFormat="false" ht="11.25" hidden="false" customHeight="true" outlineLevel="0" collapsed="false">
      <c r="A51" s="412" t="s">
        <v>171</v>
      </c>
      <c r="B51" s="412" t="s">
        <v>172</v>
      </c>
      <c r="C51" s="412" t="s">
        <v>173</v>
      </c>
      <c r="D51" s="412" t="s">
        <v>174</v>
      </c>
      <c r="E51" s="413"/>
      <c r="F51" s="413"/>
      <c r="G51" s="413"/>
      <c r="H51" s="413"/>
      <c r="I51" s="428"/>
      <c r="J51" s="428"/>
      <c r="K51" s="412"/>
      <c r="L51" s="414"/>
      <c r="P51" s="121"/>
      <c r="Q51" s="121"/>
      <c r="R51" s="429"/>
      <c r="S51" s="441"/>
      <c r="T51" s="442" t="s">
        <v>424</v>
      </c>
      <c r="U51" s="194"/>
      <c r="V51" s="194"/>
      <c r="W51" s="194"/>
      <c r="X51" s="194"/>
      <c r="Y51" s="194"/>
      <c r="Z51" s="194"/>
      <c r="AA51" s="194"/>
      <c r="AB51" s="194"/>
      <c r="AC51" s="194"/>
      <c r="AD51" s="194"/>
      <c r="AE51" s="194"/>
      <c r="AF51" s="194"/>
      <c r="AG51" s="194"/>
      <c r="AH51" s="194"/>
      <c r="AI51" s="194"/>
      <c r="AJ51" s="194"/>
      <c r="AK51" s="194"/>
      <c r="AL51" s="443"/>
      <c r="AM51" s="439"/>
      <c r="AO51" s="118"/>
      <c r="AP51" s="118" t="str">
        <f aca="false">IF(T51="","",T51)</f>
        <v>Добавить вид теплоносителя (параметры теплоносителя)</v>
      </c>
      <c r="AQ51" s="118"/>
      <c r="AR51" s="118"/>
      <c r="AS51" s="42" t="n">
        <v>11</v>
      </c>
    </row>
    <row r="52" customFormat="false" ht="11.25" hidden="false" customHeight="true" outlineLevel="0" collapsed="false">
      <c r="A52" s="412" t="s">
        <v>171</v>
      </c>
      <c r="B52" s="412" t="s">
        <v>172</v>
      </c>
      <c r="C52" s="412" t="s">
        <v>173</v>
      </c>
      <c r="D52" s="412" t="s">
        <v>174</v>
      </c>
      <c r="E52" s="413"/>
      <c r="F52" s="413"/>
      <c r="G52" s="413"/>
      <c r="H52" s="413"/>
      <c r="I52" s="428"/>
      <c r="J52" s="412"/>
      <c r="K52" s="412"/>
      <c r="L52" s="414"/>
      <c r="P52" s="121"/>
      <c r="Q52" s="121"/>
      <c r="R52" s="429"/>
      <c r="S52" s="441"/>
      <c r="T52" s="444" t="s">
        <v>425</v>
      </c>
      <c r="U52" s="194"/>
      <c r="V52" s="194"/>
      <c r="W52" s="194"/>
      <c r="X52" s="194"/>
      <c r="Y52" s="194"/>
      <c r="Z52" s="194"/>
      <c r="AA52" s="194"/>
      <c r="AB52" s="194"/>
      <c r="AC52" s="445"/>
      <c r="AD52" s="194"/>
      <c r="AE52" s="194"/>
      <c r="AF52" s="194"/>
      <c r="AG52" s="194"/>
      <c r="AH52" s="194"/>
      <c r="AI52" s="194"/>
      <c r="AJ52" s="194"/>
      <c r="AK52" s="445"/>
      <c r="AL52" s="194"/>
      <c r="AM52" s="446"/>
      <c r="AO52" s="118"/>
      <c r="AP52" s="118" t="str">
        <f aca="false">IF(T52="","",T52)</f>
        <v>Добавить группу потребителей</v>
      </c>
      <c r="AQ52" s="118"/>
      <c r="AR52" s="118"/>
      <c r="AS52" s="42" t="n">
        <v>11</v>
      </c>
    </row>
    <row r="53" customFormat="false" ht="14.25" hidden="false" customHeight="true" outlineLevel="0" collapsed="false">
      <c r="A53" s="412" t="s">
        <v>171</v>
      </c>
      <c r="B53" s="412" t="s">
        <v>172</v>
      </c>
      <c r="C53" s="412" t="s">
        <v>173</v>
      </c>
      <c r="D53" s="412" t="s">
        <v>174</v>
      </c>
      <c r="E53" s="413"/>
      <c r="F53" s="413"/>
      <c r="G53" s="413"/>
      <c r="H53" s="413"/>
      <c r="I53" s="412"/>
      <c r="J53" s="412"/>
      <c r="K53" s="412"/>
      <c r="L53" s="414"/>
      <c r="M53" s="40"/>
      <c r="N53" s="40"/>
      <c r="O53" s="45"/>
      <c r="P53" s="132"/>
      <c r="Q53" s="447"/>
      <c r="R53" s="415"/>
      <c r="S53" s="441"/>
      <c r="T53" s="448" t="s">
        <v>426</v>
      </c>
      <c r="U53" s="194"/>
      <c r="V53" s="194"/>
      <c r="W53" s="194"/>
      <c r="X53" s="194"/>
      <c r="Y53" s="194"/>
      <c r="Z53" s="194"/>
      <c r="AA53" s="194"/>
      <c r="AB53" s="194"/>
      <c r="AC53" s="445"/>
      <c r="AD53" s="194"/>
      <c r="AE53" s="194"/>
      <c r="AF53" s="194"/>
      <c r="AG53" s="194"/>
      <c r="AH53" s="194"/>
      <c r="AI53" s="194"/>
      <c r="AJ53" s="194"/>
      <c r="AK53" s="445"/>
      <c r="AL53" s="194"/>
      <c r="AM53" s="446"/>
      <c r="AO53" s="118"/>
      <c r="AP53" s="118" t="str">
        <f aca="false">IF(T53="","",T53)</f>
        <v>Добавить схему подключения</v>
      </c>
      <c r="AQ53" s="118"/>
      <c r="AR53" s="118"/>
      <c r="AS53" s="42" t="n">
        <v>14</v>
      </c>
    </row>
    <row r="54" s="47" customFormat="true" ht="0.75" hidden="false" customHeight="true" outlineLevel="0" collapsed="false">
      <c r="A54" s="122" t="s">
        <v>171</v>
      </c>
      <c r="B54" s="122" t="s">
        <v>172</v>
      </c>
      <c r="C54" s="122" t="s">
        <v>173</v>
      </c>
      <c r="D54" s="122"/>
      <c r="E54" s="413"/>
      <c r="F54" s="413"/>
      <c r="G54" s="413"/>
      <c r="H54" s="122"/>
      <c r="I54" s="122"/>
      <c r="J54" s="122"/>
      <c r="K54" s="122"/>
      <c r="L54" s="192"/>
      <c r="M54" s="46"/>
      <c r="N54" s="46"/>
      <c r="P54" s="156"/>
      <c r="Q54" s="449"/>
      <c r="R54" s="156"/>
      <c r="S54" s="454"/>
      <c r="T54" s="457" t="s">
        <v>427</v>
      </c>
      <c r="U54" s="456"/>
      <c r="V54" s="456"/>
      <c r="W54" s="456"/>
      <c r="X54" s="456"/>
      <c r="Y54" s="456"/>
      <c r="Z54" s="456"/>
      <c r="AA54" s="456"/>
      <c r="AB54" s="456"/>
      <c r="AC54" s="456"/>
      <c r="AD54" s="456"/>
      <c r="AE54" s="456"/>
      <c r="AF54" s="456"/>
      <c r="AG54" s="456"/>
      <c r="AH54" s="456"/>
      <c r="AI54" s="456"/>
      <c r="AJ54" s="456"/>
      <c r="AK54" s="456"/>
      <c r="AL54" s="456"/>
      <c r="AM54" s="456"/>
      <c r="AO54" s="118"/>
      <c r="AP54" s="118" t="str">
        <f aca="false">IF(T54="","",T54)</f>
        <v>Добавить источник для дифференциации</v>
      </c>
      <c r="AQ54" s="118"/>
      <c r="AR54" s="118"/>
      <c r="AS54" s="47" t="n">
        <v>1</v>
      </c>
    </row>
    <row r="55" s="47" customFormat="true" ht="0.75" hidden="false" customHeight="true" outlineLevel="0" collapsed="false">
      <c r="A55" s="122" t="s">
        <v>171</v>
      </c>
      <c r="B55" s="122" t="s">
        <v>172</v>
      </c>
      <c r="C55" s="122"/>
      <c r="D55" s="122"/>
      <c r="E55" s="413"/>
      <c r="F55" s="413"/>
      <c r="G55" s="122"/>
      <c r="H55" s="122"/>
      <c r="I55" s="122"/>
      <c r="J55" s="122"/>
      <c r="K55" s="122"/>
      <c r="L55" s="192"/>
      <c r="M55" s="453"/>
      <c r="N55" s="453"/>
      <c r="P55" s="156"/>
      <c r="Q55" s="449"/>
      <c r="R55" s="156"/>
      <c r="S55" s="454"/>
      <c r="T55" s="457" t="s">
        <v>428</v>
      </c>
      <c r="U55" s="456"/>
      <c r="V55" s="456"/>
      <c r="W55" s="456"/>
      <c r="X55" s="456"/>
      <c r="Y55" s="456"/>
      <c r="Z55" s="456"/>
      <c r="AA55" s="456"/>
      <c r="AB55" s="456"/>
      <c r="AC55" s="456"/>
      <c r="AD55" s="456"/>
      <c r="AE55" s="456"/>
      <c r="AF55" s="456"/>
      <c r="AG55" s="456"/>
      <c r="AH55" s="456"/>
      <c r="AI55" s="456"/>
      <c r="AJ55" s="456"/>
      <c r="AK55" s="456"/>
      <c r="AL55" s="456"/>
      <c r="AM55" s="456"/>
      <c r="AO55" s="118"/>
      <c r="AP55" s="118" t="str">
        <f aca="false">IF(T55="","",T55)</f>
        <v>Добавить централизованную систему для дифференциации</v>
      </c>
      <c r="AQ55" s="118"/>
      <c r="AR55" s="118"/>
      <c r="AS55" s="47" t="n">
        <v>1</v>
      </c>
    </row>
    <row r="56" s="47" customFormat="true" ht="0.75" hidden="false" customHeight="true" outlineLevel="0" collapsed="false">
      <c r="A56" s="122" t="s">
        <v>171</v>
      </c>
      <c r="B56" s="122"/>
      <c r="C56" s="122"/>
      <c r="D56" s="122"/>
      <c r="E56" s="413"/>
      <c r="F56" s="122"/>
      <c r="G56" s="122"/>
      <c r="H56" s="122"/>
      <c r="I56" s="122"/>
      <c r="J56" s="122"/>
      <c r="K56" s="122"/>
      <c r="L56" s="192"/>
      <c r="M56" s="453"/>
      <c r="N56" s="453"/>
      <c r="P56" s="156"/>
      <c r="Q56" s="449"/>
      <c r="R56" s="156"/>
      <c r="S56" s="454"/>
      <c r="T56" s="457" t="s">
        <v>429</v>
      </c>
      <c r="U56" s="456"/>
      <c r="V56" s="456"/>
      <c r="W56" s="456"/>
      <c r="X56" s="456"/>
      <c r="Y56" s="456"/>
      <c r="Z56" s="456"/>
      <c r="AA56" s="456"/>
      <c r="AB56" s="456"/>
      <c r="AC56" s="456"/>
      <c r="AD56" s="456"/>
      <c r="AE56" s="456"/>
      <c r="AF56" s="456"/>
      <c r="AG56" s="456"/>
      <c r="AH56" s="456"/>
      <c r="AI56" s="456"/>
      <c r="AJ56" s="456"/>
      <c r="AK56" s="456"/>
      <c r="AL56" s="456"/>
      <c r="AM56" s="456"/>
      <c r="AO56" s="118"/>
      <c r="AP56" s="118" t="str">
        <f aca="false">IF(T56="","",T56)</f>
        <v>Добавить территорию для дифференциации</v>
      </c>
      <c r="AQ56" s="118"/>
      <c r="AR56" s="118"/>
      <c r="AS56" s="47" t="n">
        <v>1</v>
      </c>
    </row>
    <row r="57" s="47" customFormat="true" ht="0.75" hidden="false" customHeight="true" outlineLevel="0" collapsed="false">
      <c r="A57" s="122"/>
      <c r="B57" s="122"/>
      <c r="C57" s="122"/>
      <c r="D57" s="122"/>
      <c r="E57" s="122"/>
      <c r="F57" s="122"/>
      <c r="G57" s="122"/>
      <c r="H57" s="122"/>
      <c r="I57" s="122"/>
      <c r="J57" s="122"/>
      <c r="K57" s="122"/>
      <c r="L57" s="192"/>
      <c r="M57" s="453"/>
      <c r="N57" s="453"/>
      <c r="P57" s="156"/>
      <c r="Q57" s="449"/>
      <c r="R57" s="156"/>
      <c r="S57" s="454"/>
      <c r="T57" s="457" t="s">
        <v>461</v>
      </c>
      <c r="U57" s="456"/>
      <c r="V57" s="456"/>
      <c r="W57" s="456"/>
      <c r="X57" s="456"/>
      <c r="Y57" s="456"/>
      <c r="Z57" s="456"/>
      <c r="AA57" s="456"/>
      <c r="AB57" s="456"/>
      <c r="AC57" s="456"/>
      <c r="AD57" s="456"/>
      <c r="AE57" s="456"/>
      <c r="AF57" s="456"/>
      <c r="AG57" s="456"/>
      <c r="AH57" s="456"/>
      <c r="AI57" s="456"/>
      <c r="AJ57" s="456"/>
      <c r="AK57" s="456"/>
      <c r="AL57" s="456"/>
      <c r="AM57" s="456"/>
      <c r="AO57" s="118"/>
      <c r="AP57" s="118" t="str">
        <f aca="false">IF(T57="","",T57)</f>
        <v>Добавить наименование тарифа</v>
      </c>
      <c r="AQ57" s="118"/>
      <c r="AR57" s="118"/>
      <c r="AS57" s="47"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09"/>
      <c r="T59" s="488"/>
      <c r="U59" s="488"/>
      <c r="V59" s="488"/>
      <c r="W59" s="488"/>
      <c r="X59" s="488"/>
      <c r="Y59" s="488"/>
      <c r="Z59" s="488"/>
      <c r="AA59" s="488"/>
      <c r="AB59" s="488"/>
      <c r="AC59" s="488"/>
      <c r="AD59" s="488"/>
      <c r="AE59" s="488"/>
      <c r="AF59" s="488"/>
      <c r="AG59" s="488"/>
      <c r="AH59" s="488"/>
      <c r="AI59" s="488"/>
      <c r="AJ59" s="488"/>
      <c r="AK59" s="488"/>
      <c r="AL59" s="488"/>
      <c r="AM59" s="488"/>
      <c r="AS59" s="42" t="n">
        <v>27</v>
      </c>
    </row>
    <row r="60" customFormat="false" ht="66.75" hidden="false" customHeight="true" outlineLevel="0" collapsed="false">
      <c r="O60" s="45"/>
      <c r="T60" s="488"/>
      <c r="U60" s="488"/>
      <c r="V60" s="488"/>
      <c r="W60" s="488"/>
      <c r="X60" s="488"/>
      <c r="Y60" s="488"/>
      <c r="Z60" s="488"/>
      <c r="AA60" s="488"/>
      <c r="AB60" s="488"/>
      <c r="AC60" s="488"/>
      <c r="AD60" s="488"/>
      <c r="AE60" s="488"/>
      <c r="AF60" s="488"/>
      <c r="AG60" s="488"/>
      <c r="AH60" s="488"/>
      <c r="AI60" s="488"/>
      <c r="AJ60" s="488"/>
      <c r="AK60" s="488"/>
      <c r="AL60" s="488"/>
      <c r="AM60" s="488"/>
      <c r="AS60" s="42" t="n">
        <v>64</v>
      </c>
    </row>
    <row r="61" customFormat="false" ht="14.25" hidden="false" customHeight="true" outlineLevel="0" collapsed="false">
      <c r="O61" s="45"/>
      <c r="AS61" s="42" t="n">
        <v>14</v>
      </c>
    </row>
    <row r="62" customFormat="false" ht="18.75" hidden="false" customHeight="true" outlineLevel="0" collapsed="false">
      <c r="O62" s="45"/>
      <c r="S62" s="409"/>
      <c r="T62" s="488"/>
      <c r="U62" s="488"/>
      <c r="V62" s="488"/>
      <c r="W62" s="488"/>
      <c r="X62" s="488"/>
      <c r="Y62" s="488"/>
      <c r="Z62" s="488"/>
      <c r="AA62" s="488"/>
      <c r="AB62" s="488"/>
      <c r="AC62" s="488"/>
      <c r="AD62" s="488"/>
      <c r="AE62" s="488"/>
      <c r="AF62" s="488"/>
      <c r="AG62" s="488"/>
      <c r="AH62" s="488"/>
      <c r="AI62" s="488"/>
      <c r="AJ62" s="488"/>
      <c r="AK62" s="488"/>
      <c r="AL62" s="488"/>
      <c r="AM62" s="488"/>
      <c r="AS62" s="42" t="n">
        <v>18</v>
      </c>
    </row>
    <row r="63" customFormat="false" ht="18.75" hidden="false" customHeight="true" outlineLevel="0" collapsed="false">
      <c r="O63" s="45"/>
      <c r="T63" s="488"/>
      <c r="U63" s="488"/>
      <c r="V63" s="488"/>
      <c r="W63" s="488"/>
      <c r="X63" s="488"/>
      <c r="Y63" s="488"/>
      <c r="Z63" s="488"/>
      <c r="AA63" s="488"/>
      <c r="AB63" s="488"/>
      <c r="AC63" s="488"/>
      <c r="AD63" s="488"/>
      <c r="AE63" s="488"/>
      <c r="AF63" s="488"/>
      <c r="AG63" s="488"/>
      <c r="AH63" s="488"/>
      <c r="AI63" s="488"/>
      <c r="AJ63" s="488"/>
      <c r="AK63" s="488"/>
      <c r="AL63" s="488"/>
      <c r="AM63" s="488"/>
      <c r="AS63" s="42" t="n">
        <v>18</v>
      </c>
    </row>
    <row r="64" customFormat="false" ht="29.25" hidden="false" customHeight="true" outlineLevel="0" collapsed="false">
      <c r="O64" s="45"/>
      <c r="S64" s="409"/>
      <c r="T64" s="488"/>
      <c r="U64" s="488"/>
      <c r="V64" s="488"/>
      <c r="W64" s="488"/>
      <c r="X64" s="488"/>
      <c r="Y64" s="488"/>
      <c r="Z64" s="488"/>
      <c r="AA64" s="488"/>
      <c r="AB64" s="488"/>
      <c r="AC64" s="488"/>
      <c r="AD64" s="488"/>
      <c r="AE64" s="488"/>
      <c r="AF64" s="488"/>
      <c r="AG64" s="488"/>
      <c r="AH64" s="488"/>
      <c r="AI64" s="488"/>
      <c r="AJ64" s="488"/>
      <c r="AK64" s="488"/>
      <c r="AL64" s="488"/>
      <c r="AM64" s="488"/>
      <c r="AS64" s="42" t="n">
        <v>28</v>
      </c>
    </row>
    <row r="65" customFormat="false" ht="22.5" hidden="true" customHeight="true" outlineLevel="0" collapsed="false">
      <c r="A65" s="45" t="s">
        <v>81</v>
      </c>
      <c r="B65" s="45" t="n">
        <v>0</v>
      </c>
      <c r="C65" s="45" t="n">
        <v>0</v>
      </c>
      <c r="D65" s="45" t="n">
        <v>0</v>
      </c>
      <c r="E65" s="45" t="n">
        <v>0</v>
      </c>
      <c r="F65" s="45" t="n">
        <v>0</v>
      </c>
      <c r="G65" s="45" t="n">
        <v>0</v>
      </c>
      <c r="H65" s="45" t="n">
        <v>0</v>
      </c>
      <c r="I65" s="45" t="n">
        <v>0</v>
      </c>
      <c r="J65" s="45" t="n">
        <v>0</v>
      </c>
      <c r="K65" s="45" t="n">
        <v>0</v>
      </c>
      <c r="L65" s="44" t="n">
        <v>0</v>
      </c>
      <c r="M65" s="51" t="n">
        <v>0</v>
      </c>
      <c r="N65" s="51" t="n">
        <v>0</v>
      </c>
      <c r="O65" s="51" t="n">
        <v>0</v>
      </c>
      <c r="P65" s="50" t="n">
        <v>3</v>
      </c>
      <c r="Q65" s="411" t="n">
        <v>3</v>
      </c>
      <c r="R65" s="411" t="n">
        <v>3</v>
      </c>
      <c r="S65" s="75" t="n">
        <v>12</v>
      </c>
      <c r="T65" s="42" t="n">
        <v>35</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7" t="n">
        <v>10</v>
      </c>
      <c r="AO65" s="47" t="n">
        <v>10</v>
      </c>
      <c r="AP65" s="47" t="n">
        <v>10</v>
      </c>
      <c r="AQ65" s="47" t="n">
        <v>10</v>
      </c>
      <c r="AR65" s="47"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
    <col collapsed="false" customWidth="true" hidden="false" outlineLevel="0" max="18" min="17" style="411" width="3"/>
    <col collapsed="false" customWidth="true" hidden="false" outlineLevel="0" max="19" min="19" style="75" width="12"/>
    <col collapsed="false" customWidth="true" hidden="false" outlineLevel="0" max="20" min="20" style="42" width="31"/>
    <col collapsed="false" customWidth="true" hidden="false" outlineLevel="0" max="21" min="21" style="42" width="0.14"/>
    <col collapsed="false" customWidth="true" hidden="true" outlineLevel="0" max="22" min="22" style="42" width="24.71"/>
    <col collapsed="false" customWidth="true" hidden="true" outlineLevel="0" max="23" min="23" style="42" width="0.14"/>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4"/>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7"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12"/>
      <c r="B2" s="412"/>
      <c r="C2" s="412"/>
      <c r="D2" s="412"/>
      <c r="E2" s="413" t="n">
        <v>1</v>
      </c>
      <c r="F2" s="412"/>
      <c r="G2" s="412"/>
      <c r="H2" s="412"/>
      <c r="I2" s="412"/>
      <c r="J2" s="412"/>
      <c r="K2" s="412"/>
      <c r="L2" s="414"/>
      <c r="M2" s="40"/>
      <c r="N2" s="40"/>
      <c r="O2" s="40"/>
      <c r="Q2" s="132"/>
      <c r="R2" s="415"/>
      <c r="S2" s="416" t="e">
        <f aca="false">INDEX(PT_DIFFERENTIATION_NUM_NTAR,MATCH(A2,PT_DIFFERENTIATION_NTAR_ID,0))</f>
        <v>#N/A</v>
      </c>
      <c r="T2" s="417" t="s">
        <v>138</v>
      </c>
      <c r="U2" s="418"/>
      <c r="V2" s="419"/>
      <c r="W2" s="419"/>
      <c r="X2" s="419"/>
      <c r="Y2" s="419"/>
      <c r="Z2" s="419"/>
      <c r="AA2" s="419"/>
      <c r="AB2" s="419"/>
      <c r="AC2" s="419"/>
      <c r="AD2" s="420" t="e">
        <f aca="false">INDEX(PT_DIFFERENTIATION_NTAR,MATCH(A2,PT_DIFFERENTIATION_NTAR_ID,0))</f>
        <v>#N/A</v>
      </c>
      <c r="AE2" s="420"/>
      <c r="AF2" s="420"/>
      <c r="AG2" s="420"/>
      <c r="AH2" s="420"/>
      <c r="AI2" s="420"/>
      <c r="AJ2" s="420"/>
      <c r="AK2" s="420"/>
      <c r="AL2" s="420"/>
      <c r="AM2" s="421" t="s">
        <v>409</v>
      </c>
      <c r="AO2" s="118"/>
      <c r="AP2" s="118" t="str">
        <f aca="false">IF(T2="","",T2)</f>
        <v>Наименование тарифа</v>
      </c>
      <c r="AQ2" s="118"/>
      <c r="AR2" s="118"/>
      <c r="AS2" s="42" t="n">
        <v>0</v>
      </c>
    </row>
    <row r="3" customFormat="false" ht="21" hidden="true" customHeight="true" outlineLevel="0" collapsed="false">
      <c r="A3" s="412"/>
      <c r="B3" s="412"/>
      <c r="C3" s="412"/>
      <c r="D3" s="412"/>
      <c r="E3" s="413"/>
      <c r="F3" s="413" t="n">
        <v>1</v>
      </c>
      <c r="G3" s="412"/>
      <c r="H3" s="412"/>
      <c r="I3" s="412"/>
      <c r="J3" s="412"/>
      <c r="K3" s="412"/>
      <c r="L3" s="414"/>
      <c r="M3" s="40"/>
      <c r="N3" s="40"/>
      <c r="O3" s="40"/>
      <c r="P3" s="43"/>
      <c r="Q3" s="422"/>
      <c r="R3" s="423"/>
      <c r="S3" s="416" t="e">
        <f aca="false">INDEX(PT_DIFFERENTIATION_NUM_TER,MATCH(B3,PT_DIFFERENTIATION_TER_ID,0))</f>
        <v>#N/A</v>
      </c>
      <c r="T3" s="424" t="s">
        <v>410</v>
      </c>
      <c r="U3" s="418"/>
      <c r="V3" s="419"/>
      <c r="W3" s="419"/>
      <c r="X3" s="419"/>
      <c r="Y3" s="419"/>
      <c r="Z3" s="419"/>
      <c r="AA3" s="419"/>
      <c r="AB3" s="419"/>
      <c r="AC3" s="419"/>
      <c r="AD3" s="420" t="e">
        <f aca="false">INDEX(PT_DIFFERENTIATION_TER,MATCH(B3,PT_DIFFERENTIATION_TER_ID,0))</f>
        <v>#N/A</v>
      </c>
      <c r="AE3" s="420"/>
      <c r="AF3" s="420"/>
      <c r="AG3" s="420"/>
      <c r="AH3" s="420"/>
      <c r="AI3" s="420"/>
      <c r="AJ3" s="420"/>
      <c r="AK3" s="420"/>
      <c r="AL3" s="420"/>
      <c r="AM3" s="421" t="s">
        <v>411</v>
      </c>
      <c r="AO3" s="118"/>
      <c r="AP3" s="118" t="str">
        <f aca="false">IF(T3="","",T3)</f>
        <v>Территория действия тарифа</v>
      </c>
      <c r="AQ3" s="118"/>
      <c r="AR3" s="118"/>
      <c r="AS3" s="42" t="n">
        <v>0</v>
      </c>
    </row>
    <row r="4" customFormat="false" ht="23.25" hidden="true" customHeight="true" outlineLevel="0" collapsed="false">
      <c r="A4" s="412"/>
      <c r="B4" s="412"/>
      <c r="C4" s="412"/>
      <c r="D4" s="412"/>
      <c r="E4" s="413"/>
      <c r="F4" s="413"/>
      <c r="G4" s="413" t="n">
        <v>1</v>
      </c>
      <c r="H4" s="412"/>
      <c r="I4" s="412"/>
      <c r="J4" s="412"/>
      <c r="K4" s="412"/>
      <c r="L4" s="414"/>
      <c r="M4" s="40"/>
      <c r="N4" s="40"/>
      <c r="O4" s="40"/>
      <c r="P4" s="425"/>
      <c r="Q4" s="422"/>
      <c r="R4" s="423"/>
      <c r="S4" s="416" t="e">
        <f aca="false">INDEX(PT_DIFFERENTIATION_NUM_CS,MATCH(C4,PT_DIFFERENTIATION_CS_ID,0))</f>
        <v>#N/A</v>
      </c>
      <c r="T4" s="426" t="s">
        <v>412</v>
      </c>
      <c r="U4" s="418"/>
      <c r="V4" s="419"/>
      <c r="W4" s="419"/>
      <c r="X4" s="419"/>
      <c r="Y4" s="419"/>
      <c r="Z4" s="419"/>
      <c r="AA4" s="419"/>
      <c r="AB4" s="419"/>
      <c r="AC4" s="419"/>
      <c r="AD4" s="420" t="e">
        <f aca="false">INDEX(PT_DIFFERENTIATION_CS,MATCH(C4,PT_DIFFERENTIATION_CS_ID,0))</f>
        <v>#N/A</v>
      </c>
      <c r="AE4" s="420"/>
      <c r="AF4" s="420"/>
      <c r="AG4" s="420"/>
      <c r="AH4" s="420"/>
      <c r="AI4" s="420"/>
      <c r="AJ4" s="420"/>
      <c r="AK4" s="420"/>
      <c r="AL4" s="420"/>
      <c r="AM4" s="421" t="s">
        <v>413</v>
      </c>
      <c r="AO4" s="118"/>
      <c r="AP4" s="118" t="str">
        <f aca="false">IF(T4="","",T4)</f>
        <v>Наименование системы теплоснабжения</v>
      </c>
      <c r="AQ4" s="118"/>
      <c r="AR4" s="118"/>
      <c r="AS4" s="42" t="n">
        <v>0</v>
      </c>
    </row>
    <row r="5" customFormat="false" ht="21" hidden="true" customHeight="true" outlineLevel="0" collapsed="false">
      <c r="A5" s="412"/>
      <c r="B5" s="412"/>
      <c r="C5" s="412"/>
      <c r="D5" s="412"/>
      <c r="E5" s="413"/>
      <c r="F5" s="413"/>
      <c r="G5" s="413"/>
      <c r="H5" s="413" t="n">
        <v>1</v>
      </c>
      <c r="I5" s="412"/>
      <c r="J5" s="412"/>
      <c r="K5" s="412"/>
      <c r="L5" s="414"/>
      <c r="M5" s="40"/>
      <c r="N5" s="40"/>
      <c r="O5" s="40"/>
      <c r="P5" s="425"/>
      <c r="Q5" s="422"/>
      <c r="R5" s="423"/>
      <c r="S5" s="416" t="e">
        <f aca="false">INDEX(PT_DIFFERENTIATION_NUM_IST_TE,MATCH(D5,PT_DIFFERENTIATION_IST_TE_ID,0))</f>
        <v>#N/A</v>
      </c>
      <c r="T5" s="427" t="s">
        <v>414</v>
      </c>
      <c r="U5" s="418"/>
      <c r="V5" s="419"/>
      <c r="W5" s="419"/>
      <c r="X5" s="419"/>
      <c r="Y5" s="419"/>
      <c r="Z5" s="419"/>
      <c r="AA5" s="419"/>
      <c r="AB5" s="419"/>
      <c r="AC5" s="419"/>
      <c r="AD5" s="420" t="e">
        <f aca="false">INDEX(PT_DIFFERENTIATION_IST_TE,MATCH(D5,PT_DIFFERENTIATION_IST_TE_ID,0))</f>
        <v>#N/A</v>
      </c>
      <c r="AE5" s="420"/>
      <c r="AF5" s="420"/>
      <c r="AG5" s="420"/>
      <c r="AH5" s="420"/>
      <c r="AI5" s="420"/>
      <c r="AJ5" s="420"/>
      <c r="AK5" s="420"/>
      <c r="AL5" s="420"/>
      <c r="AM5" s="421" t="s">
        <v>415</v>
      </c>
      <c r="AO5" s="118"/>
      <c r="AP5" s="118" t="str">
        <f aca="false">IF(T5="","",T5)</f>
        <v>Источник тепловой энергии</v>
      </c>
      <c r="AQ5" s="118"/>
      <c r="AR5" s="118"/>
      <c r="AS5" s="42" t="n">
        <v>0</v>
      </c>
    </row>
    <row r="6" customFormat="false" ht="47.25" hidden="true" customHeight="true" outlineLevel="0" collapsed="false">
      <c r="A6" s="412"/>
      <c r="B6" s="412"/>
      <c r="C6" s="412"/>
      <c r="D6" s="412"/>
      <c r="E6" s="413"/>
      <c r="F6" s="413"/>
      <c r="G6" s="413"/>
      <c r="H6" s="413"/>
      <c r="I6" s="428" t="e">
        <f aca="false">S5&amp;".1"</f>
        <v>#N/A</v>
      </c>
      <c r="J6" s="412"/>
      <c r="K6" s="412"/>
      <c r="L6" s="414" t="s">
        <v>416</v>
      </c>
      <c r="M6" s="45"/>
      <c r="P6" s="121" t="n">
        <v>1</v>
      </c>
      <c r="Q6" s="121"/>
      <c r="R6" s="429"/>
      <c r="S6" s="416" t="e">
        <f aca="false">$I6</f>
        <v>#N/A</v>
      </c>
      <c r="T6" s="430" t="s">
        <v>417</v>
      </c>
      <c r="U6" s="418"/>
      <c r="V6" s="431"/>
      <c r="W6" s="431"/>
      <c r="X6" s="431"/>
      <c r="Y6" s="431"/>
      <c r="Z6" s="431"/>
      <c r="AA6" s="431"/>
      <c r="AB6" s="431"/>
      <c r="AC6" s="431"/>
      <c r="AD6" s="431"/>
      <c r="AE6" s="431"/>
      <c r="AF6" s="431"/>
      <c r="AG6" s="431"/>
      <c r="AH6" s="431"/>
      <c r="AI6" s="431"/>
      <c r="AJ6" s="431"/>
      <c r="AK6" s="431"/>
      <c r="AL6" s="431"/>
      <c r="AM6" s="421" t="s">
        <v>418</v>
      </c>
      <c r="AO6" s="118"/>
      <c r="AP6" s="118" t="str">
        <f aca="false">IF(T6="","",T6)</f>
        <v>Схема подключения теплопотребляющей установки к коллектору источника тепловой энергии</v>
      </c>
      <c r="AQ6" s="118"/>
      <c r="AR6" s="118"/>
      <c r="AS6" s="42" t="n">
        <v>0</v>
      </c>
    </row>
    <row r="7" customFormat="false" ht="21" hidden="true" customHeight="true" outlineLevel="0" collapsed="false">
      <c r="A7" s="412"/>
      <c r="B7" s="412"/>
      <c r="C7" s="412"/>
      <c r="D7" s="412"/>
      <c r="E7" s="413"/>
      <c r="F7" s="413"/>
      <c r="G7" s="413"/>
      <c r="H7" s="413"/>
      <c r="I7" s="428"/>
      <c r="J7" s="428" t="e">
        <f aca="false">I6&amp;".1"</f>
        <v>#N/A</v>
      </c>
      <c r="K7" s="412"/>
      <c r="L7" s="414" t="s">
        <v>419</v>
      </c>
      <c r="M7" s="45"/>
      <c r="N7" s="45"/>
      <c r="P7" s="121"/>
      <c r="Q7" s="121" t="n">
        <v>1</v>
      </c>
      <c r="R7" s="432"/>
      <c r="S7" s="416" t="e">
        <f aca="false">$J7</f>
        <v>#N/A</v>
      </c>
      <c r="T7" s="433" t="s">
        <v>420</v>
      </c>
      <c r="U7" s="418"/>
      <c r="V7" s="431"/>
      <c r="W7" s="431"/>
      <c r="X7" s="431"/>
      <c r="Y7" s="431"/>
      <c r="Z7" s="431"/>
      <c r="AA7" s="431"/>
      <c r="AB7" s="431"/>
      <c r="AC7" s="431"/>
      <c r="AD7" s="431"/>
      <c r="AE7" s="431"/>
      <c r="AF7" s="431"/>
      <c r="AG7" s="431"/>
      <c r="AH7" s="431"/>
      <c r="AI7" s="431"/>
      <c r="AJ7" s="431"/>
      <c r="AK7" s="431"/>
      <c r="AL7" s="431"/>
      <c r="AM7" s="421" t="s">
        <v>421</v>
      </c>
      <c r="AO7" s="118"/>
      <c r="AP7" s="118" t="str">
        <f aca="false">IF(T7="","",T7)</f>
        <v>Группа потребителей</v>
      </c>
      <c r="AQ7" s="118"/>
      <c r="AR7" s="118"/>
      <c r="AS7" s="42" t="n">
        <v>0</v>
      </c>
    </row>
    <row r="8" customFormat="false" ht="21" hidden="true" customHeight="true" outlineLevel="0" collapsed="false">
      <c r="A8" s="412"/>
      <c r="B8" s="412"/>
      <c r="C8" s="412"/>
      <c r="D8" s="412"/>
      <c r="E8" s="413"/>
      <c r="F8" s="413"/>
      <c r="G8" s="413"/>
      <c r="H8" s="413"/>
      <c r="I8" s="428"/>
      <c r="J8" s="428"/>
      <c r="K8" s="428" t="e">
        <f aca="false">J7&amp;".1"</f>
        <v>#N/A</v>
      </c>
      <c r="L8" s="414" t="s">
        <v>422</v>
      </c>
      <c r="M8" s="45"/>
      <c r="N8" s="45"/>
      <c r="O8" s="45"/>
      <c r="P8" s="121"/>
      <c r="Q8" s="121"/>
      <c r="R8" s="432" t="n">
        <v>1</v>
      </c>
      <c r="S8" s="416" t="e">
        <f aca="false">$K8</f>
        <v>#N/A</v>
      </c>
      <c r="T8" s="434"/>
      <c r="U8" s="418"/>
      <c r="V8" s="435"/>
      <c r="W8" s="436"/>
      <c r="X8" s="435"/>
      <c r="Y8" s="437"/>
      <c r="Z8" s="438"/>
      <c r="AA8" s="204" t="s">
        <v>61</v>
      </c>
      <c r="AB8" s="438"/>
      <c r="AC8" s="204" t="s">
        <v>61</v>
      </c>
      <c r="AD8" s="435"/>
      <c r="AE8" s="436"/>
      <c r="AF8" s="435"/>
      <c r="AG8" s="437"/>
      <c r="AH8" s="438"/>
      <c r="AI8" s="204" t="s">
        <v>61</v>
      </c>
      <c r="AJ8" s="438"/>
      <c r="AK8" s="204" t="s">
        <v>61</v>
      </c>
      <c r="AL8" s="436"/>
      <c r="AM8" s="439" t="s">
        <v>423</v>
      </c>
      <c r="AN8" s="47" t="e">
        <f aca="false">strcheckdate(V9:AL9)</f>
        <v>#NAME?</v>
      </c>
      <c r="AO8" s="118"/>
      <c r="AP8" s="118" t="str">
        <f aca="false">IF(T8="","",T8)</f>
        <v/>
      </c>
      <c r="AQ8" s="118"/>
      <c r="AR8" s="118"/>
      <c r="AS8" s="42" t="n">
        <v>0</v>
      </c>
    </row>
    <row r="9" customFormat="false" ht="0.75" hidden="true" customHeight="true" outlineLevel="0" collapsed="false">
      <c r="A9" s="412"/>
      <c r="B9" s="412"/>
      <c r="C9" s="412"/>
      <c r="D9" s="412"/>
      <c r="E9" s="413"/>
      <c r="F9" s="413"/>
      <c r="G9" s="413"/>
      <c r="H9" s="413"/>
      <c r="I9" s="428"/>
      <c r="J9" s="428"/>
      <c r="K9" s="428"/>
      <c r="L9" s="414"/>
      <c r="M9" s="45"/>
      <c r="N9" s="45"/>
      <c r="O9" s="45"/>
      <c r="P9" s="121"/>
      <c r="Q9" s="121"/>
      <c r="R9" s="432"/>
      <c r="S9" s="393"/>
      <c r="T9" s="418"/>
      <c r="U9" s="418"/>
      <c r="V9" s="436"/>
      <c r="W9" s="436"/>
      <c r="X9" s="436"/>
      <c r="Y9" s="440" t="str">
        <f aca="false">Z8&amp;"-"&amp;AB8</f>
        <v>-</v>
      </c>
      <c r="Z9" s="438"/>
      <c r="AA9" s="204"/>
      <c r="AB9" s="438"/>
      <c r="AC9" s="204"/>
      <c r="AD9" s="436"/>
      <c r="AE9" s="436"/>
      <c r="AF9" s="436"/>
      <c r="AG9" s="440" t="str">
        <f aca="false">AH8&amp;"-"&amp;AJ8</f>
        <v>-</v>
      </c>
      <c r="AH9" s="438"/>
      <c r="AI9" s="204"/>
      <c r="AJ9" s="438"/>
      <c r="AK9" s="204"/>
      <c r="AL9" s="436"/>
      <c r="AM9" s="439"/>
      <c r="AO9" s="118"/>
      <c r="AP9" s="118" t="str">
        <f aca="false">IF(T9="","",T9)</f>
        <v/>
      </c>
      <c r="AQ9" s="118"/>
      <c r="AR9" s="118"/>
      <c r="AS9" s="42" t="n">
        <v>0</v>
      </c>
    </row>
    <row r="10" customFormat="false" ht="15" hidden="true" customHeight="true" outlineLevel="0" collapsed="false">
      <c r="A10" s="412"/>
      <c r="B10" s="412"/>
      <c r="C10" s="412"/>
      <c r="D10" s="412"/>
      <c r="E10" s="413"/>
      <c r="F10" s="413"/>
      <c r="G10" s="413"/>
      <c r="H10" s="413"/>
      <c r="I10" s="428"/>
      <c r="J10" s="428"/>
      <c r="K10" s="412"/>
      <c r="L10" s="414"/>
      <c r="M10" s="45"/>
      <c r="N10" s="45"/>
      <c r="P10" s="121"/>
      <c r="Q10" s="121"/>
      <c r="R10" s="429"/>
      <c r="S10" s="441"/>
      <c r="T10" s="442" t="s">
        <v>424</v>
      </c>
      <c r="U10" s="194"/>
      <c r="V10" s="194"/>
      <c r="W10" s="194"/>
      <c r="X10" s="194"/>
      <c r="Y10" s="194"/>
      <c r="Z10" s="194"/>
      <c r="AA10" s="194"/>
      <c r="AB10" s="194"/>
      <c r="AC10" s="194"/>
      <c r="AD10" s="194"/>
      <c r="AE10" s="194"/>
      <c r="AF10" s="194"/>
      <c r="AG10" s="194"/>
      <c r="AH10" s="194"/>
      <c r="AI10" s="194"/>
      <c r="AJ10" s="194"/>
      <c r="AK10" s="194"/>
      <c r="AL10" s="443"/>
      <c r="AM10" s="439"/>
      <c r="AO10" s="118"/>
      <c r="AP10" s="118" t="str">
        <f aca="false">IF(T10="","",T10)</f>
        <v>Добавить вид теплоносителя (параметры теплоносителя)</v>
      </c>
      <c r="AQ10" s="118"/>
      <c r="AR10" s="118"/>
      <c r="AS10" s="42" t="n">
        <v>0</v>
      </c>
    </row>
    <row r="11" customFormat="false" ht="15" hidden="true" customHeight="true" outlineLevel="0" collapsed="false">
      <c r="A11" s="412"/>
      <c r="B11" s="412"/>
      <c r="C11" s="412"/>
      <c r="D11" s="412"/>
      <c r="E11" s="413"/>
      <c r="F11" s="413"/>
      <c r="G11" s="413"/>
      <c r="H11" s="413"/>
      <c r="I11" s="428"/>
      <c r="J11" s="412"/>
      <c r="K11" s="412"/>
      <c r="L11" s="414"/>
      <c r="M11" s="45"/>
      <c r="P11" s="121"/>
      <c r="Q11" s="121"/>
      <c r="R11" s="429"/>
      <c r="S11" s="441"/>
      <c r="T11" s="444" t="s">
        <v>425</v>
      </c>
      <c r="U11" s="194"/>
      <c r="V11" s="194"/>
      <c r="W11" s="194"/>
      <c r="X11" s="194"/>
      <c r="Y11" s="194"/>
      <c r="Z11" s="194"/>
      <c r="AA11" s="194"/>
      <c r="AB11" s="194"/>
      <c r="AC11" s="445"/>
      <c r="AD11" s="194"/>
      <c r="AE11" s="194"/>
      <c r="AF11" s="194"/>
      <c r="AG11" s="194"/>
      <c r="AH11" s="194"/>
      <c r="AI11" s="194"/>
      <c r="AJ11" s="194"/>
      <c r="AK11" s="445"/>
      <c r="AL11" s="194"/>
      <c r="AM11" s="446"/>
      <c r="AO11" s="118"/>
      <c r="AP11" s="118" t="str">
        <f aca="false">IF(T11="","",T11)</f>
        <v>Добавить группу потребителей</v>
      </c>
      <c r="AQ11" s="118"/>
      <c r="AR11" s="118"/>
      <c r="AS11" s="42" t="n">
        <v>0</v>
      </c>
    </row>
    <row r="12" customFormat="false" ht="14.25" hidden="true" customHeight="true" outlineLevel="0" collapsed="false">
      <c r="A12" s="412"/>
      <c r="B12" s="412"/>
      <c r="C12" s="412"/>
      <c r="D12" s="412"/>
      <c r="E12" s="413"/>
      <c r="F12" s="413"/>
      <c r="G12" s="413"/>
      <c r="H12" s="413"/>
      <c r="I12" s="412"/>
      <c r="J12" s="412"/>
      <c r="K12" s="412"/>
      <c r="L12" s="414"/>
      <c r="M12" s="40"/>
      <c r="N12" s="40"/>
      <c r="O12" s="45"/>
      <c r="P12" s="132"/>
      <c r="Q12" s="447"/>
      <c r="R12" s="415"/>
      <c r="S12" s="441"/>
      <c r="T12" s="448" t="s">
        <v>426</v>
      </c>
      <c r="U12" s="194"/>
      <c r="V12" s="194"/>
      <c r="W12" s="194"/>
      <c r="X12" s="194"/>
      <c r="Y12" s="194"/>
      <c r="Z12" s="194"/>
      <c r="AA12" s="194"/>
      <c r="AB12" s="194"/>
      <c r="AC12" s="445"/>
      <c r="AD12" s="194"/>
      <c r="AE12" s="194"/>
      <c r="AF12" s="194"/>
      <c r="AG12" s="194"/>
      <c r="AH12" s="194"/>
      <c r="AI12" s="194"/>
      <c r="AJ12" s="194"/>
      <c r="AK12" s="445"/>
      <c r="AL12" s="194"/>
      <c r="AM12" s="446"/>
      <c r="AO12" s="118"/>
      <c r="AP12" s="118" t="str">
        <f aca="false">IF(T12="","",T12)</f>
        <v>Добавить схему подключения</v>
      </c>
      <c r="AQ12" s="118"/>
      <c r="AR12" s="118"/>
      <c r="AS12" s="42" t="n">
        <v>0</v>
      </c>
    </row>
    <row r="13" s="47" customFormat="true" ht="0.75" hidden="true" customHeight="true" outlineLevel="0" collapsed="false">
      <c r="A13" s="122"/>
      <c r="B13" s="122"/>
      <c r="C13" s="122"/>
      <c r="D13" s="122"/>
      <c r="E13" s="413"/>
      <c r="F13" s="413"/>
      <c r="G13" s="413"/>
      <c r="H13" s="122"/>
      <c r="I13" s="122"/>
      <c r="J13" s="122"/>
      <c r="K13" s="122"/>
      <c r="L13" s="192"/>
      <c r="M13" s="46"/>
      <c r="N13" s="46"/>
      <c r="P13" s="156"/>
      <c r="Q13" s="449"/>
      <c r="R13" s="156"/>
      <c r="S13" s="450"/>
      <c r="T13" s="451" t="s">
        <v>427</v>
      </c>
      <c r="U13" s="452"/>
      <c r="V13" s="452"/>
      <c r="W13" s="452"/>
      <c r="X13" s="452"/>
      <c r="Y13" s="452"/>
      <c r="Z13" s="452"/>
      <c r="AA13" s="452"/>
      <c r="AB13" s="452"/>
      <c r="AC13" s="452"/>
      <c r="AD13" s="452"/>
      <c r="AE13" s="452"/>
      <c r="AF13" s="452"/>
      <c r="AG13" s="452"/>
      <c r="AH13" s="452"/>
      <c r="AI13" s="452"/>
      <c r="AJ13" s="452"/>
      <c r="AK13" s="452"/>
      <c r="AL13" s="452"/>
      <c r="AM13" s="452"/>
      <c r="AO13" s="118"/>
      <c r="AP13" s="118" t="str">
        <f aca="false">IF(T13="","",T13)</f>
        <v>Добавить источник для дифференциации</v>
      </c>
      <c r="AQ13" s="118"/>
      <c r="AR13" s="118"/>
      <c r="AS13" s="47" t="n">
        <v>0</v>
      </c>
    </row>
    <row r="14" s="47" customFormat="true" ht="0.75" hidden="true" customHeight="true" outlineLevel="0" collapsed="false">
      <c r="A14" s="122"/>
      <c r="B14" s="122"/>
      <c r="C14" s="122"/>
      <c r="D14" s="122"/>
      <c r="E14" s="413"/>
      <c r="F14" s="413"/>
      <c r="G14" s="122"/>
      <c r="H14" s="122"/>
      <c r="I14" s="122"/>
      <c r="J14" s="122"/>
      <c r="K14" s="122"/>
      <c r="L14" s="192"/>
      <c r="M14" s="453"/>
      <c r="N14" s="453"/>
      <c r="P14" s="156"/>
      <c r="Q14" s="449"/>
      <c r="R14" s="156"/>
      <c r="S14" s="454"/>
      <c r="T14" s="455" t="s">
        <v>428</v>
      </c>
      <c r="U14" s="456"/>
      <c r="V14" s="456"/>
      <c r="W14" s="456"/>
      <c r="X14" s="456"/>
      <c r="Y14" s="456"/>
      <c r="Z14" s="456"/>
      <c r="AA14" s="456"/>
      <c r="AB14" s="456"/>
      <c r="AC14" s="456"/>
      <c r="AD14" s="456"/>
      <c r="AE14" s="456"/>
      <c r="AF14" s="456"/>
      <c r="AG14" s="456"/>
      <c r="AH14" s="456"/>
      <c r="AI14" s="456"/>
      <c r="AJ14" s="456"/>
      <c r="AK14" s="456"/>
      <c r="AL14" s="456"/>
      <c r="AM14" s="456"/>
      <c r="AO14" s="118"/>
      <c r="AP14" s="118" t="str">
        <f aca="false">IF(T14="","",T14)</f>
        <v>Добавить централизованную систему для дифференциации</v>
      </c>
      <c r="AQ14" s="118"/>
      <c r="AR14" s="118"/>
      <c r="AS14" s="47" t="n">
        <v>0</v>
      </c>
    </row>
    <row r="15" s="47" customFormat="true" ht="0.75" hidden="true" customHeight="true" outlineLevel="0" collapsed="false">
      <c r="A15" s="122"/>
      <c r="B15" s="122"/>
      <c r="C15" s="122"/>
      <c r="D15" s="122"/>
      <c r="E15" s="413"/>
      <c r="F15" s="122"/>
      <c r="G15" s="122"/>
      <c r="H15" s="122"/>
      <c r="I15" s="122"/>
      <c r="J15" s="122"/>
      <c r="K15" s="122"/>
      <c r="L15" s="192"/>
      <c r="M15" s="453"/>
      <c r="N15" s="453"/>
      <c r="P15" s="156"/>
      <c r="Q15" s="449"/>
      <c r="R15" s="156"/>
      <c r="S15" s="454"/>
      <c r="T15" s="457" t="s">
        <v>429</v>
      </c>
      <c r="U15" s="456"/>
      <c r="V15" s="456"/>
      <c r="W15" s="456"/>
      <c r="X15" s="456"/>
      <c r="Y15" s="456"/>
      <c r="Z15" s="456"/>
      <c r="AA15" s="456"/>
      <c r="AB15" s="456"/>
      <c r="AC15" s="456"/>
      <c r="AD15" s="456"/>
      <c r="AE15" s="456"/>
      <c r="AF15" s="456"/>
      <c r="AG15" s="456"/>
      <c r="AH15" s="456"/>
      <c r="AI15" s="456"/>
      <c r="AJ15" s="456"/>
      <c r="AK15" s="456"/>
      <c r="AL15" s="456"/>
      <c r="AM15" s="456"/>
      <c r="AO15" s="118"/>
      <c r="AP15" s="118" t="str">
        <f aca="false">IF(T15="","",T15)</f>
        <v>Добавить территорию для дифференциации</v>
      </c>
      <c r="AQ15" s="118"/>
      <c r="AR15" s="118"/>
      <c r="AS15" s="47" t="n">
        <v>0</v>
      </c>
    </row>
    <row r="16" customFormat="false" ht="14.25" hidden="true" customHeight="true" outlineLevel="0" collapsed="false">
      <c r="AS16" s="42" t="n">
        <v>0</v>
      </c>
    </row>
    <row r="17" customFormat="false" ht="14.25" hidden="true" customHeight="true" outlineLevel="0" collapsed="false">
      <c r="AD17" s="458"/>
      <c r="AE17" s="458"/>
      <c r="AF17" s="458"/>
      <c r="AG17" s="459"/>
      <c r="AH17" s="460"/>
      <c r="AI17" s="461" t="s">
        <v>61</v>
      </c>
      <c r="AJ17" s="460"/>
      <c r="AK17" s="461" t="s">
        <v>61</v>
      </c>
      <c r="AS17" s="42" t="n">
        <v>0</v>
      </c>
    </row>
    <row r="18" customFormat="false" ht="14.25" hidden="true" customHeight="true" outlineLevel="0" collapsed="false">
      <c r="AD18" s="458"/>
      <c r="AE18" s="458"/>
      <c r="AF18" s="458"/>
      <c r="AG18" s="440" t="str">
        <f aca="false">AH17&amp;"-"&amp;AJ17</f>
        <v>-</v>
      </c>
      <c r="AH18" s="460"/>
      <c r="AI18" s="460"/>
      <c r="AJ18" s="460"/>
      <c r="AK18" s="460"/>
      <c r="AS18" s="42" t="n">
        <v>0</v>
      </c>
    </row>
    <row r="19" customFormat="false" ht="14.25" hidden="true" customHeight="true" outlineLevel="0" collapsed="false">
      <c r="AS19" s="42" t="n">
        <v>0</v>
      </c>
    </row>
    <row r="20" s="45" customFormat="true" ht="22.5" hidden="true" customHeight="true" outlineLevel="0" collapsed="false">
      <c r="L20" s="44"/>
      <c r="M20" s="51"/>
      <c r="N20" s="51"/>
      <c r="O20" s="462" t="s">
        <v>430</v>
      </c>
      <c r="P20" s="51"/>
      <c r="Q20" s="463"/>
      <c r="R20" s="463"/>
      <c r="S20" s="40"/>
      <c r="Z20" s="462"/>
      <c r="AB20" s="462"/>
      <c r="AH20" s="462"/>
      <c r="AJ20" s="462"/>
      <c r="AN20" s="47"/>
      <c r="AO20" s="47"/>
      <c r="AP20" s="47"/>
      <c r="AQ20" s="47"/>
      <c r="AR20" s="47"/>
      <c r="AS20" s="45" t="n">
        <v>0</v>
      </c>
    </row>
    <row r="21" s="45" customFormat="true" ht="14.25" hidden="true" customHeight="true" outlineLevel="0" collapsed="false">
      <c r="L21" s="44"/>
      <c r="M21" s="51"/>
      <c r="N21" s="51"/>
      <c r="O21" s="51"/>
      <c r="P21" s="51"/>
      <c r="Q21" s="463"/>
      <c r="R21" s="463"/>
      <c r="S21" s="40"/>
      <c r="AN21" s="47"/>
      <c r="AO21" s="47"/>
      <c r="AP21" s="47"/>
      <c r="AQ21" s="47"/>
      <c r="AR21" s="47"/>
      <c r="AS21" s="45" t="n">
        <v>0</v>
      </c>
    </row>
    <row r="22" s="45" customFormat="true" ht="14.25" hidden="true" customHeight="true" outlineLevel="0" collapsed="false">
      <c r="L22" s="44"/>
      <c r="M22" s="51"/>
      <c r="N22" s="51"/>
      <c r="O22" s="414" t="s">
        <v>431</v>
      </c>
      <c r="P22" s="51"/>
      <c r="Q22" s="463"/>
      <c r="R22" s="463"/>
      <c r="S22" s="40"/>
      <c r="T22" s="45" t="s">
        <v>432</v>
      </c>
      <c r="AA22" s="140" t="s">
        <v>433</v>
      </c>
      <c r="AC22" s="140" t="s">
        <v>434</v>
      </c>
      <c r="AD22" s="45" t="s">
        <v>432</v>
      </c>
      <c r="AI22" s="140" t="s">
        <v>435</v>
      </c>
      <c r="AK22" s="140" t="s">
        <v>434</v>
      </c>
      <c r="AN22" s="47"/>
      <c r="AO22" s="47"/>
      <c r="AP22" s="47"/>
      <c r="AQ22" s="47"/>
      <c r="AR22" s="47"/>
      <c r="AS22" s="45" t="n">
        <v>0</v>
      </c>
    </row>
    <row r="23" customFormat="false" ht="14.25" hidden="true" customHeight="true" outlineLevel="0" collapsed="false">
      <c r="O23" s="414"/>
      <c r="AS23" s="42" t="n">
        <v>0</v>
      </c>
    </row>
    <row r="24" customFormat="false" ht="14.25" hidden="true" customHeight="true" outlineLevel="0" collapsed="false">
      <c r="O24" s="414"/>
      <c r="AS24" s="42" t="n">
        <v>0</v>
      </c>
    </row>
    <row r="25" customFormat="false" ht="14.25" hidden="false" customHeight="true" outlineLevel="0" collapsed="false">
      <c r="Q25" s="464"/>
      <c r="R25" s="464"/>
      <c r="S25" s="465"/>
      <c r="T25" s="80"/>
      <c r="U25" s="80"/>
      <c r="AS25" s="42" t="n">
        <v>14</v>
      </c>
    </row>
    <row r="26" customFormat="false" ht="14.25" hidden="false" customHeight="true" outlineLevel="0" collapsed="false">
      <c r="Q26" s="464"/>
      <c r="R26" s="46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64"/>
      <c r="R27" s="464"/>
      <c r="S27" s="261" t="str">
        <f aca="false">IF(org=0,"Не определено",org)</f>
        <v>ООО "Газпром теплоэнерго Ярославль"</v>
      </c>
      <c r="T27" s="261"/>
      <c r="U27" s="261"/>
      <c r="V27" s="261"/>
      <c r="W27" s="261"/>
      <c r="X27" s="261"/>
      <c r="Y27" s="261"/>
      <c r="Z27" s="261"/>
      <c r="AA27" s="261"/>
      <c r="AB27" s="261"/>
      <c r="AC27" s="261"/>
      <c r="AD27" s="261"/>
      <c r="AE27" s="261"/>
      <c r="AF27" s="261"/>
      <c r="AG27" s="261"/>
      <c r="AH27" s="261"/>
      <c r="AI27" s="261"/>
      <c r="AJ27" s="261"/>
      <c r="AK27" s="222"/>
      <c r="AS27" s="42" t="n">
        <v>14</v>
      </c>
    </row>
    <row r="28" customFormat="false" ht="14.25" hidden="true" customHeight="true" outlineLevel="0" collapsed="false">
      <c r="Q28" s="464"/>
      <c r="R28" s="464"/>
      <c r="S28" s="465"/>
      <c r="T28" s="80"/>
      <c r="U28" s="80"/>
      <c r="V28" s="466"/>
      <c r="W28" s="466"/>
      <c r="X28" s="466"/>
      <c r="Y28" s="466"/>
      <c r="Z28" s="466"/>
      <c r="AA28" s="466"/>
      <c r="AB28" s="466"/>
      <c r="AC28" s="466"/>
      <c r="AD28" s="466"/>
      <c r="AE28" s="466"/>
      <c r="AF28" s="466"/>
      <c r="AG28" s="466"/>
      <c r="AH28" s="466"/>
      <c r="AI28" s="466"/>
      <c r="AJ28" s="466"/>
      <c r="AK28" s="466"/>
      <c r="AS28" s="42" t="n">
        <v>0</v>
      </c>
    </row>
    <row r="29" s="175" customFormat="true" ht="25.5" hidden="true" customHeight="true" outlineLevel="0" collapsed="false">
      <c r="A29" s="140"/>
      <c r="B29" s="140"/>
      <c r="C29" s="140"/>
      <c r="D29" s="140"/>
      <c r="E29" s="140"/>
      <c r="F29" s="140"/>
      <c r="G29" s="140"/>
      <c r="H29" s="140"/>
      <c r="I29" s="140"/>
      <c r="J29" s="140"/>
      <c r="K29" s="140"/>
      <c r="L29" s="414"/>
      <c r="M29" s="140"/>
      <c r="N29" s="140"/>
      <c r="O29" s="140"/>
      <c r="S29" s="467" t="s">
        <v>40</v>
      </c>
      <c r="T29" s="467"/>
      <c r="U29" s="468"/>
      <c r="V29" s="469" t="str">
        <f aca="false">IF(TITLE_NAME_OR_PR_CHANGE="",IF(TITLE_NAME_OR_PR="","",TITLE_NAME_OR_PR),TITLE_NAME_OR_PR_CHANGE)</f>
        <v/>
      </c>
      <c r="W29" s="469"/>
      <c r="X29" s="469"/>
      <c r="Y29" s="469"/>
      <c r="Z29" s="469"/>
      <c r="AA29" s="469"/>
      <c r="AB29" s="469"/>
      <c r="AC29" s="42"/>
      <c r="AD29" s="469" t="str">
        <f aca="false">IF(TITLE_NAME_OR_PR_CHANGE="",IF(TITLE_NAME_OR_PR="","",TITLE_NAME_OR_PR),TITLE_NAME_OR_PR_CHANGE)</f>
        <v/>
      </c>
      <c r="AE29" s="469"/>
      <c r="AF29" s="469"/>
      <c r="AG29" s="469"/>
      <c r="AH29" s="469"/>
      <c r="AI29" s="469"/>
      <c r="AJ29" s="469"/>
      <c r="AK29" s="42"/>
      <c r="AL29" s="42"/>
      <c r="AM29" s="470"/>
      <c r="AN29" s="118"/>
      <c r="AO29" s="118"/>
      <c r="AP29" s="118"/>
      <c r="AQ29" s="118"/>
      <c r="AR29" s="118"/>
      <c r="AS29" s="175" t="n">
        <v>0</v>
      </c>
    </row>
    <row r="30" s="175" customFormat="true" ht="18.75" hidden="true" customHeight="true" outlineLevel="0" collapsed="false">
      <c r="A30" s="140"/>
      <c r="B30" s="140"/>
      <c r="C30" s="140"/>
      <c r="D30" s="140"/>
      <c r="E30" s="140"/>
      <c r="F30" s="140"/>
      <c r="G30" s="140"/>
      <c r="H30" s="140"/>
      <c r="I30" s="140"/>
      <c r="J30" s="140"/>
      <c r="K30" s="140"/>
      <c r="L30" s="414"/>
      <c r="M30" s="140"/>
      <c r="N30" s="140"/>
      <c r="O30" s="140"/>
      <c r="S30" s="467" t="s">
        <v>436</v>
      </c>
      <c r="T30" s="467"/>
      <c r="U30" s="468"/>
      <c r="V30" s="471" t="str">
        <f aca="false">IF(TITLE_DATE_PR_CHANGE="",IF(TITLE_DATE_PR="","",TITLE_DATE_PR),TITLE_DATE_PR_CHANGE)</f>
        <v/>
      </c>
      <c r="W30" s="471"/>
      <c r="X30" s="471"/>
      <c r="Y30" s="471"/>
      <c r="Z30" s="471"/>
      <c r="AA30" s="471"/>
      <c r="AB30" s="471"/>
      <c r="AC30" s="42"/>
      <c r="AD30" s="471" t="str">
        <f aca="false">IF(TITLE_DATE_PR_CHANGE="",IF(TITLE_DATE_PR="","",TITLE_DATE_PR),TITLE_DATE_PR_CHANGE)</f>
        <v/>
      </c>
      <c r="AE30" s="471"/>
      <c r="AF30" s="471"/>
      <c r="AG30" s="471"/>
      <c r="AH30" s="471"/>
      <c r="AI30" s="471"/>
      <c r="AJ30" s="471"/>
      <c r="AK30" s="42"/>
      <c r="AL30" s="42"/>
      <c r="AM30" s="470"/>
      <c r="AN30" s="118"/>
      <c r="AO30" s="118"/>
      <c r="AP30" s="118"/>
      <c r="AQ30" s="118"/>
      <c r="AR30" s="118"/>
      <c r="AS30" s="175" t="n">
        <v>0</v>
      </c>
    </row>
    <row r="31" s="175" customFormat="true" ht="18.75" hidden="true" customHeight="true" outlineLevel="0" collapsed="false">
      <c r="A31" s="140"/>
      <c r="B31" s="140"/>
      <c r="C31" s="140"/>
      <c r="D31" s="140"/>
      <c r="E31" s="140"/>
      <c r="F31" s="140"/>
      <c r="G31" s="140"/>
      <c r="H31" s="140"/>
      <c r="I31" s="140"/>
      <c r="J31" s="140"/>
      <c r="K31" s="140"/>
      <c r="L31" s="414"/>
      <c r="M31" s="140"/>
      <c r="N31" s="140"/>
      <c r="O31" s="140"/>
      <c r="S31" s="467" t="s">
        <v>437</v>
      </c>
      <c r="T31" s="467"/>
      <c r="U31" s="468"/>
      <c r="V31" s="469" t="str">
        <f aca="false">IF(TITLE_NUMBER_PR_CHANGE="",IF(TITLE_NUMBER_PR="","",TITLE_NUMBER_PR),TITLE_NUMBER_PR_CHANGE)</f>
        <v/>
      </c>
      <c r="W31" s="469"/>
      <c r="X31" s="469"/>
      <c r="Y31" s="469"/>
      <c r="Z31" s="469"/>
      <c r="AA31" s="469"/>
      <c r="AB31" s="469"/>
      <c r="AC31" s="42"/>
      <c r="AD31" s="469" t="str">
        <f aca="false">IF(TITLE_NUMBER_PR_CHANGE="",IF(TITLE_NUMBER_PR="","",TITLE_NUMBER_PR),TITLE_NUMBER_PR_CHANGE)</f>
        <v/>
      </c>
      <c r="AE31" s="469"/>
      <c r="AF31" s="469"/>
      <c r="AG31" s="469"/>
      <c r="AH31" s="469"/>
      <c r="AI31" s="469"/>
      <c r="AJ31" s="469"/>
      <c r="AK31" s="42"/>
      <c r="AL31" s="42"/>
      <c r="AM31" s="470"/>
      <c r="AN31" s="118"/>
      <c r="AO31" s="118"/>
      <c r="AP31" s="118"/>
      <c r="AQ31" s="118"/>
      <c r="AR31" s="118"/>
      <c r="AS31" s="175" t="n">
        <v>0</v>
      </c>
    </row>
    <row r="32" s="175" customFormat="true" ht="18.75" hidden="true" customHeight="true" outlineLevel="0" collapsed="false">
      <c r="A32" s="140"/>
      <c r="B32" s="140"/>
      <c r="C32" s="140"/>
      <c r="D32" s="140"/>
      <c r="E32" s="140"/>
      <c r="F32" s="140"/>
      <c r="G32" s="140"/>
      <c r="H32" s="140"/>
      <c r="I32" s="140"/>
      <c r="J32" s="140"/>
      <c r="K32" s="140"/>
      <c r="L32" s="414"/>
      <c r="M32" s="140"/>
      <c r="N32" s="140"/>
      <c r="O32" s="140"/>
      <c r="S32" s="467" t="s">
        <v>41</v>
      </c>
      <c r="T32" s="467"/>
      <c r="U32" s="468"/>
      <c r="V32" s="469" t="str">
        <f aca="false">IF(TITLE_IST_PUB_CHANGE="",IF(TITLE_IST_PUB="","",TITLE_IST_PUB),TITLE_IST_PUB_CHANGE)</f>
        <v/>
      </c>
      <c r="W32" s="469"/>
      <c r="X32" s="469"/>
      <c r="Y32" s="469"/>
      <c r="Z32" s="469"/>
      <c r="AA32" s="469"/>
      <c r="AB32" s="469"/>
      <c r="AC32" s="42"/>
      <c r="AD32" s="469" t="str">
        <f aca="false">IF(TITLE_IST_PUB_CHANGE="",IF(TITLE_IST_PUB="","",TITLE_IST_PUB),TITLE_IST_PUB_CHANGE)</f>
        <v/>
      </c>
      <c r="AE32" s="469"/>
      <c r="AF32" s="469"/>
      <c r="AG32" s="469"/>
      <c r="AH32" s="469"/>
      <c r="AI32" s="469"/>
      <c r="AJ32" s="469"/>
      <c r="AK32" s="42"/>
      <c r="AL32" s="42"/>
      <c r="AM32" s="470"/>
      <c r="AN32" s="118"/>
      <c r="AO32" s="118"/>
      <c r="AP32" s="118"/>
      <c r="AQ32" s="118"/>
      <c r="AR32" s="118"/>
      <c r="AS32" s="175" t="n">
        <v>0</v>
      </c>
    </row>
    <row r="33" customFormat="false" ht="14.25" hidden="true" customHeight="true" outlineLevel="0" collapsed="false">
      <c r="Q33" s="464"/>
      <c r="R33" s="464"/>
      <c r="S33" s="465"/>
      <c r="T33" s="80"/>
      <c r="U33" s="80"/>
      <c r="V33" s="466"/>
      <c r="W33" s="466"/>
      <c r="X33" s="466"/>
      <c r="Y33" s="466"/>
      <c r="Z33" s="466"/>
      <c r="AA33" s="466"/>
      <c r="AB33" s="466"/>
      <c r="AC33" s="466"/>
      <c r="AD33" s="466"/>
      <c r="AE33" s="466"/>
      <c r="AF33" s="466"/>
      <c r="AG33" s="466"/>
      <c r="AH33" s="466"/>
      <c r="AI33" s="466"/>
      <c r="AJ33" s="466"/>
      <c r="AK33" s="466"/>
      <c r="AS33" s="42" t="n">
        <v>0</v>
      </c>
    </row>
    <row r="34" s="175" customFormat="true" ht="18.75" hidden="true" customHeight="true" outlineLevel="0" collapsed="false">
      <c r="A34" s="140"/>
      <c r="B34" s="140"/>
      <c r="C34" s="140"/>
      <c r="D34" s="140"/>
      <c r="E34" s="140"/>
      <c r="F34" s="140"/>
      <c r="G34" s="140"/>
      <c r="H34" s="140"/>
      <c r="I34" s="140"/>
      <c r="J34" s="140"/>
      <c r="K34" s="140"/>
      <c r="L34" s="414"/>
      <c r="M34" s="140"/>
      <c r="N34" s="140"/>
      <c r="O34" s="140"/>
      <c r="S34" s="467" t="s">
        <v>438</v>
      </c>
      <c r="T34" s="467"/>
      <c r="U34" s="468"/>
      <c r="V34" s="471" t="str">
        <f aca="false">IF(TITLE_DATE_PR_CHANGE="",IF(TITLE_DATE_PR="","",TITLE_DATE_PR),TITLE_DATE_PR_CHANGE)</f>
        <v/>
      </c>
      <c r="W34" s="471"/>
      <c r="X34" s="471"/>
      <c r="Y34" s="471"/>
      <c r="Z34" s="471"/>
      <c r="AA34" s="471"/>
      <c r="AB34" s="471"/>
      <c r="AC34" s="42"/>
      <c r="AD34" s="471" t="str">
        <f aca="false">IF(TITLE_DATE_PR_CHANGE="",IF(TITLE_DATE_PR="","",TITLE_DATE_PR),TITLE_DATE_PR_CHANGE)</f>
        <v/>
      </c>
      <c r="AE34" s="471"/>
      <c r="AF34" s="471"/>
      <c r="AG34" s="471"/>
      <c r="AH34" s="471"/>
      <c r="AI34" s="471"/>
      <c r="AJ34" s="471"/>
      <c r="AK34" s="42"/>
      <c r="AL34" s="42"/>
      <c r="AM34" s="470"/>
      <c r="AN34" s="118"/>
      <c r="AO34" s="118"/>
      <c r="AP34" s="118"/>
      <c r="AQ34" s="118"/>
      <c r="AR34" s="118"/>
      <c r="AS34" s="175" t="n">
        <v>0</v>
      </c>
    </row>
    <row r="35" s="175" customFormat="true" ht="18.75" hidden="true" customHeight="true" outlineLevel="0" collapsed="false">
      <c r="A35" s="140"/>
      <c r="B35" s="140"/>
      <c r="C35" s="140"/>
      <c r="D35" s="140"/>
      <c r="E35" s="140"/>
      <c r="F35" s="140"/>
      <c r="G35" s="140"/>
      <c r="H35" s="140"/>
      <c r="I35" s="140"/>
      <c r="J35" s="140"/>
      <c r="K35" s="140"/>
      <c r="L35" s="414"/>
      <c r="M35" s="140"/>
      <c r="N35" s="140"/>
      <c r="O35" s="140"/>
      <c r="S35" s="467" t="s">
        <v>439</v>
      </c>
      <c r="T35" s="467"/>
      <c r="U35" s="468"/>
      <c r="V35" s="469" t="str">
        <f aca="false">IF(TITLE_NUMBER_PR_CHANGE="",IF(TITLE_NUMBER_PR="","",TITLE_NUMBER_PR),TITLE_NUMBER_PR_CHANGE)</f>
        <v/>
      </c>
      <c r="W35" s="469"/>
      <c r="X35" s="469"/>
      <c r="Y35" s="469"/>
      <c r="Z35" s="469"/>
      <c r="AA35" s="469"/>
      <c r="AB35" s="469"/>
      <c r="AC35" s="42"/>
      <c r="AD35" s="469" t="str">
        <f aca="false">IF(TITLE_NUMBER_PR_CHANGE="",IF(TITLE_NUMBER_PR="","",TITLE_NUMBER_PR),TITLE_NUMBER_PR_CHANGE)</f>
        <v/>
      </c>
      <c r="AE35" s="469"/>
      <c r="AF35" s="469"/>
      <c r="AG35" s="469"/>
      <c r="AH35" s="469"/>
      <c r="AI35" s="469"/>
      <c r="AJ35" s="469"/>
      <c r="AK35" s="42"/>
      <c r="AL35" s="42"/>
      <c r="AM35" s="470"/>
      <c r="AN35" s="118"/>
      <c r="AO35" s="118"/>
      <c r="AP35" s="118"/>
      <c r="AQ35" s="118"/>
      <c r="AR35" s="118"/>
      <c r="AS35" s="175" t="n">
        <v>0</v>
      </c>
    </row>
    <row r="36" s="175" customFormat="true" ht="12.8" hidden="false" customHeight="false" outlineLevel="0" collapsed="false">
      <c r="A36" s="140"/>
      <c r="B36" s="140"/>
      <c r="C36" s="140"/>
      <c r="D36" s="140"/>
      <c r="E36" s="140"/>
      <c r="F36" s="140"/>
      <c r="G36" s="140"/>
      <c r="H36" s="140"/>
      <c r="I36" s="140"/>
      <c r="J36" s="140"/>
      <c r="K36" s="140"/>
      <c r="L36" s="414"/>
      <c r="M36" s="140"/>
      <c r="N36" s="140"/>
      <c r="O36" s="140"/>
      <c r="S36" s="42"/>
      <c r="T36" s="42"/>
      <c r="U36" s="128"/>
      <c r="V36" s="42"/>
      <c r="W36" s="42"/>
      <c r="X36" s="42"/>
      <c r="Y36" s="42"/>
      <c r="Z36" s="42"/>
      <c r="AA36" s="42"/>
      <c r="AB36" s="42"/>
      <c r="AC36" s="47" t="s">
        <v>440</v>
      </c>
      <c r="AD36" s="42"/>
      <c r="AE36" s="42"/>
      <c r="AF36" s="42"/>
      <c r="AG36" s="42"/>
      <c r="AH36" s="42"/>
      <c r="AI36" s="42"/>
      <c r="AJ36" s="42"/>
      <c r="AK36" s="47" t="s">
        <v>440</v>
      </c>
      <c r="AN36" s="118"/>
      <c r="AO36" s="118"/>
      <c r="AP36" s="118"/>
      <c r="AQ36" s="118"/>
      <c r="AR36" s="118"/>
      <c r="AS36" s="175" t="n">
        <v>0</v>
      </c>
    </row>
    <row r="37" customFormat="false" ht="14.25" hidden="false" customHeight="true" outlineLevel="0" collapsed="false">
      <c r="Q37" s="464"/>
      <c r="R37" s="464"/>
      <c r="S37" s="465"/>
      <c r="T37" s="80"/>
      <c r="U37" s="472"/>
      <c r="V37" s="473"/>
      <c r="W37" s="473"/>
      <c r="X37" s="473"/>
      <c r="Y37" s="473"/>
      <c r="Z37" s="473"/>
      <c r="AA37" s="473"/>
      <c r="AB37" s="473"/>
      <c r="AC37" s="473"/>
      <c r="AD37" s="473"/>
      <c r="AE37" s="473"/>
      <c r="AF37" s="473"/>
      <c r="AG37" s="473"/>
      <c r="AH37" s="473"/>
      <c r="AI37" s="473"/>
      <c r="AJ37" s="473"/>
      <c r="AK37" s="473"/>
      <c r="AS37" s="42" t="n">
        <v>14</v>
      </c>
    </row>
    <row r="38" customFormat="false" ht="14.25" hidden="false" customHeight="true" outlineLevel="0" collapsed="false">
      <c r="Q38" s="464"/>
      <c r="R38" s="464"/>
      <c r="S38" s="134" t="s">
        <v>313</v>
      </c>
      <c r="T38" s="134"/>
      <c r="U38" s="134"/>
      <c r="V38" s="134"/>
      <c r="W38" s="134"/>
      <c r="X38" s="134"/>
      <c r="Y38" s="134"/>
      <c r="Z38" s="134"/>
      <c r="AA38" s="134"/>
      <c r="AB38" s="134"/>
      <c r="AC38" s="134"/>
      <c r="AD38" s="134"/>
      <c r="AE38" s="134"/>
      <c r="AF38" s="134"/>
      <c r="AG38" s="134"/>
      <c r="AH38" s="134"/>
      <c r="AI38" s="134"/>
      <c r="AJ38" s="134"/>
      <c r="AK38" s="134"/>
      <c r="AL38" s="134"/>
      <c r="AM38" s="134" t="s">
        <v>314</v>
      </c>
      <c r="AS38" s="42" t="n">
        <v>14</v>
      </c>
    </row>
    <row r="39" customFormat="false" ht="14.25" hidden="false" customHeight="true" outlineLevel="0" collapsed="false">
      <c r="Q39" s="464"/>
      <c r="R39" s="464"/>
      <c r="S39" s="474" t="s">
        <v>87</v>
      </c>
      <c r="T39" s="391" t="s">
        <v>441</v>
      </c>
      <c r="U39" s="475"/>
      <c r="V39" s="296" t="s">
        <v>442</v>
      </c>
      <c r="W39" s="296"/>
      <c r="X39" s="296"/>
      <c r="Y39" s="296"/>
      <c r="Z39" s="296"/>
      <c r="AA39" s="296"/>
      <c r="AB39" s="296"/>
      <c r="AC39" s="391" t="s">
        <v>443</v>
      </c>
      <c r="AD39" s="296" t="s">
        <v>442</v>
      </c>
      <c r="AE39" s="296"/>
      <c r="AF39" s="296"/>
      <c r="AG39" s="296"/>
      <c r="AH39" s="296"/>
      <c r="AI39" s="296"/>
      <c r="AJ39" s="296"/>
      <c r="AK39" s="391" t="s">
        <v>444</v>
      </c>
      <c r="AL39" s="476" t="s">
        <v>445</v>
      </c>
      <c r="AM39" s="134"/>
      <c r="AS39" s="42" t="n">
        <v>14</v>
      </c>
    </row>
    <row r="40" customFormat="false" ht="35.25" hidden="false" customHeight="true" outlineLevel="0" collapsed="false">
      <c r="Q40" s="464"/>
      <c r="R40" s="464"/>
      <c r="S40" s="474"/>
      <c r="T40" s="391"/>
      <c r="U40" s="477"/>
      <c r="V40" s="134" t="s">
        <v>446</v>
      </c>
      <c r="W40" s="428" t="s">
        <v>447</v>
      </c>
      <c r="X40" s="134" t="s">
        <v>448</v>
      </c>
      <c r="Y40" s="134"/>
      <c r="Z40" s="134" t="s">
        <v>462</v>
      </c>
      <c r="AA40" s="134"/>
      <c r="AB40" s="134"/>
      <c r="AC40" s="391"/>
      <c r="AD40" s="134" t="s">
        <v>446</v>
      </c>
      <c r="AE40" s="428" t="s">
        <v>447</v>
      </c>
      <c r="AF40" s="134" t="s">
        <v>448</v>
      </c>
      <c r="AG40" s="134"/>
      <c r="AH40" s="134" t="s">
        <v>449</v>
      </c>
      <c r="AI40" s="134"/>
      <c r="AJ40" s="134"/>
      <c r="AK40" s="391"/>
      <c r="AL40" s="476"/>
      <c r="AM40" s="134"/>
      <c r="AS40" s="42" t="n">
        <v>34</v>
      </c>
    </row>
    <row r="41" customFormat="false" ht="35.25" hidden="false" customHeight="true" outlineLevel="0" collapsed="false">
      <c r="A41" s="140"/>
      <c r="B41" s="140" t="s">
        <v>150</v>
      </c>
      <c r="C41" s="140" t="s">
        <v>151</v>
      </c>
      <c r="D41" s="140" t="s">
        <v>152</v>
      </c>
      <c r="E41" s="414" t="s">
        <v>450</v>
      </c>
      <c r="F41" s="414" t="s">
        <v>451</v>
      </c>
      <c r="G41" s="414" t="s">
        <v>452</v>
      </c>
      <c r="H41" s="414" t="s">
        <v>453</v>
      </c>
      <c r="I41" s="414" t="s">
        <v>454</v>
      </c>
      <c r="J41" s="414" t="s">
        <v>455</v>
      </c>
      <c r="K41" s="414" t="s">
        <v>456</v>
      </c>
      <c r="L41" s="414" t="s">
        <v>431</v>
      </c>
      <c r="Q41" s="464"/>
      <c r="R41" s="464"/>
      <c r="S41" s="474"/>
      <c r="T41" s="391"/>
      <c r="U41" s="478"/>
      <c r="V41" s="134"/>
      <c r="W41" s="428"/>
      <c r="X41" s="185" t="s">
        <v>457</v>
      </c>
      <c r="Y41" s="185" t="s">
        <v>458</v>
      </c>
      <c r="Z41" s="185" t="s">
        <v>459</v>
      </c>
      <c r="AA41" s="185" t="s">
        <v>460</v>
      </c>
      <c r="AB41" s="185"/>
      <c r="AC41" s="391"/>
      <c r="AD41" s="134"/>
      <c r="AE41" s="428"/>
      <c r="AF41" s="185" t="s">
        <v>457</v>
      </c>
      <c r="AG41" s="185" t="s">
        <v>458</v>
      </c>
      <c r="AH41" s="185" t="s">
        <v>459</v>
      </c>
      <c r="AI41" s="185" t="s">
        <v>460</v>
      </c>
      <c r="AJ41" s="185"/>
      <c r="AK41" s="391"/>
      <c r="AL41" s="476"/>
      <c r="AM41" s="134"/>
      <c r="AS41" s="42" t="n">
        <v>34</v>
      </c>
    </row>
    <row r="42" s="120" customFormat="true" ht="11.25" hidden="true" customHeight="true" outlineLevel="0" collapsed="false">
      <c r="A42" s="140"/>
      <c r="B42" s="140"/>
      <c r="C42" s="140"/>
      <c r="D42" s="140"/>
      <c r="E42" s="140"/>
      <c r="F42" s="140"/>
      <c r="G42" s="140"/>
      <c r="H42" s="140"/>
      <c r="I42" s="140"/>
      <c r="J42" s="140"/>
      <c r="K42" s="140"/>
      <c r="L42" s="414"/>
      <c r="M42" s="51"/>
      <c r="N42" s="51"/>
      <c r="O42" s="51"/>
      <c r="P42" s="479"/>
      <c r="Q42" s="480"/>
      <c r="R42" s="481" t="n">
        <v>1</v>
      </c>
      <c r="S42" s="482" t="s">
        <v>120</v>
      </c>
      <c r="T42" s="483" t="s">
        <v>102</v>
      </c>
      <c r="U42" s="484" t="str">
        <f aca="true">OFFSET(U42,0,-1)</f>
        <v>2</v>
      </c>
      <c r="V42" s="485" t="n">
        <f aca="true">OFFSET(V42,0,-1)+1</f>
        <v>3</v>
      </c>
      <c r="W42" s="485"/>
      <c r="X42" s="485" t="n">
        <f aca="true">OFFSET(X42,0,-1)+1</f>
        <v>1</v>
      </c>
      <c r="Y42" s="485" t="n">
        <f aca="true">OFFSET(Y42,0,-1)+1</f>
        <v>2</v>
      </c>
      <c r="Z42" s="485" t="n">
        <f aca="true">OFFSET(Z42,0,-1)+1</f>
        <v>3</v>
      </c>
      <c r="AA42" s="485" t="n">
        <f aca="true">OFFSET(AA42,0,-1)+1</f>
        <v>4</v>
      </c>
      <c r="AB42" s="485"/>
      <c r="AC42" s="485" t="n">
        <f aca="true">OFFSET(AC42,0,-2)+1</f>
        <v>5</v>
      </c>
      <c r="AD42" s="485" t="n">
        <f aca="true">OFFSET(AD42,0,-1)+1</f>
        <v>6</v>
      </c>
      <c r="AE42" s="485"/>
      <c r="AF42" s="485" t="n">
        <f aca="true">OFFSET(AF42,0,-1)+1</f>
        <v>1</v>
      </c>
      <c r="AG42" s="485" t="n">
        <f aca="true">OFFSET(AG42,0,-1)+1</f>
        <v>2</v>
      </c>
      <c r="AH42" s="485" t="n">
        <f aca="true">OFFSET(AH42,0,-1)+1</f>
        <v>3</v>
      </c>
      <c r="AI42" s="485" t="n">
        <f aca="true">OFFSET(AI42,0,-1)+1</f>
        <v>4</v>
      </c>
      <c r="AJ42" s="485"/>
      <c r="AK42" s="485" t="n">
        <f aca="true">OFFSET(AK42,0,-2)+1</f>
        <v>5</v>
      </c>
      <c r="AL42" s="484" t="n">
        <f aca="true">OFFSET(AL42,0,-1)</f>
        <v>5</v>
      </c>
      <c r="AM42" s="485" t="n">
        <f aca="true">OFFSET(AM42,0,-1)+1</f>
        <v>6</v>
      </c>
      <c r="AN42" s="47"/>
      <c r="AO42" s="47"/>
      <c r="AP42" s="47"/>
      <c r="AQ42" s="47"/>
      <c r="AR42" s="47"/>
      <c r="AS42" s="120" t="n">
        <v>0</v>
      </c>
    </row>
    <row r="43" customFormat="false" ht="21.75" hidden="false" customHeight="true" outlineLevel="0" collapsed="false">
      <c r="A43" s="412" t="s">
        <v>176</v>
      </c>
      <c r="B43" s="412"/>
      <c r="C43" s="412"/>
      <c r="D43" s="412"/>
      <c r="E43" s="413" t="n">
        <v>1</v>
      </c>
      <c r="F43" s="412"/>
      <c r="G43" s="412"/>
      <c r="H43" s="412"/>
      <c r="I43" s="412"/>
      <c r="J43" s="412"/>
      <c r="K43" s="412"/>
      <c r="L43" s="414"/>
      <c r="M43" s="40"/>
      <c r="N43" s="40"/>
      <c r="O43" s="40"/>
      <c r="Q43" s="132"/>
      <c r="R43" s="415"/>
      <c r="S43" s="416" t="n">
        <f aca="false">INDEX(PT_DIFFERENTIATION_NUM_NTAR,MATCH(A43,PT_DIFFERENTIATION_NTAR_ID,0))</f>
        <v>0</v>
      </c>
      <c r="T43" s="417" t="s">
        <v>138</v>
      </c>
      <c r="U43" s="418"/>
      <c r="V43" s="419"/>
      <c r="W43" s="419"/>
      <c r="X43" s="419"/>
      <c r="Y43" s="419"/>
      <c r="Z43" s="419"/>
      <c r="AA43" s="419"/>
      <c r="AB43" s="419"/>
      <c r="AC43" s="419"/>
      <c r="AD43" s="420" t="str">
        <f aca="false">INDEX(PT_DIFFERENTIATION_NTAR,MATCH(A43,PT_DIFFERENTIATION_NTAR_ID,0))</f>
        <v/>
      </c>
      <c r="AE43" s="420"/>
      <c r="AF43" s="420"/>
      <c r="AG43" s="420"/>
      <c r="AH43" s="420"/>
      <c r="AI43" s="420"/>
      <c r="AJ43" s="420"/>
      <c r="AK43" s="420"/>
      <c r="AL43" s="420"/>
      <c r="AM43" s="421"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8"/>
      <c r="AP43" s="118" t="str">
        <f aca="false">IF(T43="","",T43)</f>
        <v>Наименование тарифа</v>
      </c>
      <c r="AQ43" s="118"/>
      <c r="AR43" s="118"/>
      <c r="AS43" s="42" t="n">
        <v>21</v>
      </c>
    </row>
    <row r="44" customFormat="false" ht="21.75" hidden="false" customHeight="true" outlineLevel="0" collapsed="false">
      <c r="A44" s="412" t="s">
        <v>176</v>
      </c>
      <c r="B44" s="412" t="s">
        <v>177</v>
      </c>
      <c r="C44" s="412"/>
      <c r="D44" s="412"/>
      <c r="E44" s="413"/>
      <c r="F44" s="413" t="n">
        <v>1</v>
      </c>
      <c r="G44" s="412"/>
      <c r="H44" s="412"/>
      <c r="I44" s="412"/>
      <c r="J44" s="412"/>
      <c r="K44" s="412"/>
      <c r="L44" s="414"/>
      <c r="M44" s="40"/>
      <c r="N44" s="40"/>
      <c r="O44" s="40"/>
      <c r="P44" s="43"/>
      <c r="Q44" s="422"/>
      <c r="R44" s="423"/>
      <c r="S44" s="416" t="str">
        <f aca="false">INDEX(PT_DIFFERENTIATION_NUM_TER,MATCH(B44,PT_DIFFERENTIATION_TER_ID,0))</f>
        <v>.</v>
      </c>
      <c r="T44" s="424" t="s">
        <v>410</v>
      </c>
      <c r="U44" s="418"/>
      <c r="V44" s="419"/>
      <c r="W44" s="419"/>
      <c r="X44" s="419"/>
      <c r="Y44" s="419"/>
      <c r="Z44" s="419"/>
      <c r="AA44" s="419"/>
      <c r="AB44" s="419"/>
      <c r="AC44" s="419"/>
      <c r="AD44" s="420" t="str">
        <f aca="false">INDEX(PT_DIFFERENTIATION_TER,MATCH(B44,PT_DIFFERENTIATION_TER_ID,0))</f>
        <v/>
      </c>
      <c r="AE44" s="420"/>
      <c r="AF44" s="420"/>
      <c r="AG44" s="420"/>
      <c r="AH44" s="420"/>
      <c r="AI44" s="420"/>
      <c r="AJ44" s="420"/>
      <c r="AK44" s="420"/>
      <c r="AL44" s="420"/>
      <c r="AM44" s="421" t="s">
        <v>411</v>
      </c>
      <c r="AO44" s="118"/>
      <c r="AP44" s="118" t="str">
        <f aca="false">IF(T44="","",T44)</f>
        <v>Территория действия тарифа</v>
      </c>
      <c r="AQ44" s="118"/>
      <c r="AR44" s="118"/>
      <c r="AS44" s="42" t="n">
        <v>21</v>
      </c>
    </row>
    <row r="45" customFormat="false" ht="24" hidden="false" customHeight="true" outlineLevel="0" collapsed="false">
      <c r="A45" s="412" t="s">
        <v>176</v>
      </c>
      <c r="B45" s="412" t="s">
        <v>177</v>
      </c>
      <c r="C45" s="412" t="s">
        <v>178</v>
      </c>
      <c r="D45" s="412"/>
      <c r="E45" s="413"/>
      <c r="F45" s="413"/>
      <c r="G45" s="413" t="n">
        <v>1</v>
      </c>
      <c r="H45" s="412"/>
      <c r="I45" s="412"/>
      <c r="J45" s="412"/>
      <c r="K45" s="412"/>
      <c r="L45" s="414"/>
      <c r="M45" s="40"/>
      <c r="N45" s="40"/>
      <c r="O45" s="40"/>
      <c r="P45" s="425"/>
      <c r="Q45" s="422"/>
      <c r="R45" s="423"/>
      <c r="S45" s="416" t="str">
        <f aca="false">INDEX(PT_DIFFERENTIATION_NUM_CS,MATCH(C45,PT_DIFFERENTIATION_CS_ID,0))</f>
        <v>..</v>
      </c>
      <c r="T45" s="426" t="s">
        <v>412</v>
      </c>
      <c r="U45" s="418"/>
      <c r="V45" s="419"/>
      <c r="W45" s="419"/>
      <c r="X45" s="419"/>
      <c r="Y45" s="419"/>
      <c r="Z45" s="419"/>
      <c r="AA45" s="419"/>
      <c r="AB45" s="419"/>
      <c r="AC45" s="419"/>
      <c r="AD45" s="420" t="str">
        <f aca="false">INDEX(PT_DIFFERENTIATION_CS,MATCH(C45,PT_DIFFERENTIATION_CS_ID,0))</f>
        <v/>
      </c>
      <c r="AE45" s="420"/>
      <c r="AF45" s="420"/>
      <c r="AG45" s="420"/>
      <c r="AH45" s="420"/>
      <c r="AI45" s="420"/>
      <c r="AJ45" s="420"/>
      <c r="AK45" s="420"/>
      <c r="AL45" s="420"/>
      <c r="AM45" s="421" t="s">
        <v>413</v>
      </c>
      <c r="AO45" s="118"/>
      <c r="AP45" s="118" t="str">
        <f aca="false">IF(T45="","",T45)</f>
        <v>Наименование системы теплоснабжения</v>
      </c>
      <c r="AQ45" s="118"/>
      <c r="AR45" s="118"/>
      <c r="AS45" s="42" t="n">
        <v>23</v>
      </c>
    </row>
    <row r="46" customFormat="false" ht="21.75" hidden="false" customHeight="true" outlineLevel="0" collapsed="false">
      <c r="A46" s="412" t="s">
        <v>176</v>
      </c>
      <c r="B46" s="412" t="s">
        <v>177</v>
      </c>
      <c r="C46" s="412" t="s">
        <v>178</v>
      </c>
      <c r="D46" s="412" t="s">
        <v>179</v>
      </c>
      <c r="E46" s="413"/>
      <c r="F46" s="413"/>
      <c r="G46" s="413"/>
      <c r="H46" s="413" t="n">
        <v>1</v>
      </c>
      <c r="I46" s="412"/>
      <c r="J46" s="412"/>
      <c r="K46" s="412"/>
      <c r="L46" s="414"/>
      <c r="M46" s="40"/>
      <c r="N46" s="40"/>
      <c r="O46" s="40"/>
      <c r="P46" s="425"/>
      <c r="Q46" s="422"/>
      <c r="R46" s="423"/>
      <c r="S46" s="416" t="str">
        <f aca="false">INDEX(PT_DIFFERENTIATION_NUM_IST_TE,MATCH(D46,PT_DIFFERENTIATION_IST_TE_ID,0))</f>
        <v>...</v>
      </c>
      <c r="T46" s="427" t="s">
        <v>414</v>
      </c>
      <c r="U46" s="418"/>
      <c r="V46" s="419"/>
      <c r="W46" s="419"/>
      <c r="X46" s="419"/>
      <c r="Y46" s="419"/>
      <c r="Z46" s="419"/>
      <c r="AA46" s="419"/>
      <c r="AB46" s="419"/>
      <c r="AC46" s="419"/>
      <c r="AD46" s="420" t="str">
        <f aca="false">INDEX(PT_DIFFERENTIATION_IST_TE,MATCH(D46,PT_DIFFERENTIATION_IST_TE_ID,0))</f>
        <v/>
      </c>
      <c r="AE46" s="420"/>
      <c r="AF46" s="420"/>
      <c r="AG46" s="420"/>
      <c r="AH46" s="420"/>
      <c r="AI46" s="420"/>
      <c r="AJ46" s="420"/>
      <c r="AK46" s="420"/>
      <c r="AL46" s="420"/>
      <c r="AM46" s="421" t="s">
        <v>415</v>
      </c>
      <c r="AO46" s="118"/>
      <c r="AP46" s="118" t="str">
        <f aca="false">IF(T46="","",T46)</f>
        <v>Источник тепловой энергии</v>
      </c>
      <c r="AQ46" s="118"/>
      <c r="AR46" s="118"/>
      <c r="AS46" s="42" t="n">
        <v>21</v>
      </c>
    </row>
    <row r="47" customFormat="false" ht="49.5" hidden="false" customHeight="true" outlineLevel="0" collapsed="false">
      <c r="A47" s="412" t="s">
        <v>176</v>
      </c>
      <c r="B47" s="412" t="s">
        <v>177</v>
      </c>
      <c r="C47" s="412" t="s">
        <v>178</v>
      </c>
      <c r="D47" s="412" t="s">
        <v>179</v>
      </c>
      <c r="E47" s="413"/>
      <c r="F47" s="413"/>
      <c r="G47" s="413"/>
      <c r="H47" s="413"/>
      <c r="I47" s="428" t="str">
        <f aca="false">S46&amp;".1"</f>
        <v>....1</v>
      </c>
      <c r="J47" s="412"/>
      <c r="K47" s="412"/>
      <c r="L47" s="414" t="s">
        <v>416</v>
      </c>
      <c r="P47" s="121" t="n">
        <v>1</v>
      </c>
      <c r="Q47" s="121"/>
      <c r="R47" s="429"/>
      <c r="S47" s="416" t="str">
        <f aca="false">$I47</f>
        <v>....1</v>
      </c>
      <c r="T47" s="430" t="s">
        <v>417</v>
      </c>
      <c r="U47" s="418"/>
      <c r="V47" s="431"/>
      <c r="W47" s="431"/>
      <c r="X47" s="431"/>
      <c r="Y47" s="431"/>
      <c r="Z47" s="431"/>
      <c r="AA47" s="431"/>
      <c r="AB47" s="431"/>
      <c r="AC47" s="431"/>
      <c r="AD47" s="431"/>
      <c r="AE47" s="431"/>
      <c r="AF47" s="431"/>
      <c r="AG47" s="431"/>
      <c r="AH47" s="431"/>
      <c r="AI47" s="431"/>
      <c r="AJ47" s="431"/>
      <c r="AK47" s="431"/>
      <c r="AL47" s="431"/>
      <c r="AM47" s="421" t="s">
        <v>418</v>
      </c>
      <c r="AO47" s="118"/>
      <c r="AP47" s="118" t="str">
        <f aca="false">IF(T47="","",T47)</f>
        <v>Схема подключения теплопотребляющей установки к коллектору источника тепловой энергии</v>
      </c>
      <c r="AQ47" s="118"/>
      <c r="AR47" s="118"/>
      <c r="AS47" s="42" t="n">
        <v>47</v>
      </c>
    </row>
    <row r="48" customFormat="false" ht="21.75" hidden="false" customHeight="true" outlineLevel="0" collapsed="false">
      <c r="A48" s="412" t="s">
        <v>176</v>
      </c>
      <c r="B48" s="412" t="s">
        <v>177</v>
      </c>
      <c r="C48" s="412" t="s">
        <v>178</v>
      </c>
      <c r="D48" s="412" t="s">
        <v>179</v>
      </c>
      <c r="E48" s="413"/>
      <c r="F48" s="413"/>
      <c r="G48" s="413"/>
      <c r="H48" s="413"/>
      <c r="I48" s="428"/>
      <c r="J48" s="428" t="str">
        <f aca="false">I47&amp;".1"</f>
        <v>....1.1</v>
      </c>
      <c r="K48" s="412"/>
      <c r="L48" s="414" t="s">
        <v>419</v>
      </c>
      <c r="P48" s="121"/>
      <c r="Q48" s="121" t="n">
        <v>1</v>
      </c>
      <c r="R48" s="432"/>
      <c r="S48" s="416" t="str">
        <f aca="false">$J48</f>
        <v>....1.1</v>
      </c>
      <c r="T48" s="433" t="s">
        <v>420</v>
      </c>
      <c r="U48" s="418"/>
      <c r="V48" s="431"/>
      <c r="W48" s="431"/>
      <c r="X48" s="431"/>
      <c r="Y48" s="431"/>
      <c r="Z48" s="431"/>
      <c r="AA48" s="431"/>
      <c r="AB48" s="431"/>
      <c r="AC48" s="431"/>
      <c r="AD48" s="431"/>
      <c r="AE48" s="431"/>
      <c r="AF48" s="431"/>
      <c r="AG48" s="431"/>
      <c r="AH48" s="431"/>
      <c r="AI48" s="431"/>
      <c r="AJ48" s="431"/>
      <c r="AK48" s="431"/>
      <c r="AL48" s="431"/>
      <c r="AM48" s="421" t="s">
        <v>421</v>
      </c>
      <c r="AO48" s="118"/>
      <c r="AP48" s="118" t="str">
        <f aca="false">IF(T48="","",T48)</f>
        <v>Группа потребителей</v>
      </c>
      <c r="AQ48" s="118"/>
      <c r="AR48" s="118"/>
      <c r="AS48" s="42" t="n">
        <v>21</v>
      </c>
    </row>
    <row r="49" customFormat="false" ht="21.75" hidden="false" customHeight="true" outlineLevel="0" collapsed="false">
      <c r="A49" s="412" t="s">
        <v>176</v>
      </c>
      <c r="B49" s="412" t="s">
        <v>177</v>
      </c>
      <c r="C49" s="412" t="s">
        <v>178</v>
      </c>
      <c r="D49" s="412" t="s">
        <v>179</v>
      </c>
      <c r="E49" s="413"/>
      <c r="F49" s="413"/>
      <c r="G49" s="413"/>
      <c r="H49" s="413"/>
      <c r="I49" s="428"/>
      <c r="J49" s="428"/>
      <c r="K49" s="428" t="str">
        <f aca="false">J48&amp;".1"</f>
        <v>....1.1.1</v>
      </c>
      <c r="L49" s="414" t="s">
        <v>422</v>
      </c>
      <c r="P49" s="121"/>
      <c r="Q49" s="121"/>
      <c r="R49" s="432" t="n">
        <v>1</v>
      </c>
      <c r="S49" s="416" t="str">
        <f aca="false">$K49</f>
        <v>....1.1.1</v>
      </c>
      <c r="T49" s="434"/>
      <c r="U49" s="418"/>
      <c r="V49" s="435"/>
      <c r="W49" s="436"/>
      <c r="X49" s="435"/>
      <c r="Y49" s="437"/>
      <c r="Z49" s="438"/>
      <c r="AA49" s="204" t="s">
        <v>61</v>
      </c>
      <c r="AB49" s="438"/>
      <c r="AC49" s="204" t="s">
        <v>61</v>
      </c>
      <c r="AD49" s="435"/>
      <c r="AE49" s="436"/>
      <c r="AF49" s="435"/>
      <c r="AG49" s="437"/>
      <c r="AH49" s="438"/>
      <c r="AI49" s="204" t="s">
        <v>61</v>
      </c>
      <c r="AJ49" s="438"/>
      <c r="AK49" s="204" t="s">
        <v>61</v>
      </c>
      <c r="AL49" s="486"/>
      <c r="AM49" s="439" t="s">
        <v>423</v>
      </c>
      <c r="AN49" s="47" t="e">
        <f aca="false">strcheckdate(V50:AL50)</f>
        <v>#NAME?</v>
      </c>
      <c r="AO49" s="118"/>
      <c r="AP49" s="118" t="str">
        <f aca="false">IF(T49="","",T49)</f>
        <v/>
      </c>
      <c r="AQ49" s="118"/>
      <c r="AR49" s="118"/>
      <c r="AS49" s="42" t="n">
        <v>21</v>
      </c>
    </row>
    <row r="50" customFormat="false" ht="0.75" hidden="false" customHeight="true" outlineLevel="0" collapsed="false">
      <c r="A50" s="412" t="s">
        <v>176</v>
      </c>
      <c r="B50" s="412" t="s">
        <v>177</v>
      </c>
      <c r="C50" s="412" t="s">
        <v>178</v>
      </c>
      <c r="D50" s="412" t="s">
        <v>179</v>
      </c>
      <c r="E50" s="413"/>
      <c r="F50" s="413"/>
      <c r="G50" s="413"/>
      <c r="H50" s="413"/>
      <c r="I50" s="428"/>
      <c r="J50" s="428"/>
      <c r="K50" s="428"/>
      <c r="L50" s="414"/>
      <c r="P50" s="121"/>
      <c r="Q50" s="121"/>
      <c r="R50" s="432"/>
      <c r="S50" s="393"/>
      <c r="T50" s="418"/>
      <c r="U50" s="418"/>
      <c r="V50" s="436"/>
      <c r="W50" s="436"/>
      <c r="X50" s="436"/>
      <c r="Y50" s="440" t="str">
        <f aca="false">Z49&amp;"-"&amp;AB49</f>
        <v>-</v>
      </c>
      <c r="Z50" s="438"/>
      <c r="AA50" s="204"/>
      <c r="AB50" s="438"/>
      <c r="AC50" s="204"/>
      <c r="AD50" s="436"/>
      <c r="AE50" s="436"/>
      <c r="AF50" s="436"/>
      <c r="AG50" s="440" t="str">
        <f aca="false">AH49&amp;"-"&amp;AJ49</f>
        <v>-</v>
      </c>
      <c r="AH50" s="438"/>
      <c r="AI50" s="204"/>
      <c r="AJ50" s="438"/>
      <c r="AK50" s="204"/>
      <c r="AL50" s="487"/>
      <c r="AM50" s="439"/>
      <c r="AO50" s="118"/>
      <c r="AP50" s="118" t="str">
        <f aca="false">IF(T50="","",T50)</f>
        <v/>
      </c>
      <c r="AQ50" s="118"/>
      <c r="AR50" s="118"/>
      <c r="AS50" s="42" t="n">
        <v>1</v>
      </c>
    </row>
    <row r="51" customFormat="false" ht="11.25" hidden="false" customHeight="true" outlineLevel="0" collapsed="false">
      <c r="A51" s="412" t="s">
        <v>176</v>
      </c>
      <c r="B51" s="412" t="s">
        <v>177</v>
      </c>
      <c r="C51" s="412" t="s">
        <v>178</v>
      </c>
      <c r="D51" s="412" t="s">
        <v>179</v>
      </c>
      <c r="E51" s="413"/>
      <c r="F51" s="413"/>
      <c r="G51" s="413"/>
      <c r="H51" s="413"/>
      <c r="I51" s="428"/>
      <c r="J51" s="428"/>
      <c r="K51" s="412"/>
      <c r="L51" s="414"/>
      <c r="P51" s="121"/>
      <c r="Q51" s="121"/>
      <c r="R51" s="429"/>
      <c r="S51" s="441"/>
      <c r="T51" s="442" t="s">
        <v>424</v>
      </c>
      <c r="U51" s="194"/>
      <c r="V51" s="194"/>
      <c r="W51" s="194"/>
      <c r="X51" s="194"/>
      <c r="Y51" s="194"/>
      <c r="Z51" s="194"/>
      <c r="AA51" s="194"/>
      <c r="AB51" s="194"/>
      <c r="AC51" s="194"/>
      <c r="AD51" s="194"/>
      <c r="AE51" s="194"/>
      <c r="AF51" s="194"/>
      <c r="AG51" s="194"/>
      <c r="AH51" s="194"/>
      <c r="AI51" s="194"/>
      <c r="AJ51" s="194"/>
      <c r="AK51" s="194"/>
      <c r="AL51" s="443"/>
      <c r="AM51" s="439"/>
      <c r="AO51" s="118"/>
      <c r="AP51" s="118" t="str">
        <f aca="false">IF(T51="","",T51)</f>
        <v>Добавить вид теплоносителя (параметры теплоносителя)</v>
      </c>
      <c r="AQ51" s="118"/>
      <c r="AR51" s="118"/>
      <c r="AS51" s="42" t="n">
        <v>11</v>
      </c>
    </row>
    <row r="52" customFormat="false" ht="11.25" hidden="false" customHeight="true" outlineLevel="0" collapsed="false">
      <c r="A52" s="412" t="s">
        <v>176</v>
      </c>
      <c r="B52" s="412" t="s">
        <v>177</v>
      </c>
      <c r="C52" s="412" t="s">
        <v>178</v>
      </c>
      <c r="D52" s="412" t="s">
        <v>179</v>
      </c>
      <c r="E52" s="413"/>
      <c r="F52" s="413"/>
      <c r="G52" s="413"/>
      <c r="H52" s="413"/>
      <c r="I52" s="428"/>
      <c r="J52" s="412"/>
      <c r="K52" s="412"/>
      <c r="L52" s="414"/>
      <c r="P52" s="121"/>
      <c r="Q52" s="121"/>
      <c r="R52" s="429"/>
      <c r="S52" s="441"/>
      <c r="T52" s="444" t="s">
        <v>425</v>
      </c>
      <c r="U52" s="194"/>
      <c r="V52" s="194"/>
      <c r="W52" s="194"/>
      <c r="X52" s="194"/>
      <c r="Y52" s="194"/>
      <c r="Z52" s="194"/>
      <c r="AA52" s="194"/>
      <c r="AB52" s="194"/>
      <c r="AC52" s="445"/>
      <c r="AD52" s="194"/>
      <c r="AE52" s="194"/>
      <c r="AF52" s="194"/>
      <c r="AG52" s="194"/>
      <c r="AH52" s="194"/>
      <c r="AI52" s="194"/>
      <c r="AJ52" s="194"/>
      <c r="AK52" s="445"/>
      <c r="AL52" s="194"/>
      <c r="AM52" s="446"/>
      <c r="AO52" s="118"/>
      <c r="AP52" s="118" t="str">
        <f aca="false">IF(T52="","",T52)</f>
        <v>Добавить группу потребителей</v>
      </c>
      <c r="AQ52" s="118"/>
      <c r="AR52" s="118"/>
      <c r="AS52" s="42" t="n">
        <v>11</v>
      </c>
    </row>
    <row r="53" customFormat="false" ht="14.25" hidden="false" customHeight="true" outlineLevel="0" collapsed="false">
      <c r="A53" s="412" t="s">
        <v>176</v>
      </c>
      <c r="B53" s="412" t="s">
        <v>177</v>
      </c>
      <c r="C53" s="412" t="s">
        <v>178</v>
      </c>
      <c r="D53" s="412" t="s">
        <v>179</v>
      </c>
      <c r="E53" s="413"/>
      <c r="F53" s="413"/>
      <c r="G53" s="413"/>
      <c r="H53" s="413"/>
      <c r="I53" s="412"/>
      <c r="J53" s="412"/>
      <c r="K53" s="412"/>
      <c r="L53" s="414"/>
      <c r="M53" s="40"/>
      <c r="N53" s="40"/>
      <c r="O53" s="45"/>
      <c r="P53" s="132"/>
      <c r="Q53" s="447"/>
      <c r="R53" s="415"/>
      <c r="S53" s="441"/>
      <c r="T53" s="448" t="s">
        <v>426</v>
      </c>
      <c r="U53" s="194"/>
      <c r="V53" s="194"/>
      <c r="W53" s="194"/>
      <c r="X53" s="194"/>
      <c r="Y53" s="194"/>
      <c r="Z53" s="194"/>
      <c r="AA53" s="194"/>
      <c r="AB53" s="194"/>
      <c r="AC53" s="445"/>
      <c r="AD53" s="194"/>
      <c r="AE53" s="194"/>
      <c r="AF53" s="194"/>
      <c r="AG53" s="194"/>
      <c r="AH53" s="194"/>
      <c r="AI53" s="194"/>
      <c r="AJ53" s="194"/>
      <c r="AK53" s="445"/>
      <c r="AL53" s="194"/>
      <c r="AM53" s="446"/>
      <c r="AO53" s="118"/>
      <c r="AP53" s="118" t="str">
        <f aca="false">IF(T53="","",T53)</f>
        <v>Добавить схему подключения</v>
      </c>
      <c r="AQ53" s="118"/>
      <c r="AR53" s="118"/>
      <c r="AS53" s="42" t="n">
        <v>14</v>
      </c>
    </row>
    <row r="54" s="47" customFormat="true" ht="0.75" hidden="false" customHeight="true" outlineLevel="0" collapsed="false">
      <c r="A54" s="122" t="s">
        <v>176</v>
      </c>
      <c r="B54" s="122" t="s">
        <v>177</v>
      </c>
      <c r="C54" s="122" t="s">
        <v>178</v>
      </c>
      <c r="D54" s="122"/>
      <c r="E54" s="413"/>
      <c r="F54" s="413"/>
      <c r="G54" s="413"/>
      <c r="H54" s="122"/>
      <c r="I54" s="122"/>
      <c r="J54" s="122"/>
      <c r="K54" s="122"/>
      <c r="L54" s="192"/>
      <c r="M54" s="46"/>
      <c r="N54" s="46"/>
      <c r="P54" s="156"/>
      <c r="Q54" s="449"/>
      <c r="R54" s="156"/>
      <c r="S54" s="454"/>
      <c r="T54" s="457" t="s">
        <v>427</v>
      </c>
      <c r="U54" s="456"/>
      <c r="V54" s="456"/>
      <c r="W54" s="456"/>
      <c r="X54" s="456"/>
      <c r="Y54" s="456"/>
      <c r="Z54" s="456"/>
      <c r="AA54" s="456"/>
      <c r="AB54" s="456"/>
      <c r="AC54" s="456"/>
      <c r="AD54" s="456"/>
      <c r="AE54" s="456"/>
      <c r="AF54" s="456"/>
      <c r="AG54" s="456"/>
      <c r="AH54" s="456"/>
      <c r="AI54" s="456"/>
      <c r="AJ54" s="456"/>
      <c r="AK54" s="456"/>
      <c r="AL54" s="456"/>
      <c r="AM54" s="456"/>
      <c r="AO54" s="118"/>
      <c r="AP54" s="118" t="str">
        <f aca="false">IF(T54="","",T54)</f>
        <v>Добавить источник для дифференциации</v>
      </c>
      <c r="AQ54" s="118"/>
      <c r="AR54" s="118"/>
      <c r="AS54" s="47" t="n">
        <v>1</v>
      </c>
    </row>
    <row r="55" s="47" customFormat="true" ht="0.75" hidden="false" customHeight="true" outlineLevel="0" collapsed="false">
      <c r="A55" s="122" t="s">
        <v>176</v>
      </c>
      <c r="B55" s="122" t="s">
        <v>177</v>
      </c>
      <c r="C55" s="122"/>
      <c r="D55" s="122"/>
      <c r="E55" s="413"/>
      <c r="F55" s="413"/>
      <c r="G55" s="122"/>
      <c r="H55" s="122"/>
      <c r="I55" s="122"/>
      <c r="J55" s="122"/>
      <c r="K55" s="122"/>
      <c r="L55" s="192"/>
      <c r="M55" s="453"/>
      <c r="N55" s="453"/>
      <c r="P55" s="156"/>
      <c r="Q55" s="449"/>
      <c r="R55" s="156"/>
      <c r="S55" s="454"/>
      <c r="T55" s="457" t="s">
        <v>428</v>
      </c>
      <c r="U55" s="456"/>
      <c r="V55" s="456"/>
      <c r="W55" s="456"/>
      <c r="X55" s="456"/>
      <c r="Y55" s="456"/>
      <c r="Z55" s="456"/>
      <c r="AA55" s="456"/>
      <c r="AB55" s="456"/>
      <c r="AC55" s="456"/>
      <c r="AD55" s="456"/>
      <c r="AE55" s="456"/>
      <c r="AF55" s="456"/>
      <c r="AG55" s="456"/>
      <c r="AH55" s="456"/>
      <c r="AI55" s="456"/>
      <c r="AJ55" s="456"/>
      <c r="AK55" s="456"/>
      <c r="AL55" s="456"/>
      <c r="AM55" s="456"/>
      <c r="AO55" s="118"/>
      <c r="AP55" s="118" t="str">
        <f aca="false">IF(T55="","",T55)</f>
        <v>Добавить централизованную систему для дифференциации</v>
      </c>
      <c r="AQ55" s="118"/>
      <c r="AR55" s="118"/>
      <c r="AS55" s="47" t="n">
        <v>1</v>
      </c>
    </row>
    <row r="56" s="47" customFormat="true" ht="0.75" hidden="false" customHeight="true" outlineLevel="0" collapsed="false">
      <c r="A56" s="122" t="s">
        <v>176</v>
      </c>
      <c r="B56" s="122"/>
      <c r="C56" s="122"/>
      <c r="D56" s="122"/>
      <c r="E56" s="413"/>
      <c r="F56" s="122"/>
      <c r="G56" s="122"/>
      <c r="H56" s="122"/>
      <c r="I56" s="122"/>
      <c r="J56" s="122"/>
      <c r="K56" s="122"/>
      <c r="L56" s="192"/>
      <c r="M56" s="453"/>
      <c r="N56" s="453"/>
      <c r="P56" s="156"/>
      <c r="Q56" s="449"/>
      <c r="R56" s="156"/>
      <c r="S56" s="454"/>
      <c r="T56" s="457" t="s">
        <v>429</v>
      </c>
      <c r="U56" s="456"/>
      <c r="V56" s="456"/>
      <c r="W56" s="456"/>
      <c r="X56" s="456"/>
      <c r="Y56" s="456"/>
      <c r="Z56" s="456"/>
      <c r="AA56" s="456"/>
      <c r="AB56" s="456"/>
      <c r="AC56" s="456"/>
      <c r="AD56" s="456"/>
      <c r="AE56" s="456"/>
      <c r="AF56" s="456"/>
      <c r="AG56" s="456"/>
      <c r="AH56" s="456"/>
      <c r="AI56" s="456"/>
      <c r="AJ56" s="456"/>
      <c r="AK56" s="456"/>
      <c r="AL56" s="456"/>
      <c r="AM56" s="456"/>
      <c r="AO56" s="118"/>
      <c r="AP56" s="118" t="str">
        <f aca="false">IF(T56="","",T56)</f>
        <v>Добавить территорию для дифференциации</v>
      </c>
      <c r="AQ56" s="118"/>
      <c r="AR56" s="118"/>
      <c r="AS56" s="47" t="n">
        <v>1</v>
      </c>
    </row>
    <row r="57" s="47" customFormat="true" ht="0.75" hidden="false" customHeight="true" outlineLevel="0" collapsed="false">
      <c r="A57" s="122"/>
      <c r="B57" s="122"/>
      <c r="C57" s="122"/>
      <c r="D57" s="122"/>
      <c r="E57" s="122"/>
      <c r="F57" s="122"/>
      <c r="G57" s="122"/>
      <c r="H57" s="122"/>
      <c r="I57" s="122"/>
      <c r="J57" s="122"/>
      <c r="K57" s="122"/>
      <c r="L57" s="192"/>
      <c r="M57" s="453"/>
      <c r="N57" s="453"/>
      <c r="P57" s="156"/>
      <c r="Q57" s="449"/>
      <c r="R57" s="156"/>
      <c r="S57" s="454"/>
      <c r="T57" s="457" t="s">
        <v>461</v>
      </c>
      <c r="U57" s="456"/>
      <c r="V57" s="456"/>
      <c r="W57" s="456"/>
      <c r="X57" s="456"/>
      <c r="Y57" s="456"/>
      <c r="Z57" s="456"/>
      <c r="AA57" s="456"/>
      <c r="AB57" s="456"/>
      <c r="AC57" s="456"/>
      <c r="AD57" s="456"/>
      <c r="AE57" s="456"/>
      <c r="AF57" s="456"/>
      <c r="AG57" s="456"/>
      <c r="AH57" s="456"/>
      <c r="AI57" s="456"/>
      <c r="AJ57" s="456"/>
      <c r="AK57" s="456"/>
      <c r="AL57" s="456"/>
      <c r="AM57" s="456"/>
      <c r="AO57" s="118"/>
      <c r="AP57" s="118" t="str">
        <f aca="false">IF(T57="","",T57)</f>
        <v>Добавить наименование тарифа</v>
      </c>
      <c r="AQ57" s="118"/>
      <c r="AR57" s="118"/>
      <c r="AS57" s="47"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09"/>
      <c r="T59" s="488"/>
      <c r="U59" s="488"/>
      <c r="V59" s="488"/>
      <c r="W59" s="488"/>
      <c r="X59" s="488"/>
      <c r="Y59" s="488"/>
      <c r="Z59" s="488"/>
      <c r="AA59" s="488"/>
      <c r="AB59" s="488"/>
      <c r="AC59" s="488"/>
      <c r="AD59" s="488"/>
      <c r="AE59" s="488"/>
      <c r="AF59" s="488"/>
      <c r="AG59" s="488"/>
      <c r="AH59" s="488"/>
      <c r="AI59" s="488"/>
      <c r="AJ59" s="488"/>
      <c r="AK59" s="488"/>
      <c r="AL59" s="488"/>
      <c r="AM59" s="488"/>
      <c r="AS59" s="42" t="n">
        <v>27</v>
      </c>
    </row>
    <row r="60" customFormat="false" ht="65.25" hidden="false" customHeight="true" outlineLevel="0" collapsed="false">
      <c r="O60" s="45"/>
      <c r="T60" s="488"/>
      <c r="U60" s="488"/>
      <c r="V60" s="488"/>
      <c r="W60" s="488"/>
      <c r="X60" s="488"/>
      <c r="Y60" s="488"/>
      <c r="Z60" s="488"/>
      <c r="AA60" s="488"/>
      <c r="AB60" s="488"/>
      <c r="AC60" s="488"/>
      <c r="AD60" s="488"/>
      <c r="AE60" s="488"/>
      <c r="AF60" s="488"/>
      <c r="AG60" s="488"/>
      <c r="AH60" s="488"/>
      <c r="AI60" s="488"/>
      <c r="AJ60" s="488"/>
      <c r="AK60" s="488"/>
      <c r="AL60" s="488"/>
      <c r="AM60" s="488"/>
      <c r="AS60" s="42" t="n">
        <v>62</v>
      </c>
    </row>
    <row r="61" customFormat="false" ht="14.25" hidden="false" customHeight="true" outlineLevel="0" collapsed="false">
      <c r="O61" s="45"/>
      <c r="AS61" s="42" t="n">
        <v>14</v>
      </c>
    </row>
    <row r="62" customFormat="false" ht="18.75" hidden="false" customHeight="true" outlineLevel="0" collapsed="false">
      <c r="O62" s="45"/>
      <c r="S62" s="409"/>
      <c r="T62" s="488"/>
      <c r="U62" s="488"/>
      <c r="V62" s="488"/>
      <c r="W62" s="488"/>
      <c r="X62" s="488"/>
      <c r="Y62" s="488"/>
      <c r="Z62" s="488"/>
      <c r="AA62" s="488"/>
      <c r="AB62" s="488"/>
      <c r="AC62" s="488"/>
      <c r="AD62" s="488"/>
      <c r="AE62" s="488"/>
      <c r="AF62" s="488"/>
      <c r="AG62" s="488"/>
      <c r="AH62" s="488"/>
      <c r="AI62" s="488"/>
      <c r="AJ62" s="488"/>
      <c r="AK62" s="488"/>
      <c r="AL62" s="488"/>
      <c r="AM62" s="488"/>
      <c r="AS62" s="42" t="n">
        <v>18</v>
      </c>
    </row>
    <row r="63" customFormat="false" ht="18.75" hidden="false" customHeight="true" outlineLevel="0" collapsed="false">
      <c r="O63" s="45"/>
      <c r="T63" s="488"/>
      <c r="U63" s="488"/>
      <c r="V63" s="488"/>
      <c r="W63" s="488"/>
      <c r="X63" s="488"/>
      <c r="Y63" s="488"/>
      <c r="Z63" s="488"/>
      <c r="AA63" s="488"/>
      <c r="AB63" s="488"/>
      <c r="AC63" s="488"/>
      <c r="AD63" s="488"/>
      <c r="AE63" s="488"/>
      <c r="AF63" s="488"/>
      <c r="AG63" s="488"/>
      <c r="AH63" s="488"/>
      <c r="AI63" s="488"/>
      <c r="AJ63" s="488"/>
      <c r="AK63" s="488"/>
      <c r="AL63" s="488"/>
      <c r="AM63" s="488"/>
      <c r="AS63" s="42" t="n">
        <v>18</v>
      </c>
    </row>
    <row r="64" customFormat="false" ht="29.25" hidden="false" customHeight="true" outlineLevel="0" collapsed="false">
      <c r="O64" s="45"/>
      <c r="S64" s="409"/>
      <c r="T64" s="488"/>
      <c r="U64" s="488"/>
      <c r="V64" s="488"/>
      <c r="W64" s="488"/>
      <c r="X64" s="488"/>
      <c r="Y64" s="488"/>
      <c r="Z64" s="488"/>
      <c r="AA64" s="488"/>
      <c r="AB64" s="488"/>
      <c r="AC64" s="488"/>
      <c r="AD64" s="488"/>
      <c r="AE64" s="488"/>
      <c r="AF64" s="488"/>
      <c r="AG64" s="488"/>
      <c r="AH64" s="488"/>
      <c r="AI64" s="488"/>
      <c r="AJ64" s="488"/>
      <c r="AK64" s="488"/>
      <c r="AL64" s="488"/>
      <c r="AM64" s="488"/>
      <c r="AS64" s="42" t="n">
        <v>28</v>
      </c>
    </row>
    <row r="65" customFormat="false" ht="22.5" hidden="true" customHeight="true" outlineLevel="0" collapsed="false">
      <c r="A65" s="45" t="s">
        <v>81</v>
      </c>
      <c r="B65" s="45" t="n">
        <v>0</v>
      </c>
      <c r="C65" s="45" t="n">
        <v>0</v>
      </c>
      <c r="D65" s="45" t="n">
        <v>0</v>
      </c>
      <c r="E65" s="45" t="n">
        <v>0</v>
      </c>
      <c r="F65" s="45" t="n">
        <v>0</v>
      </c>
      <c r="G65" s="45" t="n">
        <v>0</v>
      </c>
      <c r="H65" s="45" t="n">
        <v>0</v>
      </c>
      <c r="I65" s="45" t="n">
        <v>0</v>
      </c>
      <c r="J65" s="45" t="n">
        <v>0</v>
      </c>
      <c r="K65" s="45" t="n">
        <v>0</v>
      </c>
      <c r="L65" s="44" t="n">
        <v>0</v>
      </c>
      <c r="M65" s="51" t="n">
        <v>0</v>
      </c>
      <c r="N65" s="51" t="n">
        <v>0</v>
      </c>
      <c r="O65" s="51" t="n">
        <v>0</v>
      </c>
      <c r="P65" s="50" t="n">
        <v>3</v>
      </c>
      <c r="Q65" s="411" t="n">
        <v>3</v>
      </c>
      <c r="R65" s="411" t="n">
        <v>3</v>
      </c>
      <c r="S65" s="75"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7" t="n">
        <v>10</v>
      </c>
      <c r="AO65" s="47" t="n">
        <v>10</v>
      </c>
      <c r="AP65" s="47" t="n">
        <v>10</v>
      </c>
      <c r="AQ65" s="47" t="n">
        <v>10</v>
      </c>
      <c r="AR65" s="47"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5"/>
    <col collapsed="false" customWidth="true" hidden="true" outlineLevel="0" max="5" min="5" style="42" width="10"/>
    <col collapsed="false" customWidth="true" hidden="true" outlineLevel="0" max="6" min="6" style="42" width="8.71"/>
    <col collapsed="false" customWidth="true" hidden="true" outlineLevel="0" max="7" min="7" style="42" width="7.57"/>
    <col collapsed="false" customWidth="true" hidden="true" outlineLevel="0" max="8" min="8" style="42" width="11.42"/>
    <col collapsed="false" customWidth="true" hidden="true" outlineLevel="0" max="9" min="9" style="42" width="12"/>
    <col collapsed="false" customWidth="true" hidden="true" outlineLevel="0" max="10" min="10" style="42" width="9.85"/>
    <col collapsed="false" customWidth="true" hidden="true" outlineLevel="0" max="11" min="11" style="42" width="11.42"/>
    <col collapsed="false" customWidth="true" hidden="true" outlineLevel="0" max="12" min="12" style="43" width="19.14"/>
    <col collapsed="false" customWidth="true" hidden="true" outlineLevel="0" max="14" min="13" style="50" width="12.28"/>
    <col collapsed="false" customWidth="true" hidden="true" outlineLevel="0" max="15" min="15" style="50" width="23.42"/>
    <col collapsed="false" customWidth="true" hidden="false" outlineLevel="0" max="16" min="16" style="50" width="3"/>
    <col collapsed="false" customWidth="true" hidden="false" outlineLevel="0" max="18" min="17" style="411" width="3"/>
    <col collapsed="false" customWidth="true" hidden="false" outlineLevel="0" max="19" min="19" style="75" width="12"/>
    <col collapsed="false" customWidth="true" hidden="false" outlineLevel="0" max="20" min="20" style="42" width="31"/>
    <col collapsed="false" customWidth="true" hidden="false" outlineLevel="0" max="21" min="21" style="42" width="0.14"/>
    <col collapsed="false" customWidth="true" hidden="true" outlineLevel="0" max="22" min="22" style="42" width="24.71"/>
    <col collapsed="false" customWidth="true" hidden="true" outlineLevel="0" max="23" min="23" style="42" width="0.14"/>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4"/>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7"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241"/>
      <c r="B2" s="241"/>
      <c r="C2" s="241"/>
      <c r="D2" s="241"/>
      <c r="E2" s="489" t="n">
        <v>1</v>
      </c>
      <c r="F2" s="241"/>
      <c r="G2" s="241"/>
      <c r="H2" s="241"/>
      <c r="I2" s="241"/>
      <c r="J2" s="241"/>
      <c r="K2" s="241"/>
      <c r="L2" s="490"/>
      <c r="M2" s="75"/>
      <c r="N2" s="75"/>
      <c r="O2" s="75"/>
      <c r="Q2" s="132"/>
      <c r="R2" s="415"/>
      <c r="S2" s="416" t="e">
        <f aca="false">INDEX(PT_DIFFERENTIATION_NUM_NTAR,MATCH(A2,PT_DIFFERENTIATION_NTAR_ID,0))</f>
        <v>#N/A</v>
      </c>
      <c r="T2" s="417" t="s">
        <v>138</v>
      </c>
      <c r="U2" s="418"/>
      <c r="V2" s="419"/>
      <c r="W2" s="419"/>
      <c r="X2" s="419"/>
      <c r="Y2" s="419"/>
      <c r="Z2" s="419"/>
      <c r="AA2" s="419"/>
      <c r="AB2" s="419"/>
      <c r="AC2" s="419"/>
      <c r="AD2" s="420" t="e">
        <f aca="false">INDEX(PT_DIFFERENTIATION_NTAR,MATCH(A2,PT_DIFFERENTIATION_NTAR_ID,0))</f>
        <v>#N/A</v>
      </c>
      <c r="AE2" s="420"/>
      <c r="AF2" s="420"/>
      <c r="AG2" s="420"/>
      <c r="AH2" s="420"/>
      <c r="AI2" s="420"/>
      <c r="AJ2" s="420"/>
      <c r="AK2" s="420"/>
      <c r="AL2" s="420"/>
      <c r="AM2" s="421" t="s">
        <v>409</v>
      </c>
      <c r="AO2" s="118"/>
      <c r="AP2" s="118" t="str">
        <f aca="false">IF(T2="","",T2)</f>
        <v>Наименование тарифа</v>
      </c>
      <c r="AQ2" s="118"/>
      <c r="AR2" s="118"/>
      <c r="AS2" s="42" t="n">
        <v>0</v>
      </c>
    </row>
    <row r="3" customFormat="false" ht="21" hidden="true" customHeight="true" outlineLevel="0" collapsed="false">
      <c r="A3" s="241"/>
      <c r="B3" s="241"/>
      <c r="C3" s="241"/>
      <c r="D3" s="241"/>
      <c r="E3" s="489"/>
      <c r="F3" s="489" t="n">
        <v>1</v>
      </c>
      <c r="G3" s="241"/>
      <c r="H3" s="241"/>
      <c r="I3" s="241"/>
      <c r="J3" s="241"/>
      <c r="K3" s="241"/>
      <c r="L3" s="490"/>
      <c r="M3" s="75"/>
      <c r="N3" s="75"/>
      <c r="O3" s="75"/>
      <c r="P3" s="43"/>
      <c r="Q3" s="422"/>
      <c r="R3" s="423"/>
      <c r="S3" s="416" t="e">
        <f aca="false">INDEX(PT_DIFFERENTIATION_NUM_TER,MATCH(B3,PT_DIFFERENTIATION_TER_ID,0))</f>
        <v>#N/A</v>
      </c>
      <c r="T3" s="424" t="s">
        <v>410</v>
      </c>
      <c r="U3" s="418"/>
      <c r="V3" s="419"/>
      <c r="W3" s="419"/>
      <c r="X3" s="419"/>
      <c r="Y3" s="419"/>
      <c r="Z3" s="419"/>
      <c r="AA3" s="419"/>
      <c r="AB3" s="419"/>
      <c r="AC3" s="419"/>
      <c r="AD3" s="420" t="e">
        <f aca="false">INDEX(PT_DIFFERENTIATION_TER,MATCH(B3,PT_DIFFERENTIATION_TER_ID,0))</f>
        <v>#N/A</v>
      </c>
      <c r="AE3" s="420"/>
      <c r="AF3" s="420"/>
      <c r="AG3" s="420"/>
      <c r="AH3" s="420"/>
      <c r="AI3" s="420"/>
      <c r="AJ3" s="420"/>
      <c r="AK3" s="420"/>
      <c r="AL3" s="420"/>
      <c r="AM3" s="421" t="s">
        <v>411</v>
      </c>
      <c r="AO3" s="118"/>
      <c r="AP3" s="118" t="str">
        <f aca="false">IF(T3="","",T3)</f>
        <v>Территория действия тарифа</v>
      </c>
      <c r="AQ3" s="118"/>
      <c r="AR3" s="118"/>
      <c r="AS3" s="42" t="n">
        <v>0</v>
      </c>
    </row>
    <row r="4" customFormat="false" ht="23.25" hidden="true" customHeight="true" outlineLevel="0" collapsed="false">
      <c r="A4" s="241"/>
      <c r="B4" s="241"/>
      <c r="C4" s="241"/>
      <c r="D4" s="241"/>
      <c r="E4" s="489"/>
      <c r="F4" s="489"/>
      <c r="G4" s="489" t="n">
        <v>1</v>
      </c>
      <c r="H4" s="241"/>
      <c r="I4" s="241"/>
      <c r="J4" s="241"/>
      <c r="K4" s="241"/>
      <c r="L4" s="490"/>
      <c r="M4" s="75"/>
      <c r="N4" s="75"/>
      <c r="O4" s="75"/>
      <c r="P4" s="425"/>
      <c r="Q4" s="422"/>
      <c r="R4" s="423"/>
      <c r="S4" s="416" t="e">
        <f aca="false">INDEX(PT_DIFFERENTIATION_NUM_CS,MATCH(C4,PT_DIFFERENTIATION_CS_ID,0))</f>
        <v>#N/A</v>
      </c>
      <c r="T4" s="426" t="s">
        <v>412</v>
      </c>
      <c r="U4" s="418"/>
      <c r="V4" s="419"/>
      <c r="W4" s="419"/>
      <c r="X4" s="419"/>
      <c r="Y4" s="419"/>
      <c r="Z4" s="419"/>
      <c r="AA4" s="419"/>
      <c r="AB4" s="419"/>
      <c r="AC4" s="419"/>
      <c r="AD4" s="420" t="e">
        <f aca="false">INDEX(PT_DIFFERENTIATION_CS,MATCH(C4,PT_DIFFERENTIATION_CS_ID,0))</f>
        <v>#N/A</v>
      </c>
      <c r="AE4" s="420"/>
      <c r="AF4" s="420"/>
      <c r="AG4" s="420"/>
      <c r="AH4" s="420"/>
      <c r="AI4" s="420"/>
      <c r="AJ4" s="420"/>
      <c r="AK4" s="420"/>
      <c r="AL4" s="420"/>
      <c r="AM4" s="421" t="s">
        <v>413</v>
      </c>
      <c r="AO4" s="118"/>
      <c r="AP4" s="118" t="str">
        <f aca="false">IF(T4="","",T4)</f>
        <v>Наименование системы теплоснабжения</v>
      </c>
      <c r="AQ4" s="118"/>
      <c r="AR4" s="118"/>
      <c r="AS4" s="42" t="n">
        <v>0</v>
      </c>
    </row>
    <row r="5" customFormat="false" ht="21" hidden="true" customHeight="true" outlineLevel="0" collapsed="false">
      <c r="A5" s="241"/>
      <c r="B5" s="241"/>
      <c r="C5" s="241"/>
      <c r="D5" s="241"/>
      <c r="E5" s="489"/>
      <c r="F5" s="489"/>
      <c r="G5" s="489"/>
      <c r="H5" s="489" t="n">
        <v>1</v>
      </c>
      <c r="I5" s="241"/>
      <c r="J5" s="241"/>
      <c r="K5" s="241"/>
      <c r="L5" s="490"/>
      <c r="M5" s="75"/>
      <c r="N5" s="75"/>
      <c r="O5" s="75"/>
      <c r="P5" s="425"/>
      <c r="Q5" s="422"/>
      <c r="R5" s="423"/>
      <c r="S5" s="416" t="e">
        <f aca="false">INDEX(PT_DIFFERENTIATION_NUM_IST_TE,MATCH(D5,PT_DIFFERENTIATION_IST_TE_ID,0))</f>
        <v>#N/A</v>
      </c>
      <c r="T5" s="427" t="s">
        <v>414</v>
      </c>
      <c r="U5" s="418"/>
      <c r="V5" s="419"/>
      <c r="W5" s="419"/>
      <c r="X5" s="419"/>
      <c r="Y5" s="419"/>
      <c r="Z5" s="419"/>
      <c r="AA5" s="419"/>
      <c r="AB5" s="419"/>
      <c r="AC5" s="419"/>
      <c r="AD5" s="420" t="e">
        <f aca="false">INDEX(PT_DIFFERENTIATION_IST_TE,MATCH(D5,PT_DIFFERENTIATION_IST_TE_ID,0))</f>
        <v>#N/A</v>
      </c>
      <c r="AE5" s="420"/>
      <c r="AF5" s="420"/>
      <c r="AG5" s="420"/>
      <c r="AH5" s="420"/>
      <c r="AI5" s="420"/>
      <c r="AJ5" s="420"/>
      <c r="AK5" s="420"/>
      <c r="AL5" s="420"/>
      <c r="AM5" s="421" t="s">
        <v>415</v>
      </c>
      <c r="AO5" s="118"/>
      <c r="AP5" s="118" t="str">
        <f aca="false">IF(T5="","",T5)</f>
        <v>Источник тепловой энергии</v>
      </c>
      <c r="AQ5" s="118"/>
      <c r="AR5" s="118"/>
      <c r="AS5" s="42" t="n">
        <v>0</v>
      </c>
    </row>
    <row r="6" customFormat="false" ht="47.25" hidden="true" customHeight="true" outlineLevel="0" collapsed="false">
      <c r="A6" s="241"/>
      <c r="B6" s="241"/>
      <c r="C6" s="241"/>
      <c r="D6" s="241"/>
      <c r="E6" s="489"/>
      <c r="F6" s="489"/>
      <c r="G6" s="489"/>
      <c r="H6" s="489"/>
      <c r="I6" s="146" t="e">
        <f aca="false">S5&amp;".1"</f>
        <v>#N/A</v>
      </c>
      <c r="J6" s="241"/>
      <c r="K6" s="241"/>
      <c r="L6" s="490" t="s">
        <v>416</v>
      </c>
      <c r="M6" s="42"/>
      <c r="P6" s="121" t="n">
        <v>1</v>
      </c>
      <c r="Q6" s="121"/>
      <c r="R6" s="429"/>
      <c r="S6" s="416" t="e">
        <f aca="false">$I6</f>
        <v>#N/A</v>
      </c>
      <c r="T6" s="430" t="s">
        <v>417</v>
      </c>
      <c r="U6" s="418"/>
      <c r="V6" s="431"/>
      <c r="W6" s="431"/>
      <c r="X6" s="431"/>
      <c r="Y6" s="431"/>
      <c r="Z6" s="431"/>
      <c r="AA6" s="431"/>
      <c r="AB6" s="431"/>
      <c r="AC6" s="431"/>
      <c r="AD6" s="431"/>
      <c r="AE6" s="431"/>
      <c r="AF6" s="431"/>
      <c r="AG6" s="431"/>
      <c r="AH6" s="431"/>
      <c r="AI6" s="431"/>
      <c r="AJ6" s="431"/>
      <c r="AK6" s="431"/>
      <c r="AL6" s="431"/>
      <c r="AM6" s="421" t="s">
        <v>418</v>
      </c>
      <c r="AO6" s="118"/>
      <c r="AP6" s="118" t="str">
        <f aca="false">IF(T6="","",T6)</f>
        <v>Схема подключения теплопотребляющей установки к коллектору источника тепловой энергии</v>
      </c>
      <c r="AQ6" s="118"/>
      <c r="AR6" s="118"/>
      <c r="AS6" s="42" t="n">
        <v>0</v>
      </c>
    </row>
    <row r="7" customFormat="false" ht="21" hidden="true" customHeight="true" outlineLevel="0" collapsed="false">
      <c r="A7" s="241"/>
      <c r="B7" s="241"/>
      <c r="C7" s="241"/>
      <c r="D7" s="241"/>
      <c r="E7" s="489"/>
      <c r="F7" s="489"/>
      <c r="G7" s="489"/>
      <c r="H7" s="489"/>
      <c r="I7" s="146"/>
      <c r="J7" s="134" t="e">
        <f aca="false">I6&amp;".1"</f>
        <v>#N/A</v>
      </c>
      <c r="K7" s="241"/>
      <c r="L7" s="490" t="s">
        <v>419</v>
      </c>
      <c r="M7" s="42"/>
      <c r="N7" s="42"/>
      <c r="P7" s="121"/>
      <c r="Q7" s="121" t="n">
        <v>1</v>
      </c>
      <c r="R7" s="432"/>
      <c r="S7" s="416" t="e">
        <f aca="false">$J7</f>
        <v>#N/A</v>
      </c>
      <c r="T7" s="433" t="s">
        <v>420</v>
      </c>
      <c r="U7" s="418"/>
      <c r="V7" s="431"/>
      <c r="W7" s="431"/>
      <c r="X7" s="431"/>
      <c r="Y7" s="431"/>
      <c r="Z7" s="431"/>
      <c r="AA7" s="431"/>
      <c r="AB7" s="431"/>
      <c r="AC7" s="431"/>
      <c r="AD7" s="431"/>
      <c r="AE7" s="431"/>
      <c r="AF7" s="431"/>
      <c r="AG7" s="431"/>
      <c r="AH7" s="431"/>
      <c r="AI7" s="431"/>
      <c r="AJ7" s="431"/>
      <c r="AK7" s="431"/>
      <c r="AL7" s="431"/>
      <c r="AM7" s="421" t="s">
        <v>421</v>
      </c>
      <c r="AO7" s="118"/>
      <c r="AP7" s="118" t="str">
        <f aca="false">IF(T7="","",T7)</f>
        <v>Группа потребителей</v>
      </c>
      <c r="AQ7" s="118"/>
      <c r="AR7" s="118"/>
      <c r="AS7" s="42" t="n">
        <v>0</v>
      </c>
    </row>
    <row r="8" customFormat="false" ht="21" hidden="true" customHeight="true" outlineLevel="0" collapsed="false">
      <c r="A8" s="241"/>
      <c r="B8" s="241"/>
      <c r="C8" s="241"/>
      <c r="D8" s="241"/>
      <c r="E8" s="489"/>
      <c r="F8" s="489"/>
      <c r="G8" s="489"/>
      <c r="H8" s="489"/>
      <c r="I8" s="146"/>
      <c r="J8" s="146"/>
      <c r="K8" s="134" t="e">
        <f aca="false">J7&amp;".1"</f>
        <v>#N/A</v>
      </c>
      <c r="L8" s="490" t="s">
        <v>422</v>
      </c>
      <c r="M8" s="42"/>
      <c r="N8" s="42"/>
      <c r="O8" s="42"/>
      <c r="P8" s="121"/>
      <c r="Q8" s="121"/>
      <c r="R8" s="432" t="n">
        <v>1</v>
      </c>
      <c r="S8" s="416" t="e">
        <f aca="false">$K8</f>
        <v>#N/A</v>
      </c>
      <c r="T8" s="434"/>
      <c r="U8" s="418"/>
      <c r="V8" s="435"/>
      <c r="W8" s="436"/>
      <c r="X8" s="435"/>
      <c r="Y8" s="437"/>
      <c r="Z8" s="438"/>
      <c r="AA8" s="204" t="s">
        <v>61</v>
      </c>
      <c r="AB8" s="438"/>
      <c r="AC8" s="204" t="s">
        <v>61</v>
      </c>
      <c r="AD8" s="435"/>
      <c r="AE8" s="436"/>
      <c r="AF8" s="435"/>
      <c r="AG8" s="437"/>
      <c r="AH8" s="438"/>
      <c r="AI8" s="204" t="s">
        <v>61</v>
      </c>
      <c r="AJ8" s="438"/>
      <c r="AK8" s="204" t="s">
        <v>61</v>
      </c>
      <c r="AL8" s="436"/>
      <c r="AM8" s="439" t="s">
        <v>423</v>
      </c>
      <c r="AN8" s="47" t="e">
        <f aca="false">strcheckdate(V9:AL9)</f>
        <v>#NAME?</v>
      </c>
      <c r="AO8" s="118"/>
      <c r="AP8" s="118" t="str">
        <f aca="false">IF(T8="","",T8)</f>
        <v/>
      </c>
      <c r="AQ8" s="118"/>
      <c r="AR8" s="118"/>
      <c r="AS8" s="42" t="n">
        <v>0</v>
      </c>
    </row>
    <row r="9" customFormat="false" ht="0.75" hidden="true" customHeight="true" outlineLevel="0" collapsed="false">
      <c r="A9" s="241"/>
      <c r="B9" s="241"/>
      <c r="C9" s="241"/>
      <c r="D9" s="241"/>
      <c r="E9" s="489"/>
      <c r="F9" s="489"/>
      <c r="G9" s="489"/>
      <c r="H9" s="489"/>
      <c r="I9" s="146"/>
      <c r="J9" s="146"/>
      <c r="K9" s="134"/>
      <c r="L9" s="490"/>
      <c r="M9" s="42"/>
      <c r="N9" s="42"/>
      <c r="O9" s="42"/>
      <c r="P9" s="121"/>
      <c r="Q9" s="121"/>
      <c r="R9" s="432"/>
      <c r="S9" s="393"/>
      <c r="T9" s="418"/>
      <c r="U9" s="418"/>
      <c r="V9" s="436"/>
      <c r="W9" s="436"/>
      <c r="X9" s="436"/>
      <c r="Y9" s="440" t="str">
        <f aca="false">Z8&amp;"-"&amp;AB8</f>
        <v>-</v>
      </c>
      <c r="Z9" s="438"/>
      <c r="AA9" s="204"/>
      <c r="AB9" s="438"/>
      <c r="AC9" s="204"/>
      <c r="AD9" s="436"/>
      <c r="AE9" s="436"/>
      <c r="AF9" s="436"/>
      <c r="AG9" s="440" t="str">
        <f aca="false">AH8&amp;"-"&amp;AJ8</f>
        <v>-</v>
      </c>
      <c r="AH9" s="438"/>
      <c r="AI9" s="204"/>
      <c r="AJ9" s="438"/>
      <c r="AK9" s="204"/>
      <c r="AL9" s="436"/>
      <c r="AM9" s="439"/>
      <c r="AO9" s="118"/>
      <c r="AP9" s="118" t="str">
        <f aca="false">IF(T9="","",T9)</f>
        <v/>
      </c>
      <c r="AQ9" s="118"/>
      <c r="AR9" s="118"/>
      <c r="AS9" s="42" t="n">
        <v>0</v>
      </c>
    </row>
    <row r="10" customFormat="false" ht="15" hidden="true" customHeight="true" outlineLevel="0" collapsed="false">
      <c r="A10" s="241"/>
      <c r="B10" s="241"/>
      <c r="C10" s="241"/>
      <c r="D10" s="241"/>
      <c r="E10" s="489"/>
      <c r="F10" s="489"/>
      <c r="G10" s="489"/>
      <c r="H10" s="489"/>
      <c r="I10" s="146"/>
      <c r="J10" s="134"/>
      <c r="K10" s="241"/>
      <c r="L10" s="490"/>
      <c r="M10" s="42"/>
      <c r="N10" s="42"/>
      <c r="P10" s="121"/>
      <c r="Q10" s="121"/>
      <c r="R10" s="429"/>
      <c r="S10" s="441"/>
      <c r="T10" s="442" t="s">
        <v>424</v>
      </c>
      <c r="U10" s="194"/>
      <c r="V10" s="194"/>
      <c r="W10" s="194"/>
      <c r="X10" s="194"/>
      <c r="Y10" s="194"/>
      <c r="Z10" s="194"/>
      <c r="AA10" s="194"/>
      <c r="AB10" s="194"/>
      <c r="AC10" s="194"/>
      <c r="AD10" s="194"/>
      <c r="AE10" s="194"/>
      <c r="AF10" s="194"/>
      <c r="AG10" s="194"/>
      <c r="AH10" s="194"/>
      <c r="AI10" s="194"/>
      <c r="AJ10" s="194"/>
      <c r="AK10" s="194"/>
      <c r="AL10" s="443"/>
      <c r="AM10" s="439"/>
      <c r="AO10" s="118"/>
      <c r="AP10" s="118" t="str">
        <f aca="false">IF(T10="","",T10)</f>
        <v>Добавить вид теплоносителя (параметры теплоносителя)</v>
      </c>
      <c r="AQ10" s="118"/>
      <c r="AR10" s="118"/>
      <c r="AS10" s="42" t="n">
        <v>0</v>
      </c>
    </row>
    <row r="11" customFormat="false" ht="15" hidden="true" customHeight="true" outlineLevel="0" collapsed="false">
      <c r="A11" s="241"/>
      <c r="B11" s="241"/>
      <c r="C11" s="241"/>
      <c r="D11" s="241"/>
      <c r="E11" s="489"/>
      <c r="F11" s="489"/>
      <c r="G11" s="489"/>
      <c r="H11" s="489"/>
      <c r="I11" s="146"/>
      <c r="J11" s="241"/>
      <c r="K11" s="241"/>
      <c r="L11" s="490"/>
      <c r="M11" s="42"/>
      <c r="P11" s="121"/>
      <c r="Q11" s="121"/>
      <c r="R11" s="429"/>
      <c r="S11" s="441"/>
      <c r="T11" s="444" t="s">
        <v>425</v>
      </c>
      <c r="U11" s="194"/>
      <c r="V11" s="194"/>
      <c r="W11" s="194"/>
      <c r="X11" s="194"/>
      <c r="Y11" s="194"/>
      <c r="Z11" s="194"/>
      <c r="AA11" s="194"/>
      <c r="AB11" s="194"/>
      <c r="AC11" s="445"/>
      <c r="AD11" s="194"/>
      <c r="AE11" s="194"/>
      <c r="AF11" s="194"/>
      <c r="AG11" s="194"/>
      <c r="AH11" s="194"/>
      <c r="AI11" s="194"/>
      <c r="AJ11" s="194"/>
      <c r="AK11" s="445"/>
      <c r="AL11" s="194"/>
      <c r="AM11" s="446"/>
      <c r="AO11" s="118"/>
      <c r="AP11" s="118" t="str">
        <f aca="false">IF(T11="","",T11)</f>
        <v>Добавить группу потребителей</v>
      </c>
      <c r="AQ11" s="118"/>
      <c r="AR11" s="118"/>
      <c r="AS11" s="42" t="n">
        <v>0</v>
      </c>
    </row>
    <row r="12" customFormat="false" ht="14.25" hidden="true" customHeight="true" outlineLevel="0" collapsed="false">
      <c r="A12" s="241"/>
      <c r="B12" s="241"/>
      <c r="C12" s="241"/>
      <c r="D12" s="241"/>
      <c r="E12" s="489"/>
      <c r="F12" s="489"/>
      <c r="G12" s="489"/>
      <c r="H12" s="489"/>
      <c r="I12" s="241"/>
      <c r="J12" s="241"/>
      <c r="K12" s="241"/>
      <c r="L12" s="490"/>
      <c r="M12" s="75"/>
      <c r="N12" s="75"/>
      <c r="O12" s="42"/>
      <c r="P12" s="132"/>
      <c r="Q12" s="447"/>
      <c r="R12" s="415"/>
      <c r="S12" s="441"/>
      <c r="T12" s="448" t="s">
        <v>426</v>
      </c>
      <c r="U12" s="194"/>
      <c r="V12" s="194"/>
      <c r="W12" s="194"/>
      <c r="X12" s="194"/>
      <c r="Y12" s="194"/>
      <c r="Z12" s="194"/>
      <c r="AA12" s="194"/>
      <c r="AB12" s="194"/>
      <c r="AC12" s="445"/>
      <c r="AD12" s="194"/>
      <c r="AE12" s="194"/>
      <c r="AF12" s="194"/>
      <c r="AG12" s="194"/>
      <c r="AH12" s="194"/>
      <c r="AI12" s="194"/>
      <c r="AJ12" s="194"/>
      <c r="AK12" s="445"/>
      <c r="AL12" s="194"/>
      <c r="AM12" s="446"/>
      <c r="AO12" s="118"/>
      <c r="AP12" s="118" t="str">
        <f aca="false">IF(T12="","",T12)</f>
        <v>Добавить схему подключения</v>
      </c>
      <c r="AQ12" s="118"/>
      <c r="AR12" s="118"/>
      <c r="AS12" s="42" t="n">
        <v>0</v>
      </c>
    </row>
    <row r="13" s="47" customFormat="true" ht="0.75" hidden="true" customHeight="true" outlineLevel="0" collapsed="false">
      <c r="A13" s="491"/>
      <c r="B13" s="491"/>
      <c r="C13" s="491"/>
      <c r="D13" s="491"/>
      <c r="E13" s="489"/>
      <c r="F13" s="489"/>
      <c r="G13" s="489"/>
      <c r="H13" s="491"/>
      <c r="I13" s="491"/>
      <c r="J13" s="491"/>
      <c r="K13" s="491"/>
      <c r="L13" s="492"/>
      <c r="M13" s="493"/>
      <c r="N13" s="493"/>
      <c r="O13" s="120"/>
      <c r="P13" s="156"/>
      <c r="Q13" s="449"/>
      <c r="R13" s="156"/>
      <c r="S13" s="450"/>
      <c r="T13" s="451" t="s">
        <v>427</v>
      </c>
      <c r="U13" s="452"/>
      <c r="V13" s="452"/>
      <c r="W13" s="452"/>
      <c r="X13" s="452"/>
      <c r="Y13" s="452"/>
      <c r="Z13" s="452"/>
      <c r="AA13" s="452"/>
      <c r="AB13" s="452"/>
      <c r="AC13" s="452"/>
      <c r="AD13" s="452"/>
      <c r="AE13" s="452"/>
      <c r="AF13" s="452"/>
      <c r="AG13" s="452"/>
      <c r="AH13" s="452"/>
      <c r="AI13" s="452"/>
      <c r="AJ13" s="452"/>
      <c r="AK13" s="452"/>
      <c r="AL13" s="452"/>
      <c r="AM13" s="452"/>
      <c r="AO13" s="118"/>
      <c r="AP13" s="118" t="str">
        <f aca="false">IF(T13="","",T13)</f>
        <v>Добавить источник для дифференциации</v>
      </c>
      <c r="AQ13" s="118"/>
      <c r="AR13" s="118"/>
      <c r="AS13" s="47" t="n">
        <v>0</v>
      </c>
    </row>
    <row r="14" s="47" customFormat="true" ht="0.75" hidden="true" customHeight="true" outlineLevel="0" collapsed="false">
      <c r="A14" s="491"/>
      <c r="B14" s="491"/>
      <c r="C14" s="491"/>
      <c r="D14" s="491"/>
      <c r="E14" s="489"/>
      <c r="F14" s="489"/>
      <c r="G14" s="491"/>
      <c r="H14" s="491"/>
      <c r="I14" s="491"/>
      <c r="J14" s="491"/>
      <c r="K14" s="491"/>
      <c r="L14" s="492"/>
      <c r="M14" s="494"/>
      <c r="N14" s="494"/>
      <c r="O14" s="120"/>
      <c r="P14" s="156"/>
      <c r="Q14" s="449"/>
      <c r="R14" s="156"/>
      <c r="S14" s="454"/>
      <c r="T14" s="455" t="s">
        <v>428</v>
      </c>
      <c r="U14" s="456"/>
      <c r="V14" s="456"/>
      <c r="W14" s="456"/>
      <c r="X14" s="456"/>
      <c r="Y14" s="456"/>
      <c r="Z14" s="456"/>
      <c r="AA14" s="456"/>
      <c r="AB14" s="456"/>
      <c r="AC14" s="456"/>
      <c r="AD14" s="456"/>
      <c r="AE14" s="456"/>
      <c r="AF14" s="456"/>
      <c r="AG14" s="456"/>
      <c r="AH14" s="456"/>
      <c r="AI14" s="456"/>
      <c r="AJ14" s="456"/>
      <c r="AK14" s="456"/>
      <c r="AL14" s="456"/>
      <c r="AM14" s="456"/>
      <c r="AO14" s="118"/>
      <c r="AP14" s="118" t="str">
        <f aca="false">IF(T14="","",T14)</f>
        <v>Добавить централизованную систему для дифференциации</v>
      </c>
      <c r="AQ14" s="118"/>
      <c r="AR14" s="118"/>
      <c r="AS14" s="47" t="n">
        <v>0</v>
      </c>
    </row>
    <row r="15" s="47" customFormat="true" ht="0.75" hidden="true" customHeight="true" outlineLevel="0" collapsed="false">
      <c r="A15" s="491"/>
      <c r="B15" s="491"/>
      <c r="C15" s="491"/>
      <c r="D15" s="491"/>
      <c r="E15" s="489"/>
      <c r="F15" s="491"/>
      <c r="G15" s="491"/>
      <c r="H15" s="491"/>
      <c r="I15" s="491"/>
      <c r="J15" s="491"/>
      <c r="K15" s="491"/>
      <c r="L15" s="492"/>
      <c r="M15" s="494"/>
      <c r="N15" s="494"/>
      <c r="O15" s="120"/>
      <c r="P15" s="156"/>
      <c r="Q15" s="449"/>
      <c r="R15" s="156"/>
      <c r="S15" s="454"/>
      <c r="T15" s="457" t="s">
        <v>429</v>
      </c>
      <c r="U15" s="456"/>
      <c r="V15" s="456"/>
      <c r="W15" s="456"/>
      <c r="X15" s="456"/>
      <c r="Y15" s="456"/>
      <c r="Z15" s="456"/>
      <c r="AA15" s="456"/>
      <c r="AB15" s="456"/>
      <c r="AC15" s="456"/>
      <c r="AD15" s="456"/>
      <c r="AE15" s="456"/>
      <c r="AF15" s="456"/>
      <c r="AG15" s="456"/>
      <c r="AH15" s="456"/>
      <c r="AI15" s="456"/>
      <c r="AJ15" s="456"/>
      <c r="AK15" s="456"/>
      <c r="AL15" s="456"/>
      <c r="AM15" s="456"/>
      <c r="AO15" s="118"/>
      <c r="AP15" s="118" t="str">
        <f aca="false">IF(T15="","",T15)</f>
        <v>Добавить территорию для дифференциации</v>
      </c>
      <c r="AQ15" s="118"/>
      <c r="AR15" s="118"/>
      <c r="AS15" s="47" t="n">
        <v>0</v>
      </c>
    </row>
    <row r="16" customFormat="false" ht="14.25" hidden="true" customHeight="true" outlineLevel="0" collapsed="false">
      <c r="AS16" s="42" t="n">
        <v>0</v>
      </c>
    </row>
    <row r="17" customFormat="false" ht="14.25" hidden="true" customHeight="true" outlineLevel="0" collapsed="false">
      <c r="AD17" s="458"/>
      <c r="AE17" s="458"/>
      <c r="AF17" s="458"/>
      <c r="AG17" s="459"/>
      <c r="AH17" s="460"/>
      <c r="AI17" s="461" t="s">
        <v>61</v>
      </c>
      <c r="AJ17" s="460"/>
      <c r="AK17" s="461" t="s">
        <v>61</v>
      </c>
      <c r="AS17" s="42" t="n">
        <v>0</v>
      </c>
    </row>
    <row r="18" customFormat="false" ht="14.25" hidden="true" customHeight="true" outlineLevel="0" collapsed="false">
      <c r="AD18" s="458"/>
      <c r="AE18" s="458"/>
      <c r="AF18" s="458"/>
      <c r="AG18" s="440" t="str">
        <f aca="false">AH17&amp;"-"&amp;AJ17</f>
        <v>-</v>
      </c>
      <c r="AH18" s="460"/>
      <c r="AI18" s="460"/>
      <c r="AJ18" s="460"/>
      <c r="AK18" s="460"/>
      <c r="AS18" s="42" t="n">
        <v>0</v>
      </c>
    </row>
    <row r="19" customFormat="false" ht="14.25" hidden="true" customHeight="true" outlineLevel="0" collapsed="false">
      <c r="AS19" s="42" t="n">
        <v>0</v>
      </c>
    </row>
    <row r="20" s="45" customFormat="true" ht="22.5" hidden="true" customHeight="true" outlineLevel="0" collapsed="false">
      <c r="A20" s="42"/>
      <c r="B20" s="42"/>
      <c r="C20" s="42"/>
      <c r="D20" s="42"/>
      <c r="E20" s="42"/>
      <c r="F20" s="42"/>
      <c r="G20" s="42"/>
      <c r="H20" s="42"/>
      <c r="I20" s="42"/>
      <c r="J20" s="42"/>
      <c r="K20" s="42"/>
      <c r="L20" s="43"/>
      <c r="M20" s="50"/>
      <c r="N20" s="50"/>
      <c r="O20" s="495" t="s">
        <v>430</v>
      </c>
      <c r="P20" s="51"/>
      <c r="Q20" s="463"/>
      <c r="R20" s="463"/>
      <c r="S20" s="40"/>
      <c r="Z20" s="462"/>
      <c r="AB20" s="462"/>
      <c r="AH20" s="462"/>
      <c r="AJ20" s="462"/>
      <c r="AN20" s="47"/>
      <c r="AO20" s="47"/>
      <c r="AP20" s="47"/>
      <c r="AQ20" s="47"/>
      <c r="AR20" s="47"/>
      <c r="AS20" s="45" t="n">
        <v>0</v>
      </c>
    </row>
    <row r="21" s="45" customFormat="true" ht="14.25" hidden="true" customHeight="true" outlineLevel="0" collapsed="false">
      <c r="A21" s="42"/>
      <c r="B21" s="42"/>
      <c r="C21" s="42"/>
      <c r="D21" s="42"/>
      <c r="E21" s="42"/>
      <c r="F21" s="42"/>
      <c r="G21" s="42"/>
      <c r="H21" s="42"/>
      <c r="I21" s="42"/>
      <c r="J21" s="42"/>
      <c r="K21" s="42"/>
      <c r="L21" s="43"/>
      <c r="M21" s="50"/>
      <c r="N21" s="50"/>
      <c r="O21" s="50"/>
      <c r="P21" s="51"/>
      <c r="Q21" s="463"/>
      <c r="R21" s="463"/>
      <c r="S21" s="40"/>
      <c r="AN21" s="47"/>
      <c r="AO21" s="47"/>
      <c r="AP21" s="47"/>
      <c r="AQ21" s="47"/>
      <c r="AR21" s="47"/>
      <c r="AS21" s="45" t="n">
        <v>0</v>
      </c>
    </row>
    <row r="22" s="45" customFormat="true" ht="14.25" hidden="true" customHeight="true" outlineLevel="0" collapsed="false">
      <c r="A22" s="42"/>
      <c r="B22" s="42"/>
      <c r="C22" s="42"/>
      <c r="D22" s="42"/>
      <c r="E22" s="42"/>
      <c r="F22" s="42"/>
      <c r="G22" s="42"/>
      <c r="H22" s="42"/>
      <c r="I22" s="42"/>
      <c r="J22" s="42"/>
      <c r="K22" s="42"/>
      <c r="L22" s="43"/>
      <c r="M22" s="50"/>
      <c r="N22" s="50"/>
      <c r="O22" s="490" t="s">
        <v>431</v>
      </c>
      <c r="P22" s="51"/>
      <c r="Q22" s="463"/>
      <c r="R22" s="463"/>
      <c r="S22" s="40"/>
      <c r="T22" s="45" t="s">
        <v>432</v>
      </c>
      <c r="AA22" s="140" t="s">
        <v>433</v>
      </c>
      <c r="AC22" s="140" t="s">
        <v>434</v>
      </c>
      <c r="AD22" s="45" t="s">
        <v>432</v>
      </c>
      <c r="AI22" s="140" t="s">
        <v>435</v>
      </c>
      <c r="AK22" s="140" t="s">
        <v>434</v>
      </c>
      <c r="AN22" s="47"/>
      <c r="AO22" s="47"/>
      <c r="AP22" s="47"/>
      <c r="AQ22" s="47"/>
      <c r="AR22" s="47"/>
      <c r="AS22" s="45" t="n">
        <v>0</v>
      </c>
    </row>
    <row r="23" customFormat="false" ht="14.25" hidden="true" customHeight="true" outlineLevel="0" collapsed="false">
      <c r="O23" s="490"/>
      <c r="AS23" s="42" t="n">
        <v>0</v>
      </c>
    </row>
    <row r="24" customFormat="false" ht="14.25" hidden="true" customHeight="true" outlineLevel="0" collapsed="false">
      <c r="O24" s="490"/>
      <c r="AS24" s="42" t="n">
        <v>0</v>
      </c>
    </row>
    <row r="25" customFormat="false" ht="14.25" hidden="false" customHeight="true" outlineLevel="0" collapsed="false">
      <c r="Q25" s="464"/>
      <c r="R25" s="464"/>
      <c r="S25" s="465"/>
      <c r="T25" s="80"/>
      <c r="U25" s="80"/>
      <c r="AS25" s="42" t="n">
        <v>14</v>
      </c>
    </row>
    <row r="26" customFormat="false" ht="14.25" hidden="false" customHeight="true" outlineLevel="0" collapsed="false">
      <c r="Q26" s="464"/>
      <c r="R26" s="46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64"/>
      <c r="R27" s="464"/>
      <c r="S27" s="261" t="str">
        <f aca="false">IF(org=0,"Не определено",org)</f>
        <v>ООО "Газпром теплоэнерго Ярославль"</v>
      </c>
      <c r="T27" s="261"/>
      <c r="U27" s="261"/>
      <c r="V27" s="261"/>
      <c r="W27" s="261"/>
      <c r="X27" s="261"/>
      <c r="Y27" s="261"/>
      <c r="Z27" s="261"/>
      <c r="AA27" s="261"/>
      <c r="AB27" s="261"/>
      <c r="AC27" s="261"/>
      <c r="AD27" s="261"/>
      <c r="AE27" s="261"/>
      <c r="AF27" s="261"/>
      <c r="AG27" s="261"/>
      <c r="AH27" s="261"/>
      <c r="AI27" s="261"/>
      <c r="AJ27" s="261"/>
      <c r="AK27" s="222"/>
      <c r="AS27" s="42" t="n">
        <v>14</v>
      </c>
    </row>
    <row r="28" customFormat="false" ht="14.25" hidden="true" customHeight="true" outlineLevel="0" collapsed="false">
      <c r="Q28" s="464"/>
      <c r="R28" s="464"/>
      <c r="S28" s="465"/>
      <c r="T28" s="80"/>
      <c r="U28" s="80"/>
      <c r="V28" s="466"/>
      <c r="W28" s="466"/>
      <c r="X28" s="466"/>
      <c r="Y28" s="466"/>
      <c r="Z28" s="466"/>
      <c r="AA28" s="466"/>
      <c r="AB28" s="466"/>
      <c r="AC28" s="466"/>
      <c r="AD28" s="466"/>
      <c r="AE28" s="466"/>
      <c r="AF28" s="466"/>
      <c r="AG28" s="466"/>
      <c r="AH28" s="466"/>
      <c r="AI28" s="466"/>
      <c r="AJ28" s="466"/>
      <c r="AK28" s="466"/>
      <c r="AS28" s="42" t="n">
        <v>0</v>
      </c>
    </row>
    <row r="29" s="175" customFormat="true" ht="25.5" hidden="true" customHeight="true" outlineLevel="0" collapsed="false">
      <c r="A29" s="96"/>
      <c r="B29" s="96"/>
      <c r="C29" s="96"/>
      <c r="D29" s="96"/>
      <c r="E29" s="96"/>
      <c r="F29" s="96"/>
      <c r="G29" s="96"/>
      <c r="H29" s="96"/>
      <c r="I29" s="96"/>
      <c r="J29" s="96"/>
      <c r="K29" s="96"/>
      <c r="L29" s="490"/>
      <c r="M29" s="96"/>
      <c r="N29" s="96"/>
      <c r="O29" s="96"/>
      <c r="S29" s="467" t="s">
        <v>40</v>
      </c>
      <c r="T29" s="467"/>
      <c r="U29" s="468"/>
      <c r="V29" s="469" t="str">
        <f aca="false">IF(TITLE_NAME_OR_PR_CHANGE="",IF(TITLE_NAME_OR_PR="","",TITLE_NAME_OR_PR),TITLE_NAME_OR_PR_CHANGE)</f>
        <v/>
      </c>
      <c r="W29" s="469"/>
      <c r="X29" s="469"/>
      <c r="Y29" s="469"/>
      <c r="Z29" s="469"/>
      <c r="AA29" s="469"/>
      <c r="AB29" s="469"/>
      <c r="AC29" s="42"/>
      <c r="AD29" s="469" t="str">
        <f aca="false">IF(TITLE_NAME_OR_PR_CHANGE="",IF(TITLE_NAME_OR_PR="","",TITLE_NAME_OR_PR),TITLE_NAME_OR_PR_CHANGE)</f>
        <v/>
      </c>
      <c r="AE29" s="469"/>
      <c r="AF29" s="469"/>
      <c r="AG29" s="469"/>
      <c r="AH29" s="469"/>
      <c r="AI29" s="469"/>
      <c r="AJ29" s="469"/>
      <c r="AK29" s="42"/>
      <c r="AL29" s="42"/>
      <c r="AM29" s="470"/>
      <c r="AN29" s="118"/>
      <c r="AO29" s="118"/>
      <c r="AP29" s="118"/>
      <c r="AQ29" s="118"/>
      <c r="AR29" s="118"/>
      <c r="AS29" s="175" t="n">
        <v>0</v>
      </c>
    </row>
    <row r="30" s="175" customFormat="true" ht="18.75" hidden="true" customHeight="true" outlineLevel="0" collapsed="false">
      <c r="A30" s="96"/>
      <c r="B30" s="96"/>
      <c r="C30" s="96"/>
      <c r="D30" s="96"/>
      <c r="E30" s="96"/>
      <c r="F30" s="96"/>
      <c r="G30" s="96"/>
      <c r="H30" s="96"/>
      <c r="I30" s="96"/>
      <c r="J30" s="96"/>
      <c r="K30" s="96"/>
      <c r="L30" s="490"/>
      <c r="M30" s="96"/>
      <c r="N30" s="96"/>
      <c r="O30" s="96"/>
      <c r="S30" s="467" t="s">
        <v>436</v>
      </c>
      <c r="T30" s="467"/>
      <c r="U30" s="468"/>
      <c r="V30" s="471" t="str">
        <f aca="false">IF(TITLE_DATE_PR_CHANGE="",IF(TITLE_DATE_PR="","",TITLE_DATE_PR),TITLE_DATE_PR_CHANGE)</f>
        <v/>
      </c>
      <c r="W30" s="471"/>
      <c r="X30" s="471"/>
      <c r="Y30" s="471"/>
      <c r="Z30" s="471"/>
      <c r="AA30" s="471"/>
      <c r="AB30" s="471"/>
      <c r="AC30" s="42"/>
      <c r="AD30" s="471" t="str">
        <f aca="false">IF(TITLE_DATE_PR_CHANGE="",IF(TITLE_DATE_PR="","",TITLE_DATE_PR),TITLE_DATE_PR_CHANGE)</f>
        <v/>
      </c>
      <c r="AE30" s="471"/>
      <c r="AF30" s="471"/>
      <c r="AG30" s="471"/>
      <c r="AH30" s="471"/>
      <c r="AI30" s="471"/>
      <c r="AJ30" s="471"/>
      <c r="AK30" s="42"/>
      <c r="AL30" s="42"/>
      <c r="AM30" s="470"/>
      <c r="AN30" s="118"/>
      <c r="AO30" s="118"/>
      <c r="AP30" s="118"/>
      <c r="AQ30" s="118"/>
      <c r="AR30" s="118"/>
      <c r="AS30" s="175" t="n">
        <v>0</v>
      </c>
    </row>
    <row r="31" s="175" customFormat="true" ht="18.75" hidden="true" customHeight="true" outlineLevel="0" collapsed="false">
      <c r="A31" s="96"/>
      <c r="B31" s="96"/>
      <c r="C31" s="96"/>
      <c r="D31" s="96"/>
      <c r="E31" s="96"/>
      <c r="F31" s="96"/>
      <c r="G31" s="96"/>
      <c r="H31" s="96"/>
      <c r="I31" s="96"/>
      <c r="J31" s="96"/>
      <c r="K31" s="96"/>
      <c r="L31" s="490"/>
      <c r="M31" s="96"/>
      <c r="N31" s="96"/>
      <c r="O31" s="96"/>
      <c r="S31" s="467" t="s">
        <v>437</v>
      </c>
      <c r="T31" s="467"/>
      <c r="U31" s="468"/>
      <c r="V31" s="469" t="str">
        <f aca="false">IF(TITLE_NUMBER_PR_CHANGE="",IF(TITLE_NUMBER_PR="","",TITLE_NUMBER_PR),TITLE_NUMBER_PR_CHANGE)</f>
        <v/>
      </c>
      <c r="W31" s="469"/>
      <c r="X31" s="469"/>
      <c r="Y31" s="469"/>
      <c r="Z31" s="469"/>
      <c r="AA31" s="469"/>
      <c r="AB31" s="469"/>
      <c r="AC31" s="42"/>
      <c r="AD31" s="469" t="str">
        <f aca="false">IF(TITLE_NUMBER_PR_CHANGE="",IF(TITLE_NUMBER_PR="","",TITLE_NUMBER_PR),TITLE_NUMBER_PR_CHANGE)</f>
        <v/>
      </c>
      <c r="AE31" s="469"/>
      <c r="AF31" s="469"/>
      <c r="AG31" s="469"/>
      <c r="AH31" s="469"/>
      <c r="AI31" s="469"/>
      <c r="AJ31" s="469"/>
      <c r="AK31" s="42"/>
      <c r="AL31" s="42"/>
      <c r="AM31" s="470"/>
      <c r="AN31" s="118"/>
      <c r="AO31" s="118"/>
      <c r="AP31" s="118"/>
      <c r="AQ31" s="118"/>
      <c r="AR31" s="118"/>
      <c r="AS31" s="175" t="n">
        <v>0</v>
      </c>
    </row>
    <row r="32" s="175" customFormat="true" ht="18.75" hidden="true" customHeight="true" outlineLevel="0" collapsed="false">
      <c r="A32" s="96"/>
      <c r="B32" s="96"/>
      <c r="C32" s="96"/>
      <c r="D32" s="96"/>
      <c r="E32" s="96"/>
      <c r="F32" s="96"/>
      <c r="G32" s="96"/>
      <c r="H32" s="96"/>
      <c r="I32" s="96"/>
      <c r="J32" s="96"/>
      <c r="K32" s="96"/>
      <c r="L32" s="490"/>
      <c r="M32" s="96"/>
      <c r="N32" s="96"/>
      <c r="O32" s="96"/>
      <c r="S32" s="467" t="s">
        <v>41</v>
      </c>
      <c r="T32" s="467"/>
      <c r="U32" s="468"/>
      <c r="V32" s="469" t="str">
        <f aca="false">IF(TITLE_IST_PUB_CHANGE="",IF(TITLE_IST_PUB="","",TITLE_IST_PUB),TITLE_IST_PUB_CHANGE)</f>
        <v/>
      </c>
      <c r="W32" s="469"/>
      <c r="X32" s="469"/>
      <c r="Y32" s="469"/>
      <c r="Z32" s="469"/>
      <c r="AA32" s="469"/>
      <c r="AB32" s="469"/>
      <c r="AC32" s="42"/>
      <c r="AD32" s="469" t="str">
        <f aca="false">IF(TITLE_IST_PUB_CHANGE="",IF(TITLE_IST_PUB="","",TITLE_IST_PUB),TITLE_IST_PUB_CHANGE)</f>
        <v/>
      </c>
      <c r="AE32" s="469"/>
      <c r="AF32" s="469"/>
      <c r="AG32" s="469"/>
      <c r="AH32" s="469"/>
      <c r="AI32" s="469"/>
      <c r="AJ32" s="469"/>
      <c r="AK32" s="42"/>
      <c r="AL32" s="42"/>
      <c r="AM32" s="470"/>
      <c r="AN32" s="118"/>
      <c r="AO32" s="118"/>
      <c r="AP32" s="118"/>
      <c r="AQ32" s="118"/>
      <c r="AR32" s="118"/>
      <c r="AS32" s="175" t="n">
        <v>0</v>
      </c>
    </row>
    <row r="33" customFormat="false" ht="14.25" hidden="true" customHeight="true" outlineLevel="0" collapsed="false">
      <c r="Q33" s="464"/>
      <c r="R33" s="464"/>
      <c r="S33" s="465"/>
      <c r="T33" s="80"/>
      <c r="U33" s="80"/>
      <c r="V33" s="466"/>
      <c r="W33" s="466"/>
      <c r="X33" s="466"/>
      <c r="Y33" s="466"/>
      <c r="Z33" s="466"/>
      <c r="AA33" s="466"/>
      <c r="AB33" s="466"/>
      <c r="AC33" s="466"/>
      <c r="AD33" s="466"/>
      <c r="AE33" s="466"/>
      <c r="AF33" s="466"/>
      <c r="AG33" s="466"/>
      <c r="AH33" s="466"/>
      <c r="AI33" s="466"/>
      <c r="AJ33" s="466"/>
      <c r="AK33" s="466"/>
      <c r="AS33" s="42" t="n">
        <v>0</v>
      </c>
    </row>
    <row r="34" s="175" customFormat="true" ht="18.75" hidden="true" customHeight="true" outlineLevel="0" collapsed="false">
      <c r="A34" s="96"/>
      <c r="B34" s="96"/>
      <c r="C34" s="96"/>
      <c r="D34" s="96"/>
      <c r="E34" s="96"/>
      <c r="F34" s="96"/>
      <c r="G34" s="96"/>
      <c r="H34" s="96"/>
      <c r="I34" s="96"/>
      <c r="J34" s="96"/>
      <c r="K34" s="96"/>
      <c r="L34" s="490"/>
      <c r="M34" s="96"/>
      <c r="N34" s="96"/>
      <c r="O34" s="96"/>
      <c r="S34" s="467" t="s">
        <v>438</v>
      </c>
      <c r="T34" s="467"/>
      <c r="U34" s="468"/>
      <c r="V34" s="471" t="str">
        <f aca="false">IF(TITLE_DATE_PR_CHANGE="",IF(TITLE_DATE_PR="","",TITLE_DATE_PR),TITLE_DATE_PR_CHANGE)</f>
        <v/>
      </c>
      <c r="W34" s="471"/>
      <c r="X34" s="471"/>
      <c r="Y34" s="471"/>
      <c r="Z34" s="471"/>
      <c r="AA34" s="471"/>
      <c r="AB34" s="471"/>
      <c r="AC34" s="42"/>
      <c r="AD34" s="471" t="str">
        <f aca="false">IF(TITLE_DATE_PR_CHANGE="",IF(TITLE_DATE_PR="","",TITLE_DATE_PR),TITLE_DATE_PR_CHANGE)</f>
        <v/>
      </c>
      <c r="AE34" s="471"/>
      <c r="AF34" s="471"/>
      <c r="AG34" s="471"/>
      <c r="AH34" s="471"/>
      <c r="AI34" s="471"/>
      <c r="AJ34" s="471"/>
      <c r="AK34" s="42"/>
      <c r="AL34" s="42"/>
      <c r="AM34" s="470"/>
      <c r="AN34" s="118"/>
      <c r="AO34" s="118"/>
      <c r="AP34" s="118"/>
      <c r="AQ34" s="118"/>
      <c r="AR34" s="118"/>
      <c r="AS34" s="175" t="n">
        <v>0</v>
      </c>
    </row>
    <row r="35" s="175" customFormat="true" ht="18.75" hidden="true" customHeight="true" outlineLevel="0" collapsed="false">
      <c r="A35" s="96"/>
      <c r="B35" s="96"/>
      <c r="C35" s="96"/>
      <c r="D35" s="96"/>
      <c r="E35" s="96"/>
      <c r="F35" s="96"/>
      <c r="G35" s="96"/>
      <c r="H35" s="96"/>
      <c r="I35" s="96"/>
      <c r="J35" s="96"/>
      <c r="K35" s="96"/>
      <c r="L35" s="490"/>
      <c r="M35" s="96"/>
      <c r="N35" s="96"/>
      <c r="O35" s="96"/>
      <c r="S35" s="467" t="s">
        <v>439</v>
      </c>
      <c r="T35" s="467"/>
      <c r="U35" s="468"/>
      <c r="V35" s="469" t="str">
        <f aca="false">IF(TITLE_NUMBER_PR_CHANGE="",IF(TITLE_NUMBER_PR="","",TITLE_NUMBER_PR),TITLE_NUMBER_PR_CHANGE)</f>
        <v/>
      </c>
      <c r="W35" s="469"/>
      <c r="X35" s="469"/>
      <c r="Y35" s="469"/>
      <c r="Z35" s="469"/>
      <c r="AA35" s="469"/>
      <c r="AB35" s="469"/>
      <c r="AC35" s="42"/>
      <c r="AD35" s="469" t="str">
        <f aca="false">IF(TITLE_NUMBER_PR_CHANGE="",IF(TITLE_NUMBER_PR="","",TITLE_NUMBER_PR),TITLE_NUMBER_PR_CHANGE)</f>
        <v/>
      </c>
      <c r="AE35" s="469"/>
      <c r="AF35" s="469"/>
      <c r="AG35" s="469"/>
      <c r="AH35" s="469"/>
      <c r="AI35" s="469"/>
      <c r="AJ35" s="469"/>
      <c r="AK35" s="42"/>
      <c r="AL35" s="42"/>
      <c r="AM35" s="470"/>
      <c r="AN35" s="118"/>
      <c r="AO35" s="118"/>
      <c r="AP35" s="118"/>
      <c r="AQ35" s="118"/>
      <c r="AR35" s="118"/>
      <c r="AS35" s="175" t="n">
        <v>0</v>
      </c>
    </row>
    <row r="36" s="175" customFormat="true" ht="12.8" hidden="false" customHeight="false" outlineLevel="0" collapsed="false">
      <c r="A36" s="96"/>
      <c r="B36" s="96"/>
      <c r="C36" s="96"/>
      <c r="D36" s="96"/>
      <c r="E36" s="96"/>
      <c r="F36" s="96"/>
      <c r="G36" s="96"/>
      <c r="H36" s="96"/>
      <c r="I36" s="96"/>
      <c r="J36" s="96"/>
      <c r="K36" s="96"/>
      <c r="L36" s="490"/>
      <c r="M36" s="96"/>
      <c r="N36" s="96"/>
      <c r="O36" s="96"/>
      <c r="S36" s="42"/>
      <c r="T36" s="42"/>
      <c r="U36" s="128"/>
      <c r="V36" s="42"/>
      <c r="W36" s="42"/>
      <c r="X36" s="42"/>
      <c r="Y36" s="42"/>
      <c r="Z36" s="42"/>
      <c r="AA36" s="42"/>
      <c r="AB36" s="42"/>
      <c r="AC36" s="47" t="s">
        <v>440</v>
      </c>
      <c r="AD36" s="42"/>
      <c r="AE36" s="42"/>
      <c r="AF36" s="42"/>
      <c r="AG36" s="42"/>
      <c r="AH36" s="42"/>
      <c r="AI36" s="42"/>
      <c r="AJ36" s="42"/>
      <c r="AK36" s="47" t="s">
        <v>440</v>
      </c>
      <c r="AN36" s="118"/>
      <c r="AO36" s="118"/>
      <c r="AP36" s="118"/>
      <c r="AQ36" s="118"/>
      <c r="AR36" s="118"/>
      <c r="AS36" s="175" t="n">
        <v>0</v>
      </c>
    </row>
    <row r="37" customFormat="false" ht="14.25" hidden="false" customHeight="true" outlineLevel="0" collapsed="false">
      <c r="Q37" s="464"/>
      <c r="R37" s="464"/>
      <c r="S37" s="465"/>
      <c r="T37" s="80"/>
      <c r="U37" s="472"/>
      <c r="V37" s="473"/>
      <c r="W37" s="473"/>
      <c r="X37" s="473"/>
      <c r="Y37" s="473"/>
      <c r="Z37" s="473"/>
      <c r="AA37" s="473"/>
      <c r="AB37" s="473"/>
      <c r="AC37" s="473"/>
      <c r="AD37" s="473"/>
      <c r="AE37" s="473"/>
      <c r="AF37" s="473"/>
      <c r="AG37" s="473"/>
      <c r="AH37" s="473"/>
      <c r="AI37" s="473"/>
      <c r="AJ37" s="473"/>
      <c r="AK37" s="473"/>
      <c r="AS37" s="42" t="n">
        <v>14</v>
      </c>
    </row>
    <row r="38" customFormat="false" ht="14.25" hidden="false" customHeight="true" outlineLevel="0" collapsed="false">
      <c r="Q38" s="464"/>
      <c r="R38" s="464"/>
      <c r="S38" s="134" t="s">
        <v>313</v>
      </c>
      <c r="T38" s="134"/>
      <c r="U38" s="134"/>
      <c r="V38" s="134"/>
      <c r="W38" s="134"/>
      <c r="X38" s="134"/>
      <c r="Y38" s="134"/>
      <c r="Z38" s="134"/>
      <c r="AA38" s="134"/>
      <c r="AB38" s="134"/>
      <c r="AC38" s="134"/>
      <c r="AD38" s="134"/>
      <c r="AE38" s="134"/>
      <c r="AF38" s="134"/>
      <c r="AG38" s="134"/>
      <c r="AH38" s="134"/>
      <c r="AI38" s="134"/>
      <c r="AJ38" s="134"/>
      <c r="AK38" s="134"/>
      <c r="AL38" s="134"/>
      <c r="AM38" s="134" t="s">
        <v>314</v>
      </c>
      <c r="AS38" s="42" t="n">
        <v>14</v>
      </c>
    </row>
    <row r="39" customFormat="false" ht="14.25" hidden="false" customHeight="true" outlineLevel="0" collapsed="false">
      <c r="Q39" s="464"/>
      <c r="R39" s="464"/>
      <c r="S39" s="474" t="s">
        <v>87</v>
      </c>
      <c r="T39" s="391" t="s">
        <v>441</v>
      </c>
      <c r="U39" s="475"/>
      <c r="V39" s="296" t="s">
        <v>442</v>
      </c>
      <c r="W39" s="296"/>
      <c r="X39" s="296"/>
      <c r="Y39" s="296"/>
      <c r="Z39" s="296"/>
      <c r="AA39" s="296"/>
      <c r="AB39" s="296"/>
      <c r="AC39" s="391" t="s">
        <v>443</v>
      </c>
      <c r="AD39" s="296" t="s">
        <v>442</v>
      </c>
      <c r="AE39" s="296"/>
      <c r="AF39" s="296"/>
      <c r="AG39" s="296"/>
      <c r="AH39" s="296"/>
      <c r="AI39" s="296"/>
      <c r="AJ39" s="296"/>
      <c r="AK39" s="391" t="s">
        <v>444</v>
      </c>
      <c r="AL39" s="476" t="s">
        <v>445</v>
      </c>
      <c r="AM39" s="134"/>
      <c r="AS39" s="42" t="n">
        <v>14</v>
      </c>
    </row>
    <row r="40" customFormat="false" ht="35.25" hidden="false" customHeight="true" outlineLevel="0" collapsed="false">
      <c r="Q40" s="464"/>
      <c r="R40" s="464"/>
      <c r="S40" s="474"/>
      <c r="T40" s="391"/>
      <c r="U40" s="477"/>
      <c r="V40" s="134" t="s">
        <v>446</v>
      </c>
      <c r="W40" s="428" t="s">
        <v>447</v>
      </c>
      <c r="X40" s="134" t="s">
        <v>448</v>
      </c>
      <c r="Y40" s="134"/>
      <c r="Z40" s="134" t="s">
        <v>462</v>
      </c>
      <c r="AA40" s="134"/>
      <c r="AB40" s="134"/>
      <c r="AC40" s="391"/>
      <c r="AD40" s="134" t="s">
        <v>446</v>
      </c>
      <c r="AE40" s="428" t="s">
        <v>447</v>
      </c>
      <c r="AF40" s="134" t="s">
        <v>448</v>
      </c>
      <c r="AG40" s="134"/>
      <c r="AH40" s="134" t="s">
        <v>449</v>
      </c>
      <c r="AI40" s="134"/>
      <c r="AJ40" s="134"/>
      <c r="AK40" s="391"/>
      <c r="AL40" s="476"/>
      <c r="AM40" s="134"/>
      <c r="AS40" s="42" t="n">
        <v>34</v>
      </c>
    </row>
    <row r="41" customFormat="false" ht="35.25" hidden="false" customHeight="true" outlineLevel="0" collapsed="false">
      <c r="A41" s="96"/>
      <c r="B41" s="96" t="s">
        <v>150</v>
      </c>
      <c r="C41" s="96" t="s">
        <v>151</v>
      </c>
      <c r="D41" s="96" t="s">
        <v>152</v>
      </c>
      <c r="E41" s="490" t="s">
        <v>450</v>
      </c>
      <c r="F41" s="490" t="s">
        <v>451</v>
      </c>
      <c r="G41" s="490" t="s">
        <v>452</v>
      </c>
      <c r="H41" s="490" t="s">
        <v>453</v>
      </c>
      <c r="I41" s="490" t="s">
        <v>454</v>
      </c>
      <c r="J41" s="490" t="s">
        <v>455</v>
      </c>
      <c r="K41" s="490" t="s">
        <v>456</v>
      </c>
      <c r="L41" s="490" t="s">
        <v>431</v>
      </c>
      <c r="Q41" s="464"/>
      <c r="R41" s="464"/>
      <c r="S41" s="474"/>
      <c r="T41" s="391"/>
      <c r="U41" s="478"/>
      <c r="V41" s="134"/>
      <c r="W41" s="428"/>
      <c r="X41" s="185" t="s">
        <v>457</v>
      </c>
      <c r="Y41" s="185" t="s">
        <v>458</v>
      </c>
      <c r="Z41" s="185" t="s">
        <v>459</v>
      </c>
      <c r="AA41" s="185" t="s">
        <v>460</v>
      </c>
      <c r="AB41" s="185"/>
      <c r="AC41" s="391"/>
      <c r="AD41" s="134"/>
      <c r="AE41" s="428"/>
      <c r="AF41" s="185" t="s">
        <v>457</v>
      </c>
      <c r="AG41" s="185" t="s">
        <v>458</v>
      </c>
      <c r="AH41" s="185" t="s">
        <v>459</v>
      </c>
      <c r="AI41" s="185" t="s">
        <v>460</v>
      </c>
      <c r="AJ41" s="185"/>
      <c r="AK41" s="391"/>
      <c r="AL41" s="476"/>
      <c r="AM41" s="134"/>
      <c r="AS41" s="42" t="n">
        <v>34</v>
      </c>
    </row>
    <row r="42" s="120" customFormat="true" ht="11.25" hidden="true" customHeight="true" outlineLevel="0" collapsed="false">
      <c r="A42" s="96"/>
      <c r="B42" s="96"/>
      <c r="C42" s="96"/>
      <c r="D42" s="96"/>
      <c r="E42" s="96"/>
      <c r="F42" s="96"/>
      <c r="G42" s="96"/>
      <c r="H42" s="96"/>
      <c r="I42" s="96"/>
      <c r="J42" s="96"/>
      <c r="K42" s="96"/>
      <c r="L42" s="490"/>
      <c r="M42" s="50"/>
      <c r="N42" s="50"/>
      <c r="O42" s="50"/>
      <c r="P42" s="479"/>
      <c r="Q42" s="480"/>
      <c r="R42" s="481" t="n">
        <v>1</v>
      </c>
      <c r="S42" s="482" t="s">
        <v>120</v>
      </c>
      <c r="T42" s="483" t="s">
        <v>102</v>
      </c>
      <c r="U42" s="484" t="str">
        <f aca="true">OFFSET(U42,0,-1)</f>
        <v>2</v>
      </c>
      <c r="V42" s="485" t="n">
        <f aca="true">OFFSET(V42,0,-1)+1</f>
        <v>3</v>
      </c>
      <c r="W42" s="485"/>
      <c r="X42" s="485" t="n">
        <f aca="true">OFFSET(X42,0,-1)+1</f>
        <v>1</v>
      </c>
      <c r="Y42" s="485" t="n">
        <f aca="true">OFFSET(Y42,0,-1)+1</f>
        <v>2</v>
      </c>
      <c r="Z42" s="485" t="n">
        <f aca="true">OFFSET(Z42,0,-1)+1</f>
        <v>3</v>
      </c>
      <c r="AA42" s="485" t="n">
        <f aca="true">OFFSET(AA42,0,-1)+1</f>
        <v>4</v>
      </c>
      <c r="AB42" s="485"/>
      <c r="AC42" s="485" t="n">
        <f aca="true">OFFSET(AC42,0,-2)+1</f>
        <v>5</v>
      </c>
      <c r="AD42" s="485" t="n">
        <f aca="true">OFFSET(AD42,0,-1)+1</f>
        <v>6</v>
      </c>
      <c r="AE42" s="485"/>
      <c r="AF42" s="485" t="n">
        <f aca="true">OFFSET(AF42,0,-1)+1</f>
        <v>1</v>
      </c>
      <c r="AG42" s="485" t="n">
        <f aca="true">OFFSET(AG42,0,-1)+1</f>
        <v>2</v>
      </c>
      <c r="AH42" s="485" t="n">
        <f aca="true">OFFSET(AH42,0,-1)+1</f>
        <v>3</v>
      </c>
      <c r="AI42" s="485" t="n">
        <f aca="true">OFFSET(AI42,0,-1)+1</f>
        <v>4</v>
      </c>
      <c r="AJ42" s="485"/>
      <c r="AK42" s="485" t="n">
        <f aca="true">OFFSET(AK42,0,-2)+1</f>
        <v>5</v>
      </c>
      <c r="AL42" s="484" t="n">
        <f aca="true">OFFSET(AL42,0,-1)</f>
        <v>5</v>
      </c>
      <c r="AM42" s="485" t="n">
        <f aca="true">OFFSET(AM42,0,-1)+1</f>
        <v>6</v>
      </c>
      <c r="AN42" s="47"/>
      <c r="AO42" s="47"/>
      <c r="AP42" s="47"/>
      <c r="AQ42" s="47"/>
      <c r="AR42" s="47"/>
      <c r="AS42" s="120" t="n">
        <v>0</v>
      </c>
    </row>
    <row r="43" customFormat="false" ht="21.75" hidden="false" customHeight="true" outlineLevel="0" collapsed="false">
      <c r="A43" s="241" t="s">
        <v>225</v>
      </c>
      <c r="B43" s="241"/>
      <c r="C43" s="241"/>
      <c r="D43" s="241"/>
      <c r="E43" s="489" t="n">
        <v>1</v>
      </c>
      <c r="F43" s="241"/>
      <c r="G43" s="241"/>
      <c r="H43" s="241"/>
      <c r="I43" s="241"/>
      <c r="J43" s="241"/>
      <c r="K43" s="241"/>
      <c r="L43" s="490"/>
      <c r="M43" s="75"/>
      <c r="N43" s="75"/>
      <c r="O43" s="75"/>
      <c r="Q43" s="132"/>
      <c r="R43" s="415"/>
      <c r="S43" s="416" t="n">
        <f aca="false">INDEX(PT_DIFFERENTIATION_NUM_NTAR,MATCH(A43,PT_DIFFERENTIATION_NTAR_ID,0))</f>
        <v>0</v>
      </c>
      <c r="T43" s="417" t="s">
        <v>138</v>
      </c>
      <c r="U43" s="418"/>
      <c r="V43" s="419"/>
      <c r="W43" s="419"/>
      <c r="X43" s="419"/>
      <c r="Y43" s="419"/>
      <c r="Z43" s="419"/>
      <c r="AA43" s="419"/>
      <c r="AB43" s="419"/>
      <c r="AC43" s="419"/>
      <c r="AD43" s="420" t="str">
        <f aca="false">INDEX(PT_DIFFERENTIATION_NTAR,MATCH(A43,PT_DIFFERENTIATION_NTAR_ID,0))</f>
        <v/>
      </c>
      <c r="AE43" s="420"/>
      <c r="AF43" s="420"/>
      <c r="AG43" s="420"/>
      <c r="AH43" s="420"/>
      <c r="AI43" s="420"/>
      <c r="AJ43" s="420"/>
      <c r="AK43" s="420"/>
      <c r="AL43" s="420"/>
      <c r="AM43" s="421"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8"/>
      <c r="AP43" s="118" t="str">
        <f aca="false">IF(T43="","",T43)</f>
        <v>Наименование тарифа</v>
      </c>
      <c r="AQ43" s="118"/>
      <c r="AR43" s="118"/>
      <c r="AS43" s="42" t="n">
        <v>21</v>
      </c>
    </row>
    <row r="44" customFormat="false" ht="21.75" hidden="false" customHeight="true" outlineLevel="0" collapsed="false">
      <c r="A44" s="241" t="s">
        <v>225</v>
      </c>
      <c r="B44" s="241" t="s">
        <v>226</v>
      </c>
      <c r="C44" s="241"/>
      <c r="D44" s="241"/>
      <c r="E44" s="489"/>
      <c r="F44" s="489" t="n">
        <v>1</v>
      </c>
      <c r="G44" s="241"/>
      <c r="H44" s="241"/>
      <c r="I44" s="241"/>
      <c r="J44" s="241"/>
      <c r="K44" s="241"/>
      <c r="L44" s="490"/>
      <c r="M44" s="75"/>
      <c r="N44" s="75"/>
      <c r="O44" s="75"/>
      <c r="P44" s="43"/>
      <c r="Q44" s="422"/>
      <c r="R44" s="423"/>
      <c r="S44" s="416" t="str">
        <f aca="false">INDEX(PT_DIFFERENTIATION_NUM_TER,MATCH(B44,PT_DIFFERENTIATION_TER_ID,0))</f>
        <v>.</v>
      </c>
      <c r="T44" s="424" t="s">
        <v>410</v>
      </c>
      <c r="U44" s="418"/>
      <c r="V44" s="419"/>
      <c r="W44" s="419"/>
      <c r="X44" s="419"/>
      <c r="Y44" s="419"/>
      <c r="Z44" s="419"/>
      <c r="AA44" s="419"/>
      <c r="AB44" s="419"/>
      <c r="AC44" s="419"/>
      <c r="AD44" s="420" t="str">
        <f aca="false">INDEX(PT_DIFFERENTIATION_TER,MATCH(B44,PT_DIFFERENTIATION_TER_ID,0))</f>
        <v/>
      </c>
      <c r="AE44" s="420"/>
      <c r="AF44" s="420"/>
      <c r="AG44" s="420"/>
      <c r="AH44" s="420"/>
      <c r="AI44" s="420"/>
      <c r="AJ44" s="420"/>
      <c r="AK44" s="420"/>
      <c r="AL44" s="420"/>
      <c r="AM44" s="421" t="s">
        <v>411</v>
      </c>
      <c r="AO44" s="118"/>
      <c r="AP44" s="118" t="str">
        <f aca="false">IF(T44="","",T44)</f>
        <v>Территория действия тарифа</v>
      </c>
      <c r="AQ44" s="118"/>
      <c r="AR44" s="118"/>
      <c r="AS44" s="42" t="n">
        <v>21</v>
      </c>
    </row>
    <row r="45" customFormat="false" ht="24" hidden="false" customHeight="true" outlineLevel="0" collapsed="false">
      <c r="A45" s="241" t="s">
        <v>225</v>
      </c>
      <c r="B45" s="241" t="s">
        <v>226</v>
      </c>
      <c r="C45" s="241" t="s">
        <v>227</v>
      </c>
      <c r="D45" s="241"/>
      <c r="E45" s="489"/>
      <c r="F45" s="489"/>
      <c r="G45" s="489" t="n">
        <v>1</v>
      </c>
      <c r="H45" s="241"/>
      <c r="I45" s="241"/>
      <c r="J45" s="241"/>
      <c r="K45" s="241"/>
      <c r="L45" s="490"/>
      <c r="M45" s="75"/>
      <c r="N45" s="75"/>
      <c r="O45" s="75"/>
      <c r="P45" s="425"/>
      <c r="Q45" s="422"/>
      <c r="R45" s="423"/>
      <c r="S45" s="416" t="str">
        <f aca="false">INDEX(PT_DIFFERENTIATION_NUM_CS,MATCH(C45,PT_DIFFERENTIATION_CS_ID,0))</f>
        <v>..</v>
      </c>
      <c r="T45" s="426" t="s">
        <v>412</v>
      </c>
      <c r="U45" s="418"/>
      <c r="V45" s="419"/>
      <c r="W45" s="419"/>
      <c r="X45" s="419"/>
      <c r="Y45" s="419"/>
      <c r="Z45" s="419"/>
      <c r="AA45" s="419"/>
      <c r="AB45" s="419"/>
      <c r="AC45" s="419"/>
      <c r="AD45" s="420" t="str">
        <f aca="false">INDEX(PT_DIFFERENTIATION_CS,MATCH(C45,PT_DIFFERENTIATION_CS_ID,0))</f>
        <v/>
      </c>
      <c r="AE45" s="420"/>
      <c r="AF45" s="420"/>
      <c r="AG45" s="420"/>
      <c r="AH45" s="420"/>
      <c r="AI45" s="420"/>
      <c r="AJ45" s="420"/>
      <c r="AK45" s="420"/>
      <c r="AL45" s="420"/>
      <c r="AM45" s="421" t="s">
        <v>413</v>
      </c>
      <c r="AO45" s="118"/>
      <c r="AP45" s="118" t="str">
        <f aca="false">IF(T45="","",T45)</f>
        <v>Наименование системы теплоснабжения</v>
      </c>
      <c r="AQ45" s="118"/>
      <c r="AR45" s="118"/>
      <c r="AS45" s="42" t="n">
        <v>23</v>
      </c>
    </row>
    <row r="46" customFormat="false" ht="21.75" hidden="false" customHeight="true" outlineLevel="0" collapsed="false">
      <c r="A46" s="241" t="s">
        <v>225</v>
      </c>
      <c r="B46" s="241" t="s">
        <v>226</v>
      </c>
      <c r="C46" s="241" t="s">
        <v>227</v>
      </c>
      <c r="D46" s="241" t="s">
        <v>228</v>
      </c>
      <c r="E46" s="489"/>
      <c r="F46" s="489"/>
      <c r="G46" s="489"/>
      <c r="H46" s="489" t="n">
        <v>1</v>
      </c>
      <c r="I46" s="241"/>
      <c r="J46" s="241"/>
      <c r="K46" s="241"/>
      <c r="L46" s="490"/>
      <c r="M46" s="75"/>
      <c r="N46" s="75"/>
      <c r="O46" s="75"/>
      <c r="P46" s="425"/>
      <c r="Q46" s="422"/>
      <c r="R46" s="423"/>
      <c r="S46" s="416" t="str">
        <f aca="false">INDEX(PT_DIFFERENTIATION_NUM_IST_TE,MATCH(D46,PT_DIFFERENTIATION_IST_TE_ID,0))</f>
        <v>...</v>
      </c>
      <c r="T46" s="427" t="s">
        <v>414</v>
      </c>
      <c r="U46" s="418"/>
      <c r="V46" s="419"/>
      <c r="W46" s="419"/>
      <c r="X46" s="419"/>
      <c r="Y46" s="419"/>
      <c r="Z46" s="419"/>
      <c r="AA46" s="419"/>
      <c r="AB46" s="419"/>
      <c r="AC46" s="419"/>
      <c r="AD46" s="420" t="str">
        <f aca="false">INDEX(PT_DIFFERENTIATION_IST_TE,MATCH(D46,PT_DIFFERENTIATION_IST_TE_ID,0))</f>
        <v/>
      </c>
      <c r="AE46" s="420"/>
      <c r="AF46" s="420"/>
      <c r="AG46" s="420"/>
      <c r="AH46" s="420"/>
      <c r="AI46" s="420"/>
      <c r="AJ46" s="420"/>
      <c r="AK46" s="420"/>
      <c r="AL46" s="420"/>
      <c r="AM46" s="421" t="s">
        <v>415</v>
      </c>
      <c r="AO46" s="118"/>
      <c r="AP46" s="118" t="str">
        <f aca="false">IF(T46="","",T46)</f>
        <v>Источник тепловой энергии</v>
      </c>
      <c r="AQ46" s="118"/>
      <c r="AR46" s="118"/>
      <c r="AS46" s="42" t="n">
        <v>21</v>
      </c>
    </row>
    <row r="47" customFormat="false" ht="49.5" hidden="false" customHeight="true" outlineLevel="0" collapsed="false">
      <c r="A47" s="241" t="s">
        <v>225</v>
      </c>
      <c r="B47" s="241" t="s">
        <v>226</v>
      </c>
      <c r="C47" s="241" t="s">
        <v>227</v>
      </c>
      <c r="D47" s="241" t="s">
        <v>228</v>
      </c>
      <c r="E47" s="489"/>
      <c r="F47" s="489"/>
      <c r="G47" s="489"/>
      <c r="H47" s="489"/>
      <c r="I47" s="146" t="str">
        <f aca="false">S46&amp;".1"</f>
        <v>....1</v>
      </c>
      <c r="J47" s="241"/>
      <c r="K47" s="241"/>
      <c r="L47" s="490" t="s">
        <v>416</v>
      </c>
      <c r="P47" s="121" t="n">
        <v>1</v>
      </c>
      <c r="Q47" s="121"/>
      <c r="R47" s="429"/>
      <c r="S47" s="416" t="str">
        <f aca="false">$I47</f>
        <v>....1</v>
      </c>
      <c r="T47" s="430" t="s">
        <v>417</v>
      </c>
      <c r="U47" s="418"/>
      <c r="V47" s="431"/>
      <c r="W47" s="431"/>
      <c r="X47" s="431"/>
      <c r="Y47" s="431"/>
      <c r="Z47" s="431"/>
      <c r="AA47" s="431"/>
      <c r="AB47" s="431"/>
      <c r="AC47" s="431"/>
      <c r="AD47" s="431"/>
      <c r="AE47" s="431"/>
      <c r="AF47" s="431"/>
      <c r="AG47" s="431"/>
      <c r="AH47" s="431"/>
      <c r="AI47" s="431"/>
      <c r="AJ47" s="431"/>
      <c r="AK47" s="431"/>
      <c r="AL47" s="431"/>
      <c r="AM47" s="421" t="s">
        <v>418</v>
      </c>
      <c r="AO47" s="118"/>
      <c r="AP47" s="118" t="str">
        <f aca="false">IF(T47="","",T47)</f>
        <v>Схема подключения теплопотребляющей установки к коллектору источника тепловой энергии</v>
      </c>
      <c r="AQ47" s="118"/>
      <c r="AR47" s="118"/>
      <c r="AS47" s="42" t="n">
        <v>47</v>
      </c>
    </row>
    <row r="48" customFormat="false" ht="21.75" hidden="false" customHeight="true" outlineLevel="0" collapsed="false">
      <c r="A48" s="241" t="s">
        <v>225</v>
      </c>
      <c r="B48" s="241" t="s">
        <v>226</v>
      </c>
      <c r="C48" s="241" t="s">
        <v>227</v>
      </c>
      <c r="D48" s="241" t="s">
        <v>228</v>
      </c>
      <c r="E48" s="489"/>
      <c r="F48" s="489"/>
      <c r="G48" s="489"/>
      <c r="H48" s="489"/>
      <c r="I48" s="146"/>
      <c r="J48" s="134" t="str">
        <f aca="false">I47&amp;".1"</f>
        <v>....1.1</v>
      </c>
      <c r="K48" s="241"/>
      <c r="L48" s="490" t="s">
        <v>419</v>
      </c>
      <c r="P48" s="121"/>
      <c r="Q48" s="121" t="n">
        <v>1</v>
      </c>
      <c r="R48" s="432"/>
      <c r="S48" s="416" t="str">
        <f aca="false">$J48</f>
        <v>....1.1</v>
      </c>
      <c r="T48" s="433" t="s">
        <v>420</v>
      </c>
      <c r="U48" s="418"/>
      <c r="V48" s="431"/>
      <c r="W48" s="431"/>
      <c r="X48" s="431"/>
      <c r="Y48" s="431"/>
      <c r="Z48" s="431"/>
      <c r="AA48" s="431"/>
      <c r="AB48" s="431"/>
      <c r="AC48" s="431"/>
      <c r="AD48" s="431"/>
      <c r="AE48" s="431"/>
      <c r="AF48" s="431"/>
      <c r="AG48" s="431"/>
      <c r="AH48" s="431"/>
      <c r="AI48" s="431"/>
      <c r="AJ48" s="431"/>
      <c r="AK48" s="431"/>
      <c r="AL48" s="431"/>
      <c r="AM48" s="421" t="s">
        <v>421</v>
      </c>
      <c r="AO48" s="118"/>
      <c r="AP48" s="118" t="str">
        <f aca="false">IF(T48="","",T48)</f>
        <v>Группа потребителей</v>
      </c>
      <c r="AQ48" s="118"/>
      <c r="AR48" s="118"/>
      <c r="AS48" s="42" t="n">
        <v>21</v>
      </c>
    </row>
    <row r="49" customFormat="false" ht="21.75" hidden="false" customHeight="true" outlineLevel="0" collapsed="false">
      <c r="A49" s="241" t="s">
        <v>225</v>
      </c>
      <c r="B49" s="241" t="s">
        <v>226</v>
      </c>
      <c r="C49" s="241" t="s">
        <v>227</v>
      </c>
      <c r="D49" s="241" t="s">
        <v>228</v>
      </c>
      <c r="E49" s="489"/>
      <c r="F49" s="489"/>
      <c r="G49" s="489"/>
      <c r="H49" s="489"/>
      <c r="I49" s="146"/>
      <c r="J49" s="146"/>
      <c r="K49" s="134" t="str">
        <f aca="false">J48&amp;".1"</f>
        <v>....1.1.1</v>
      </c>
      <c r="L49" s="490" t="s">
        <v>422</v>
      </c>
      <c r="P49" s="121"/>
      <c r="Q49" s="121"/>
      <c r="R49" s="432" t="n">
        <v>1</v>
      </c>
      <c r="S49" s="416" t="str">
        <f aca="false">$K49</f>
        <v>....1.1.1</v>
      </c>
      <c r="T49" s="434"/>
      <c r="U49" s="418"/>
      <c r="V49" s="435"/>
      <c r="W49" s="436"/>
      <c r="X49" s="435"/>
      <c r="Y49" s="437"/>
      <c r="Z49" s="438"/>
      <c r="AA49" s="204" t="s">
        <v>61</v>
      </c>
      <c r="AB49" s="438"/>
      <c r="AC49" s="204" t="s">
        <v>61</v>
      </c>
      <c r="AD49" s="435"/>
      <c r="AE49" s="436"/>
      <c r="AF49" s="435"/>
      <c r="AG49" s="437"/>
      <c r="AH49" s="438"/>
      <c r="AI49" s="204" t="s">
        <v>61</v>
      </c>
      <c r="AJ49" s="438"/>
      <c r="AK49" s="204" t="s">
        <v>61</v>
      </c>
      <c r="AL49" s="486"/>
      <c r="AM49" s="439" t="s">
        <v>423</v>
      </c>
      <c r="AN49" s="47" t="e">
        <f aca="false">strcheckdate(V50:AL50)</f>
        <v>#NAME?</v>
      </c>
      <c r="AO49" s="118"/>
      <c r="AP49" s="118" t="str">
        <f aca="false">IF(T49="","",T49)</f>
        <v/>
      </c>
      <c r="AQ49" s="118"/>
      <c r="AR49" s="118"/>
      <c r="AS49" s="42" t="n">
        <v>21</v>
      </c>
    </row>
    <row r="50" customFormat="false" ht="0.75" hidden="false" customHeight="true" outlineLevel="0" collapsed="false">
      <c r="A50" s="241" t="s">
        <v>225</v>
      </c>
      <c r="B50" s="241" t="s">
        <v>226</v>
      </c>
      <c r="C50" s="241" t="s">
        <v>227</v>
      </c>
      <c r="D50" s="241" t="s">
        <v>228</v>
      </c>
      <c r="E50" s="489"/>
      <c r="F50" s="489"/>
      <c r="G50" s="489"/>
      <c r="H50" s="489"/>
      <c r="I50" s="146"/>
      <c r="J50" s="146"/>
      <c r="K50" s="134"/>
      <c r="L50" s="490"/>
      <c r="P50" s="121"/>
      <c r="Q50" s="121"/>
      <c r="R50" s="432"/>
      <c r="S50" s="393"/>
      <c r="T50" s="418"/>
      <c r="U50" s="418"/>
      <c r="V50" s="436"/>
      <c r="W50" s="436"/>
      <c r="X50" s="436"/>
      <c r="Y50" s="440" t="str">
        <f aca="false">Z49&amp;"-"&amp;AB49</f>
        <v>-</v>
      </c>
      <c r="Z50" s="438"/>
      <c r="AA50" s="204"/>
      <c r="AB50" s="438"/>
      <c r="AC50" s="204"/>
      <c r="AD50" s="436"/>
      <c r="AE50" s="436"/>
      <c r="AF50" s="436"/>
      <c r="AG50" s="440" t="str">
        <f aca="false">AH49&amp;"-"&amp;AJ49</f>
        <v>-</v>
      </c>
      <c r="AH50" s="438"/>
      <c r="AI50" s="204"/>
      <c r="AJ50" s="438"/>
      <c r="AK50" s="204"/>
      <c r="AL50" s="487"/>
      <c r="AM50" s="439"/>
      <c r="AO50" s="118"/>
      <c r="AP50" s="118" t="str">
        <f aca="false">IF(T50="","",T50)</f>
        <v/>
      </c>
      <c r="AQ50" s="118"/>
      <c r="AR50" s="118"/>
      <c r="AS50" s="42" t="n">
        <v>1</v>
      </c>
    </row>
    <row r="51" customFormat="false" ht="11.25" hidden="false" customHeight="true" outlineLevel="0" collapsed="false">
      <c r="A51" s="241" t="s">
        <v>225</v>
      </c>
      <c r="B51" s="241" t="s">
        <v>226</v>
      </c>
      <c r="C51" s="241" t="s">
        <v>227</v>
      </c>
      <c r="D51" s="241" t="s">
        <v>228</v>
      </c>
      <c r="E51" s="489"/>
      <c r="F51" s="489"/>
      <c r="G51" s="489"/>
      <c r="H51" s="489"/>
      <c r="I51" s="146"/>
      <c r="J51" s="134"/>
      <c r="K51" s="241"/>
      <c r="L51" s="490"/>
      <c r="P51" s="121"/>
      <c r="Q51" s="121"/>
      <c r="R51" s="429"/>
      <c r="S51" s="441"/>
      <c r="T51" s="442" t="s">
        <v>424</v>
      </c>
      <c r="U51" s="194"/>
      <c r="V51" s="194"/>
      <c r="W51" s="194"/>
      <c r="X51" s="194"/>
      <c r="Y51" s="194"/>
      <c r="Z51" s="194"/>
      <c r="AA51" s="194"/>
      <c r="AB51" s="194"/>
      <c r="AC51" s="194"/>
      <c r="AD51" s="194"/>
      <c r="AE51" s="194"/>
      <c r="AF51" s="194"/>
      <c r="AG51" s="194"/>
      <c r="AH51" s="194"/>
      <c r="AI51" s="194"/>
      <c r="AJ51" s="194"/>
      <c r="AK51" s="194"/>
      <c r="AL51" s="443"/>
      <c r="AM51" s="439"/>
      <c r="AO51" s="118"/>
      <c r="AP51" s="118" t="str">
        <f aca="false">IF(T51="","",T51)</f>
        <v>Добавить вид теплоносителя (параметры теплоносителя)</v>
      </c>
      <c r="AQ51" s="118"/>
      <c r="AR51" s="118"/>
      <c r="AS51" s="42" t="n">
        <v>11</v>
      </c>
    </row>
    <row r="52" customFormat="false" ht="11.25" hidden="false" customHeight="true" outlineLevel="0" collapsed="false">
      <c r="A52" s="241" t="s">
        <v>225</v>
      </c>
      <c r="B52" s="241" t="s">
        <v>226</v>
      </c>
      <c r="C52" s="241" t="s">
        <v>227</v>
      </c>
      <c r="D52" s="241" t="s">
        <v>228</v>
      </c>
      <c r="E52" s="489"/>
      <c r="F52" s="489"/>
      <c r="G52" s="489"/>
      <c r="H52" s="489"/>
      <c r="I52" s="146"/>
      <c r="J52" s="241"/>
      <c r="K52" s="241"/>
      <c r="L52" s="490"/>
      <c r="P52" s="121"/>
      <c r="Q52" s="121"/>
      <c r="R52" s="429"/>
      <c r="S52" s="441"/>
      <c r="T52" s="444" t="s">
        <v>425</v>
      </c>
      <c r="U52" s="194"/>
      <c r="V52" s="194"/>
      <c r="W52" s="194"/>
      <c r="X52" s="194"/>
      <c r="Y52" s="194"/>
      <c r="Z52" s="194"/>
      <c r="AA52" s="194"/>
      <c r="AB52" s="194"/>
      <c r="AC52" s="445"/>
      <c r="AD52" s="194"/>
      <c r="AE52" s="194"/>
      <c r="AF52" s="194"/>
      <c r="AG52" s="194"/>
      <c r="AH52" s="194"/>
      <c r="AI52" s="194"/>
      <c r="AJ52" s="194"/>
      <c r="AK52" s="445"/>
      <c r="AL52" s="194"/>
      <c r="AM52" s="446"/>
      <c r="AO52" s="118"/>
      <c r="AP52" s="118" t="str">
        <f aca="false">IF(T52="","",T52)</f>
        <v>Добавить группу потребителей</v>
      </c>
      <c r="AQ52" s="118"/>
      <c r="AR52" s="118"/>
      <c r="AS52" s="42" t="n">
        <v>11</v>
      </c>
    </row>
    <row r="53" customFormat="false" ht="14.25" hidden="false" customHeight="true" outlineLevel="0" collapsed="false">
      <c r="A53" s="241" t="s">
        <v>225</v>
      </c>
      <c r="B53" s="241" t="s">
        <v>226</v>
      </c>
      <c r="C53" s="241" t="s">
        <v>227</v>
      </c>
      <c r="D53" s="241" t="s">
        <v>228</v>
      </c>
      <c r="E53" s="489"/>
      <c r="F53" s="489"/>
      <c r="G53" s="489"/>
      <c r="H53" s="489"/>
      <c r="I53" s="241"/>
      <c r="J53" s="241"/>
      <c r="K53" s="241"/>
      <c r="L53" s="490"/>
      <c r="M53" s="75"/>
      <c r="N53" s="75"/>
      <c r="O53" s="42"/>
      <c r="P53" s="132"/>
      <c r="Q53" s="447"/>
      <c r="R53" s="415"/>
      <c r="S53" s="441"/>
      <c r="T53" s="448" t="s">
        <v>426</v>
      </c>
      <c r="U53" s="194"/>
      <c r="V53" s="194"/>
      <c r="W53" s="194"/>
      <c r="X53" s="194"/>
      <c r="Y53" s="194"/>
      <c r="Z53" s="194"/>
      <c r="AA53" s="194"/>
      <c r="AB53" s="194"/>
      <c r="AC53" s="445"/>
      <c r="AD53" s="194"/>
      <c r="AE53" s="194"/>
      <c r="AF53" s="194"/>
      <c r="AG53" s="194"/>
      <c r="AH53" s="194"/>
      <c r="AI53" s="194"/>
      <c r="AJ53" s="194"/>
      <c r="AK53" s="445"/>
      <c r="AL53" s="194"/>
      <c r="AM53" s="446"/>
      <c r="AO53" s="118"/>
      <c r="AP53" s="118" t="str">
        <f aca="false">IF(T53="","",T53)</f>
        <v>Добавить схему подключения</v>
      </c>
      <c r="AQ53" s="118"/>
      <c r="AR53" s="118"/>
      <c r="AS53" s="42" t="n">
        <v>14</v>
      </c>
    </row>
    <row r="54" s="47" customFormat="true" ht="3.75" hidden="false" customHeight="true" outlineLevel="0" collapsed="false">
      <c r="A54" s="491" t="s">
        <v>225</v>
      </c>
      <c r="B54" s="491" t="s">
        <v>226</v>
      </c>
      <c r="C54" s="491" t="s">
        <v>227</v>
      </c>
      <c r="D54" s="491"/>
      <c r="E54" s="489"/>
      <c r="F54" s="489"/>
      <c r="G54" s="489"/>
      <c r="H54" s="491"/>
      <c r="I54" s="491"/>
      <c r="J54" s="491"/>
      <c r="K54" s="491"/>
      <c r="L54" s="492"/>
      <c r="M54" s="493"/>
      <c r="N54" s="493"/>
      <c r="O54" s="120"/>
      <c r="P54" s="156"/>
      <c r="Q54" s="449"/>
      <c r="R54" s="156"/>
      <c r="S54" s="454"/>
      <c r="T54" s="457" t="s">
        <v>427</v>
      </c>
      <c r="U54" s="456"/>
      <c r="V54" s="456"/>
      <c r="W54" s="456"/>
      <c r="X54" s="456"/>
      <c r="Y54" s="456"/>
      <c r="Z54" s="456"/>
      <c r="AA54" s="456"/>
      <c r="AB54" s="456"/>
      <c r="AC54" s="456"/>
      <c r="AD54" s="456"/>
      <c r="AE54" s="456"/>
      <c r="AF54" s="456"/>
      <c r="AG54" s="456"/>
      <c r="AH54" s="456"/>
      <c r="AI54" s="456"/>
      <c r="AJ54" s="456"/>
      <c r="AK54" s="456"/>
      <c r="AL54" s="456"/>
      <c r="AM54" s="456"/>
      <c r="AO54" s="118"/>
      <c r="AP54" s="118" t="str">
        <f aca="false">IF(T54="","",T54)</f>
        <v>Добавить источник для дифференциации</v>
      </c>
      <c r="AQ54" s="118"/>
      <c r="AR54" s="118"/>
      <c r="AS54" s="47" t="n">
        <v>4</v>
      </c>
    </row>
    <row r="55" s="47" customFormat="true" ht="3.75" hidden="false" customHeight="true" outlineLevel="0" collapsed="false">
      <c r="A55" s="491" t="s">
        <v>225</v>
      </c>
      <c r="B55" s="491" t="s">
        <v>226</v>
      </c>
      <c r="C55" s="491"/>
      <c r="D55" s="491"/>
      <c r="E55" s="489"/>
      <c r="F55" s="489"/>
      <c r="G55" s="491"/>
      <c r="H55" s="491"/>
      <c r="I55" s="491"/>
      <c r="J55" s="491"/>
      <c r="K55" s="491"/>
      <c r="L55" s="492"/>
      <c r="M55" s="494"/>
      <c r="N55" s="494"/>
      <c r="O55" s="120"/>
      <c r="P55" s="156"/>
      <c r="Q55" s="449"/>
      <c r="R55" s="156"/>
      <c r="S55" s="454"/>
      <c r="T55" s="457" t="s">
        <v>428</v>
      </c>
      <c r="U55" s="456"/>
      <c r="V55" s="456"/>
      <c r="W55" s="456"/>
      <c r="X55" s="456"/>
      <c r="Y55" s="456"/>
      <c r="Z55" s="456"/>
      <c r="AA55" s="456"/>
      <c r="AB55" s="456"/>
      <c r="AC55" s="456"/>
      <c r="AD55" s="456"/>
      <c r="AE55" s="456"/>
      <c r="AF55" s="456"/>
      <c r="AG55" s="456"/>
      <c r="AH55" s="456"/>
      <c r="AI55" s="456"/>
      <c r="AJ55" s="456"/>
      <c r="AK55" s="456"/>
      <c r="AL55" s="456"/>
      <c r="AM55" s="456"/>
      <c r="AO55" s="118"/>
      <c r="AP55" s="118" t="str">
        <f aca="false">IF(T55="","",T55)</f>
        <v>Добавить централизованную систему для дифференциации</v>
      </c>
      <c r="AQ55" s="118"/>
      <c r="AR55" s="118"/>
      <c r="AS55" s="47" t="n">
        <v>4</v>
      </c>
    </row>
    <row r="56" s="47" customFormat="true" ht="3.75" hidden="false" customHeight="true" outlineLevel="0" collapsed="false">
      <c r="A56" s="491" t="s">
        <v>225</v>
      </c>
      <c r="B56" s="491"/>
      <c r="C56" s="491"/>
      <c r="D56" s="491"/>
      <c r="E56" s="489"/>
      <c r="F56" s="491"/>
      <c r="G56" s="491"/>
      <c r="H56" s="491"/>
      <c r="I56" s="491"/>
      <c r="J56" s="491"/>
      <c r="K56" s="491"/>
      <c r="L56" s="492"/>
      <c r="M56" s="494"/>
      <c r="N56" s="494"/>
      <c r="O56" s="120"/>
      <c r="P56" s="156"/>
      <c r="Q56" s="449"/>
      <c r="R56" s="156"/>
      <c r="S56" s="454"/>
      <c r="T56" s="457" t="s">
        <v>429</v>
      </c>
      <c r="U56" s="456"/>
      <c r="V56" s="456"/>
      <c r="W56" s="456"/>
      <c r="X56" s="456"/>
      <c r="Y56" s="456"/>
      <c r="Z56" s="456"/>
      <c r="AA56" s="456"/>
      <c r="AB56" s="456"/>
      <c r="AC56" s="456"/>
      <c r="AD56" s="456"/>
      <c r="AE56" s="456"/>
      <c r="AF56" s="456"/>
      <c r="AG56" s="456"/>
      <c r="AH56" s="456"/>
      <c r="AI56" s="456"/>
      <c r="AJ56" s="456"/>
      <c r="AK56" s="456"/>
      <c r="AL56" s="456"/>
      <c r="AM56" s="456"/>
      <c r="AO56" s="118"/>
      <c r="AP56" s="118" t="str">
        <f aca="false">IF(T56="","",T56)</f>
        <v>Добавить территорию для дифференциации</v>
      </c>
      <c r="AQ56" s="118"/>
      <c r="AR56" s="118"/>
      <c r="AS56" s="47" t="n">
        <v>4</v>
      </c>
    </row>
    <row r="57" s="47" customFormat="true" ht="3.75" hidden="false" customHeight="true" outlineLevel="0" collapsed="false">
      <c r="A57" s="491"/>
      <c r="B57" s="491"/>
      <c r="C57" s="491"/>
      <c r="D57" s="491"/>
      <c r="E57" s="491"/>
      <c r="F57" s="491"/>
      <c r="G57" s="491"/>
      <c r="H57" s="491"/>
      <c r="I57" s="491"/>
      <c r="J57" s="491"/>
      <c r="K57" s="491"/>
      <c r="L57" s="492"/>
      <c r="M57" s="494"/>
      <c r="N57" s="494"/>
      <c r="O57" s="120"/>
      <c r="P57" s="156"/>
      <c r="Q57" s="449"/>
      <c r="R57" s="156"/>
      <c r="S57" s="454"/>
      <c r="T57" s="457" t="s">
        <v>461</v>
      </c>
      <c r="U57" s="456"/>
      <c r="V57" s="456"/>
      <c r="W57" s="456"/>
      <c r="X57" s="456"/>
      <c r="Y57" s="456"/>
      <c r="Z57" s="456"/>
      <c r="AA57" s="456"/>
      <c r="AB57" s="456"/>
      <c r="AC57" s="456"/>
      <c r="AD57" s="456"/>
      <c r="AE57" s="456"/>
      <c r="AF57" s="456"/>
      <c r="AG57" s="456"/>
      <c r="AH57" s="456"/>
      <c r="AI57" s="456"/>
      <c r="AJ57" s="456"/>
      <c r="AK57" s="456"/>
      <c r="AL57" s="456"/>
      <c r="AM57" s="456"/>
      <c r="AO57" s="118"/>
      <c r="AP57" s="118" t="str">
        <f aca="false">IF(T57="","",T57)</f>
        <v>Добавить наименование тарифа</v>
      </c>
      <c r="AQ57" s="118"/>
      <c r="AR57" s="118"/>
      <c r="AS57" s="47" t="n">
        <v>4</v>
      </c>
    </row>
    <row r="58" customFormat="false" ht="11.25" hidden="false" customHeight="true" outlineLevel="0" collapsed="false">
      <c r="M58" s="42"/>
      <c r="N58" s="42"/>
      <c r="O58" s="42"/>
      <c r="P58" s="42"/>
      <c r="Q58" s="42"/>
      <c r="R58" s="42"/>
      <c r="S58" s="42"/>
      <c r="AN58" s="42"/>
      <c r="AO58" s="42"/>
      <c r="AP58" s="42"/>
      <c r="AQ58" s="42"/>
      <c r="AR58" s="42"/>
      <c r="AS58" s="42" t="n">
        <v>11</v>
      </c>
    </row>
    <row r="59" customFormat="false" ht="28.5" hidden="false" customHeight="true" outlineLevel="0" collapsed="false">
      <c r="O59" s="42"/>
      <c r="S59" s="409"/>
      <c r="T59" s="488"/>
      <c r="U59" s="488"/>
      <c r="V59" s="488"/>
      <c r="W59" s="488"/>
      <c r="X59" s="488"/>
      <c r="Y59" s="488"/>
      <c r="Z59" s="488"/>
      <c r="AA59" s="488"/>
      <c r="AB59" s="488"/>
      <c r="AC59" s="488"/>
      <c r="AD59" s="488"/>
      <c r="AE59" s="488"/>
      <c r="AF59" s="488"/>
      <c r="AG59" s="488"/>
      <c r="AH59" s="488"/>
      <c r="AI59" s="488"/>
      <c r="AJ59" s="488"/>
      <c r="AK59" s="488"/>
      <c r="AL59" s="488"/>
      <c r="AM59" s="488"/>
      <c r="AS59" s="42" t="n">
        <v>27</v>
      </c>
    </row>
    <row r="60" customFormat="false" ht="65.25" hidden="false" customHeight="true" outlineLevel="0" collapsed="false">
      <c r="O60" s="42"/>
      <c r="T60" s="488"/>
      <c r="U60" s="488"/>
      <c r="V60" s="488"/>
      <c r="W60" s="488"/>
      <c r="X60" s="488"/>
      <c r="Y60" s="488"/>
      <c r="Z60" s="488"/>
      <c r="AA60" s="488"/>
      <c r="AB60" s="488"/>
      <c r="AC60" s="488"/>
      <c r="AD60" s="488"/>
      <c r="AE60" s="488"/>
      <c r="AF60" s="488"/>
      <c r="AG60" s="488"/>
      <c r="AH60" s="488"/>
      <c r="AI60" s="488"/>
      <c r="AJ60" s="488"/>
      <c r="AK60" s="488"/>
      <c r="AL60" s="488"/>
      <c r="AM60" s="488"/>
      <c r="AS60" s="42" t="n">
        <v>62</v>
      </c>
    </row>
    <row r="61" customFormat="false" ht="14.25" hidden="false" customHeight="true" outlineLevel="0" collapsed="false">
      <c r="O61" s="42"/>
      <c r="AS61" s="42" t="n">
        <v>14</v>
      </c>
    </row>
    <row r="62" customFormat="false" ht="18.75" hidden="false" customHeight="true" outlineLevel="0" collapsed="false">
      <c r="O62" s="42"/>
      <c r="S62" s="409"/>
      <c r="T62" s="488"/>
      <c r="U62" s="488"/>
      <c r="V62" s="488"/>
      <c r="W62" s="488"/>
      <c r="X62" s="488"/>
      <c r="Y62" s="488"/>
      <c r="Z62" s="488"/>
      <c r="AA62" s="488"/>
      <c r="AB62" s="488"/>
      <c r="AC62" s="488"/>
      <c r="AD62" s="488"/>
      <c r="AE62" s="488"/>
      <c r="AF62" s="488"/>
      <c r="AG62" s="488"/>
      <c r="AH62" s="488"/>
      <c r="AI62" s="488"/>
      <c r="AJ62" s="488"/>
      <c r="AK62" s="488"/>
      <c r="AL62" s="488"/>
      <c r="AM62" s="488"/>
      <c r="AS62" s="42" t="n">
        <v>18</v>
      </c>
    </row>
    <row r="63" customFormat="false" ht="18.75" hidden="false" customHeight="true" outlineLevel="0" collapsed="false">
      <c r="O63" s="42"/>
      <c r="T63" s="488"/>
      <c r="U63" s="488"/>
      <c r="V63" s="488"/>
      <c r="W63" s="488"/>
      <c r="X63" s="488"/>
      <c r="Y63" s="488"/>
      <c r="Z63" s="488"/>
      <c r="AA63" s="488"/>
      <c r="AB63" s="488"/>
      <c r="AC63" s="488"/>
      <c r="AD63" s="488"/>
      <c r="AE63" s="488"/>
      <c r="AF63" s="488"/>
      <c r="AG63" s="488"/>
      <c r="AH63" s="488"/>
      <c r="AI63" s="488"/>
      <c r="AJ63" s="488"/>
      <c r="AK63" s="488"/>
      <c r="AL63" s="488"/>
      <c r="AM63" s="488"/>
      <c r="AS63" s="42" t="n">
        <v>18</v>
      </c>
    </row>
    <row r="64" customFormat="false" ht="29.25" hidden="false" customHeight="true" outlineLevel="0" collapsed="false">
      <c r="O64" s="42"/>
      <c r="S64" s="409"/>
      <c r="T64" s="488"/>
      <c r="U64" s="488"/>
      <c r="V64" s="488"/>
      <c r="W64" s="488"/>
      <c r="X64" s="488"/>
      <c r="Y64" s="488"/>
      <c r="Z64" s="488"/>
      <c r="AA64" s="488"/>
      <c r="AB64" s="488"/>
      <c r="AC64" s="488"/>
      <c r="AD64" s="488"/>
      <c r="AE64" s="488"/>
      <c r="AF64" s="488"/>
      <c r="AG64" s="488"/>
      <c r="AH64" s="488"/>
      <c r="AI64" s="488"/>
      <c r="AJ64" s="488"/>
      <c r="AK64" s="488"/>
      <c r="AL64" s="488"/>
      <c r="AM64" s="488"/>
      <c r="AS64" s="42" t="n">
        <v>28</v>
      </c>
    </row>
    <row r="65" customFormat="false" ht="22.5" hidden="true" customHeight="true" outlineLevel="0" collapsed="false">
      <c r="A65" s="42" t="s">
        <v>81</v>
      </c>
      <c r="B65" s="42" t="n">
        <v>0</v>
      </c>
      <c r="C65" s="42" t="n">
        <v>0</v>
      </c>
      <c r="D65" s="42" t="n">
        <v>0</v>
      </c>
      <c r="E65" s="42" t="n">
        <v>0</v>
      </c>
      <c r="F65" s="42" t="n">
        <v>0</v>
      </c>
      <c r="G65" s="42" t="n">
        <v>0</v>
      </c>
      <c r="H65" s="42" t="n">
        <v>0</v>
      </c>
      <c r="I65" s="42" t="n">
        <v>0</v>
      </c>
      <c r="J65" s="42" t="n">
        <v>0</v>
      </c>
      <c r="K65" s="42" t="n">
        <v>0</v>
      </c>
      <c r="L65" s="43" t="n">
        <v>0</v>
      </c>
      <c r="M65" s="50" t="n">
        <v>0</v>
      </c>
      <c r="N65" s="50" t="n">
        <v>0</v>
      </c>
      <c r="O65" s="50" t="n">
        <v>0</v>
      </c>
      <c r="P65" s="50" t="n">
        <v>3</v>
      </c>
      <c r="Q65" s="411" t="n">
        <v>3</v>
      </c>
      <c r="R65" s="411" t="n">
        <v>3</v>
      </c>
      <c r="S65" s="75"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7" t="n">
        <v>10</v>
      </c>
      <c r="AO65" s="47" t="n">
        <v>10</v>
      </c>
      <c r="AP65" s="47" t="n">
        <v>10</v>
      </c>
      <c r="AQ65" s="47" t="n">
        <v>10</v>
      </c>
      <c r="AR65" s="47"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5"/>
    <col collapsed="false" customWidth="true" hidden="true" outlineLevel="0" max="5" min="5" style="42" width="10"/>
    <col collapsed="false" customWidth="true" hidden="true" outlineLevel="0" max="6" min="6" style="42" width="8.71"/>
    <col collapsed="false" customWidth="true" hidden="true" outlineLevel="0" max="7" min="7" style="42" width="7.57"/>
    <col collapsed="false" customWidth="true" hidden="true" outlineLevel="0" max="8" min="8" style="42" width="11.42"/>
    <col collapsed="false" customWidth="true" hidden="true" outlineLevel="0" max="9" min="9" style="42" width="12"/>
    <col collapsed="false" customWidth="true" hidden="true" outlineLevel="0" max="10" min="10" style="42" width="9.85"/>
    <col collapsed="false" customWidth="true" hidden="true" outlineLevel="0" max="11" min="11" style="42" width="11.42"/>
    <col collapsed="false" customWidth="true" hidden="true" outlineLevel="0" max="12" min="12" style="43" width="19.14"/>
    <col collapsed="false" customWidth="true" hidden="true" outlineLevel="0" max="14" min="13" style="50" width="12.28"/>
    <col collapsed="false" customWidth="true" hidden="true" outlineLevel="0" max="15" min="15" style="50" width="23.42"/>
    <col collapsed="false" customWidth="true" hidden="false" outlineLevel="0" max="16" min="16" style="50" width="3"/>
    <col collapsed="false" customWidth="true" hidden="false" outlineLevel="0" max="18" min="17" style="411" width="3"/>
    <col collapsed="false" customWidth="true" hidden="false" outlineLevel="0" max="19" min="19" style="75" width="12"/>
    <col collapsed="false" customWidth="true" hidden="false" outlineLevel="0" max="20" min="20" style="42" width="31"/>
    <col collapsed="false" customWidth="true" hidden="false" outlineLevel="0" max="21" min="21" style="42" width="0.14"/>
    <col collapsed="false" customWidth="true" hidden="true" outlineLevel="0" max="22" min="22" style="42" width="24.71"/>
    <col collapsed="false" customWidth="true" hidden="true" outlineLevel="0" max="23" min="23" style="42" width="0.14"/>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4"/>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7"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241"/>
      <c r="B2" s="241"/>
      <c r="C2" s="241"/>
      <c r="D2" s="241"/>
      <c r="E2" s="489" t="n">
        <v>1</v>
      </c>
      <c r="F2" s="241"/>
      <c r="G2" s="241"/>
      <c r="H2" s="241"/>
      <c r="I2" s="241"/>
      <c r="J2" s="241"/>
      <c r="K2" s="241"/>
      <c r="L2" s="490"/>
      <c r="M2" s="75"/>
      <c r="N2" s="75"/>
      <c r="O2" s="75"/>
      <c r="Q2" s="132"/>
      <c r="R2" s="415"/>
      <c r="S2" s="416" t="e">
        <f aca="false">INDEX(PT_DIFFERENTIATION_NUM_NTAR,MATCH(A2,PT_DIFFERENTIATION_NTAR_ID,0))</f>
        <v>#N/A</v>
      </c>
      <c r="T2" s="417" t="s">
        <v>138</v>
      </c>
      <c r="U2" s="418"/>
      <c r="V2" s="419"/>
      <c r="W2" s="419"/>
      <c r="X2" s="419"/>
      <c r="Y2" s="419"/>
      <c r="Z2" s="419"/>
      <c r="AA2" s="419"/>
      <c r="AB2" s="419"/>
      <c r="AC2" s="419"/>
      <c r="AD2" s="420" t="e">
        <f aca="false">INDEX(PT_DIFFERENTIATION_NTAR,MATCH(A2,PT_DIFFERENTIATION_NTAR_ID,0))</f>
        <v>#N/A</v>
      </c>
      <c r="AE2" s="420"/>
      <c r="AF2" s="420"/>
      <c r="AG2" s="420"/>
      <c r="AH2" s="420"/>
      <c r="AI2" s="420"/>
      <c r="AJ2" s="420"/>
      <c r="AK2" s="420"/>
      <c r="AL2" s="420"/>
      <c r="AM2" s="421" t="s">
        <v>409</v>
      </c>
      <c r="AO2" s="118"/>
      <c r="AP2" s="118" t="str">
        <f aca="false">IF(T2="","",T2)</f>
        <v>Наименование тарифа</v>
      </c>
      <c r="AQ2" s="118"/>
      <c r="AR2" s="118"/>
      <c r="AS2" s="42" t="n">
        <v>0</v>
      </c>
    </row>
    <row r="3" customFormat="false" ht="21" hidden="true" customHeight="true" outlineLevel="0" collapsed="false">
      <c r="A3" s="241"/>
      <c r="B3" s="241"/>
      <c r="C3" s="241"/>
      <c r="D3" s="241"/>
      <c r="E3" s="489"/>
      <c r="F3" s="489" t="n">
        <v>1</v>
      </c>
      <c r="G3" s="241"/>
      <c r="H3" s="241"/>
      <c r="I3" s="241"/>
      <c r="J3" s="241"/>
      <c r="K3" s="241"/>
      <c r="L3" s="490"/>
      <c r="M3" s="75"/>
      <c r="N3" s="75"/>
      <c r="O3" s="75"/>
      <c r="P3" s="43"/>
      <c r="Q3" s="422"/>
      <c r="R3" s="423"/>
      <c r="S3" s="416" t="e">
        <f aca="false">INDEX(PT_DIFFERENTIATION_NUM_TER,MATCH(B3,PT_DIFFERENTIATION_TER_ID,0))</f>
        <v>#N/A</v>
      </c>
      <c r="T3" s="424" t="s">
        <v>410</v>
      </c>
      <c r="U3" s="418"/>
      <c r="V3" s="419"/>
      <c r="W3" s="419"/>
      <c r="X3" s="419"/>
      <c r="Y3" s="419"/>
      <c r="Z3" s="419"/>
      <c r="AA3" s="419"/>
      <c r="AB3" s="419"/>
      <c r="AC3" s="419"/>
      <c r="AD3" s="420" t="e">
        <f aca="false">INDEX(PT_DIFFERENTIATION_TER,MATCH(B3,PT_DIFFERENTIATION_TER_ID,0))</f>
        <v>#N/A</v>
      </c>
      <c r="AE3" s="420"/>
      <c r="AF3" s="420"/>
      <c r="AG3" s="420"/>
      <c r="AH3" s="420"/>
      <c r="AI3" s="420"/>
      <c r="AJ3" s="420"/>
      <c r="AK3" s="420"/>
      <c r="AL3" s="420"/>
      <c r="AM3" s="421" t="s">
        <v>411</v>
      </c>
      <c r="AO3" s="118"/>
      <c r="AP3" s="118" t="str">
        <f aca="false">IF(T3="","",T3)</f>
        <v>Территория действия тарифа</v>
      </c>
      <c r="AQ3" s="118"/>
      <c r="AR3" s="118"/>
      <c r="AS3" s="42" t="n">
        <v>0</v>
      </c>
    </row>
    <row r="4" customFormat="false" ht="23.25" hidden="true" customHeight="true" outlineLevel="0" collapsed="false">
      <c r="A4" s="241"/>
      <c r="B4" s="241"/>
      <c r="C4" s="241"/>
      <c r="D4" s="241"/>
      <c r="E4" s="489"/>
      <c r="F4" s="489"/>
      <c r="G4" s="489" t="n">
        <v>1</v>
      </c>
      <c r="H4" s="241"/>
      <c r="I4" s="241"/>
      <c r="J4" s="241"/>
      <c r="K4" s="241"/>
      <c r="L4" s="490"/>
      <c r="M4" s="75"/>
      <c r="N4" s="75"/>
      <c r="O4" s="75"/>
      <c r="P4" s="425"/>
      <c r="Q4" s="422"/>
      <c r="R4" s="423"/>
      <c r="S4" s="416" t="e">
        <f aca="false">INDEX(PT_DIFFERENTIATION_NUM_CS,MATCH(C4,PT_DIFFERENTIATION_CS_ID,0))</f>
        <v>#N/A</v>
      </c>
      <c r="T4" s="426" t="s">
        <v>412</v>
      </c>
      <c r="U4" s="418"/>
      <c r="V4" s="419"/>
      <c r="W4" s="419"/>
      <c r="X4" s="419"/>
      <c r="Y4" s="419"/>
      <c r="Z4" s="419"/>
      <c r="AA4" s="419"/>
      <c r="AB4" s="419"/>
      <c r="AC4" s="419"/>
      <c r="AD4" s="420" t="e">
        <f aca="false">INDEX(PT_DIFFERENTIATION_CS,MATCH(C4,PT_DIFFERENTIATION_CS_ID,0))</f>
        <v>#N/A</v>
      </c>
      <c r="AE4" s="420"/>
      <c r="AF4" s="420"/>
      <c r="AG4" s="420"/>
      <c r="AH4" s="420"/>
      <c r="AI4" s="420"/>
      <c r="AJ4" s="420"/>
      <c r="AK4" s="420"/>
      <c r="AL4" s="420"/>
      <c r="AM4" s="421" t="s">
        <v>413</v>
      </c>
      <c r="AO4" s="118"/>
      <c r="AP4" s="118" t="str">
        <f aca="false">IF(T4="","",T4)</f>
        <v>Наименование системы теплоснабжения</v>
      </c>
      <c r="AQ4" s="118"/>
      <c r="AR4" s="118"/>
      <c r="AS4" s="42" t="n">
        <v>0</v>
      </c>
    </row>
    <row r="5" customFormat="false" ht="21" hidden="true" customHeight="true" outlineLevel="0" collapsed="false">
      <c r="A5" s="241"/>
      <c r="B5" s="241"/>
      <c r="C5" s="241"/>
      <c r="D5" s="241"/>
      <c r="E5" s="489"/>
      <c r="F5" s="489"/>
      <c r="G5" s="489"/>
      <c r="H5" s="489" t="n">
        <v>1</v>
      </c>
      <c r="I5" s="241"/>
      <c r="J5" s="241"/>
      <c r="K5" s="241"/>
      <c r="L5" s="490"/>
      <c r="M5" s="75"/>
      <c r="N5" s="75"/>
      <c r="O5" s="75"/>
      <c r="P5" s="425"/>
      <c r="Q5" s="422"/>
      <c r="R5" s="423"/>
      <c r="S5" s="416" t="e">
        <f aca="false">INDEX(PT_DIFFERENTIATION_NUM_IST_TE,MATCH(D5,PT_DIFFERENTIATION_IST_TE_ID,0))</f>
        <v>#N/A</v>
      </c>
      <c r="T5" s="427" t="s">
        <v>414</v>
      </c>
      <c r="U5" s="418"/>
      <c r="V5" s="419"/>
      <c r="W5" s="419"/>
      <c r="X5" s="419"/>
      <c r="Y5" s="419"/>
      <c r="Z5" s="419"/>
      <c r="AA5" s="419"/>
      <c r="AB5" s="419"/>
      <c r="AC5" s="419"/>
      <c r="AD5" s="420" t="e">
        <f aca="false">INDEX(PT_DIFFERENTIATION_IST_TE,MATCH(D5,PT_DIFFERENTIATION_IST_TE_ID,0))</f>
        <v>#N/A</v>
      </c>
      <c r="AE5" s="420"/>
      <c r="AF5" s="420"/>
      <c r="AG5" s="420"/>
      <c r="AH5" s="420"/>
      <c r="AI5" s="420"/>
      <c r="AJ5" s="420"/>
      <c r="AK5" s="420"/>
      <c r="AL5" s="420"/>
      <c r="AM5" s="421" t="s">
        <v>415</v>
      </c>
      <c r="AO5" s="118"/>
      <c r="AP5" s="118" t="str">
        <f aca="false">IF(T5="","",T5)</f>
        <v>Источник тепловой энергии</v>
      </c>
      <c r="AQ5" s="118"/>
      <c r="AR5" s="118"/>
      <c r="AS5" s="42" t="n">
        <v>0</v>
      </c>
    </row>
    <row r="6" customFormat="false" ht="47.25" hidden="true" customHeight="true" outlineLevel="0" collapsed="false">
      <c r="A6" s="241"/>
      <c r="B6" s="241"/>
      <c r="C6" s="241"/>
      <c r="D6" s="241"/>
      <c r="E6" s="489"/>
      <c r="F6" s="489"/>
      <c r="G6" s="489"/>
      <c r="H6" s="489"/>
      <c r="I6" s="146" t="e">
        <f aca="false">S5&amp;".1"</f>
        <v>#N/A</v>
      </c>
      <c r="J6" s="241"/>
      <c r="K6" s="241"/>
      <c r="L6" s="490" t="s">
        <v>416</v>
      </c>
      <c r="M6" s="42"/>
      <c r="P6" s="121" t="n">
        <v>1</v>
      </c>
      <c r="Q6" s="121"/>
      <c r="R6" s="429"/>
      <c r="S6" s="416" t="e">
        <f aca="false">$I6</f>
        <v>#N/A</v>
      </c>
      <c r="T6" s="430" t="s">
        <v>417</v>
      </c>
      <c r="U6" s="418"/>
      <c r="V6" s="431"/>
      <c r="W6" s="431"/>
      <c r="X6" s="431"/>
      <c r="Y6" s="431"/>
      <c r="Z6" s="431"/>
      <c r="AA6" s="431"/>
      <c r="AB6" s="431"/>
      <c r="AC6" s="431"/>
      <c r="AD6" s="431"/>
      <c r="AE6" s="431"/>
      <c r="AF6" s="431"/>
      <c r="AG6" s="431"/>
      <c r="AH6" s="431"/>
      <c r="AI6" s="431"/>
      <c r="AJ6" s="431"/>
      <c r="AK6" s="431"/>
      <c r="AL6" s="431"/>
      <c r="AM6" s="421" t="s">
        <v>418</v>
      </c>
      <c r="AO6" s="118"/>
      <c r="AP6" s="118" t="str">
        <f aca="false">IF(T6="","",T6)</f>
        <v>Схема подключения теплопотребляющей установки к коллектору источника тепловой энергии</v>
      </c>
      <c r="AQ6" s="118"/>
      <c r="AR6" s="118"/>
      <c r="AS6" s="42" t="n">
        <v>0</v>
      </c>
    </row>
    <row r="7" customFormat="false" ht="21" hidden="true" customHeight="true" outlineLevel="0" collapsed="false">
      <c r="A7" s="241"/>
      <c r="B7" s="241"/>
      <c r="C7" s="241"/>
      <c r="D7" s="241"/>
      <c r="E7" s="489"/>
      <c r="F7" s="489"/>
      <c r="G7" s="489"/>
      <c r="H7" s="489"/>
      <c r="I7" s="146"/>
      <c r="J7" s="134" t="e">
        <f aca="false">I6&amp;".1"</f>
        <v>#N/A</v>
      </c>
      <c r="K7" s="241"/>
      <c r="L7" s="490" t="s">
        <v>419</v>
      </c>
      <c r="M7" s="42"/>
      <c r="N7" s="42"/>
      <c r="P7" s="121"/>
      <c r="Q7" s="121" t="n">
        <v>1</v>
      </c>
      <c r="R7" s="432"/>
      <c r="S7" s="416" t="e">
        <f aca="false">$J7</f>
        <v>#N/A</v>
      </c>
      <c r="T7" s="433" t="s">
        <v>420</v>
      </c>
      <c r="U7" s="418"/>
      <c r="V7" s="431"/>
      <c r="W7" s="431"/>
      <c r="X7" s="431"/>
      <c r="Y7" s="431"/>
      <c r="Z7" s="431"/>
      <c r="AA7" s="431"/>
      <c r="AB7" s="431"/>
      <c r="AC7" s="431"/>
      <c r="AD7" s="431"/>
      <c r="AE7" s="431"/>
      <c r="AF7" s="431"/>
      <c r="AG7" s="431"/>
      <c r="AH7" s="431"/>
      <c r="AI7" s="431"/>
      <c r="AJ7" s="431"/>
      <c r="AK7" s="431"/>
      <c r="AL7" s="431"/>
      <c r="AM7" s="421" t="s">
        <v>421</v>
      </c>
      <c r="AO7" s="118"/>
      <c r="AP7" s="118" t="str">
        <f aca="false">IF(T7="","",T7)</f>
        <v>Группа потребителей</v>
      </c>
      <c r="AQ7" s="118"/>
      <c r="AR7" s="118"/>
      <c r="AS7" s="42" t="n">
        <v>0</v>
      </c>
    </row>
    <row r="8" customFormat="false" ht="21" hidden="true" customHeight="true" outlineLevel="0" collapsed="false">
      <c r="A8" s="241"/>
      <c r="B8" s="241"/>
      <c r="C8" s="241"/>
      <c r="D8" s="241"/>
      <c r="E8" s="489"/>
      <c r="F8" s="489"/>
      <c r="G8" s="489"/>
      <c r="H8" s="489"/>
      <c r="I8" s="146"/>
      <c r="J8" s="146"/>
      <c r="K8" s="134" t="e">
        <f aca="false">J7&amp;".1"</f>
        <v>#N/A</v>
      </c>
      <c r="L8" s="490" t="s">
        <v>422</v>
      </c>
      <c r="M8" s="42"/>
      <c r="N8" s="42"/>
      <c r="O8" s="42"/>
      <c r="P8" s="121"/>
      <c r="Q8" s="121"/>
      <c r="R8" s="432" t="n">
        <v>1</v>
      </c>
      <c r="S8" s="416" t="e">
        <f aca="false">$K8</f>
        <v>#N/A</v>
      </c>
      <c r="T8" s="434"/>
      <c r="U8" s="418"/>
      <c r="V8" s="435"/>
      <c r="W8" s="436"/>
      <c r="X8" s="435"/>
      <c r="Y8" s="437"/>
      <c r="Z8" s="438"/>
      <c r="AA8" s="204" t="s">
        <v>61</v>
      </c>
      <c r="AB8" s="438"/>
      <c r="AC8" s="204" t="s">
        <v>61</v>
      </c>
      <c r="AD8" s="435"/>
      <c r="AE8" s="436"/>
      <c r="AF8" s="435"/>
      <c r="AG8" s="437"/>
      <c r="AH8" s="438"/>
      <c r="AI8" s="204" t="s">
        <v>61</v>
      </c>
      <c r="AJ8" s="438"/>
      <c r="AK8" s="204" t="s">
        <v>61</v>
      </c>
      <c r="AL8" s="436"/>
      <c r="AM8" s="439" t="s">
        <v>423</v>
      </c>
      <c r="AN8" s="47" t="e">
        <f aca="false">strcheckdate(V9:AL9)</f>
        <v>#NAME?</v>
      </c>
      <c r="AO8" s="118"/>
      <c r="AP8" s="118" t="str">
        <f aca="false">IF(T8="","",T8)</f>
        <v/>
      </c>
      <c r="AQ8" s="118"/>
      <c r="AR8" s="118"/>
      <c r="AS8" s="42" t="n">
        <v>0</v>
      </c>
    </row>
    <row r="9" customFormat="false" ht="0.75" hidden="true" customHeight="true" outlineLevel="0" collapsed="false">
      <c r="A9" s="241"/>
      <c r="B9" s="241"/>
      <c r="C9" s="241"/>
      <c r="D9" s="241"/>
      <c r="E9" s="489"/>
      <c r="F9" s="489"/>
      <c r="G9" s="489"/>
      <c r="H9" s="489"/>
      <c r="I9" s="146"/>
      <c r="J9" s="146"/>
      <c r="K9" s="134"/>
      <c r="L9" s="490"/>
      <c r="M9" s="42"/>
      <c r="N9" s="42"/>
      <c r="O9" s="42"/>
      <c r="P9" s="121"/>
      <c r="Q9" s="121"/>
      <c r="R9" s="432"/>
      <c r="S9" s="393"/>
      <c r="T9" s="418"/>
      <c r="U9" s="418"/>
      <c r="V9" s="436"/>
      <c r="W9" s="436"/>
      <c r="X9" s="436"/>
      <c r="Y9" s="440" t="str">
        <f aca="false">Z8&amp;"-"&amp;AB8</f>
        <v>-</v>
      </c>
      <c r="Z9" s="438"/>
      <c r="AA9" s="204"/>
      <c r="AB9" s="438"/>
      <c r="AC9" s="204"/>
      <c r="AD9" s="436"/>
      <c r="AE9" s="436"/>
      <c r="AF9" s="436"/>
      <c r="AG9" s="440" t="str">
        <f aca="false">AH8&amp;"-"&amp;AJ8</f>
        <v>-</v>
      </c>
      <c r="AH9" s="438"/>
      <c r="AI9" s="204"/>
      <c r="AJ9" s="438"/>
      <c r="AK9" s="204"/>
      <c r="AL9" s="436"/>
      <c r="AM9" s="439"/>
      <c r="AO9" s="118"/>
      <c r="AP9" s="118" t="str">
        <f aca="false">IF(T9="","",T9)</f>
        <v/>
      </c>
      <c r="AQ9" s="118"/>
      <c r="AR9" s="118"/>
      <c r="AS9" s="42" t="n">
        <v>0</v>
      </c>
    </row>
    <row r="10" customFormat="false" ht="15" hidden="true" customHeight="true" outlineLevel="0" collapsed="false">
      <c r="A10" s="241"/>
      <c r="B10" s="241"/>
      <c r="C10" s="241"/>
      <c r="D10" s="241"/>
      <c r="E10" s="489"/>
      <c r="F10" s="489"/>
      <c r="G10" s="489"/>
      <c r="H10" s="489"/>
      <c r="I10" s="146"/>
      <c r="J10" s="134"/>
      <c r="K10" s="241"/>
      <c r="L10" s="490"/>
      <c r="M10" s="42"/>
      <c r="N10" s="42"/>
      <c r="P10" s="121"/>
      <c r="Q10" s="121"/>
      <c r="R10" s="429"/>
      <c r="S10" s="441"/>
      <c r="T10" s="442" t="s">
        <v>424</v>
      </c>
      <c r="U10" s="194"/>
      <c r="V10" s="194"/>
      <c r="W10" s="194"/>
      <c r="X10" s="194"/>
      <c r="Y10" s="194"/>
      <c r="Z10" s="194"/>
      <c r="AA10" s="194"/>
      <c r="AB10" s="194"/>
      <c r="AC10" s="194"/>
      <c r="AD10" s="194"/>
      <c r="AE10" s="194"/>
      <c r="AF10" s="194"/>
      <c r="AG10" s="194"/>
      <c r="AH10" s="194"/>
      <c r="AI10" s="194"/>
      <c r="AJ10" s="194"/>
      <c r="AK10" s="194"/>
      <c r="AL10" s="443"/>
      <c r="AM10" s="439"/>
      <c r="AO10" s="118"/>
      <c r="AP10" s="118" t="str">
        <f aca="false">IF(T10="","",T10)</f>
        <v>Добавить вид теплоносителя (параметры теплоносителя)</v>
      </c>
      <c r="AQ10" s="118"/>
      <c r="AR10" s="118"/>
      <c r="AS10" s="42" t="n">
        <v>0</v>
      </c>
    </row>
    <row r="11" customFormat="false" ht="15" hidden="true" customHeight="true" outlineLevel="0" collapsed="false">
      <c r="A11" s="241"/>
      <c r="B11" s="241"/>
      <c r="C11" s="241"/>
      <c r="D11" s="241"/>
      <c r="E11" s="489"/>
      <c r="F11" s="489"/>
      <c r="G11" s="489"/>
      <c r="H11" s="489"/>
      <c r="I11" s="146"/>
      <c r="J11" s="241"/>
      <c r="K11" s="241"/>
      <c r="L11" s="490"/>
      <c r="M11" s="42"/>
      <c r="P11" s="121"/>
      <c r="Q11" s="121"/>
      <c r="R11" s="429"/>
      <c r="S11" s="441"/>
      <c r="T11" s="444" t="s">
        <v>425</v>
      </c>
      <c r="U11" s="194"/>
      <c r="V11" s="194"/>
      <c r="W11" s="194"/>
      <c r="X11" s="194"/>
      <c r="Y11" s="194"/>
      <c r="Z11" s="194"/>
      <c r="AA11" s="194"/>
      <c r="AB11" s="194"/>
      <c r="AC11" s="445"/>
      <c r="AD11" s="194"/>
      <c r="AE11" s="194"/>
      <c r="AF11" s="194"/>
      <c r="AG11" s="194"/>
      <c r="AH11" s="194"/>
      <c r="AI11" s="194"/>
      <c r="AJ11" s="194"/>
      <c r="AK11" s="445"/>
      <c r="AL11" s="194"/>
      <c r="AM11" s="446"/>
      <c r="AO11" s="118"/>
      <c r="AP11" s="118" t="str">
        <f aca="false">IF(T11="","",T11)</f>
        <v>Добавить группу потребителей</v>
      </c>
      <c r="AQ11" s="118"/>
      <c r="AR11" s="118"/>
      <c r="AS11" s="42" t="n">
        <v>0</v>
      </c>
    </row>
    <row r="12" customFormat="false" ht="14.25" hidden="true" customHeight="true" outlineLevel="0" collapsed="false">
      <c r="A12" s="241"/>
      <c r="B12" s="241"/>
      <c r="C12" s="241"/>
      <c r="D12" s="241"/>
      <c r="E12" s="489"/>
      <c r="F12" s="489"/>
      <c r="G12" s="489"/>
      <c r="H12" s="489"/>
      <c r="I12" s="241"/>
      <c r="J12" s="241"/>
      <c r="K12" s="241"/>
      <c r="L12" s="490"/>
      <c r="M12" s="75"/>
      <c r="N12" s="75"/>
      <c r="O12" s="42"/>
      <c r="P12" s="132"/>
      <c r="Q12" s="447"/>
      <c r="R12" s="415"/>
      <c r="S12" s="441"/>
      <c r="T12" s="448" t="s">
        <v>426</v>
      </c>
      <c r="U12" s="194"/>
      <c r="V12" s="194"/>
      <c r="W12" s="194"/>
      <c r="X12" s="194"/>
      <c r="Y12" s="194"/>
      <c r="Z12" s="194"/>
      <c r="AA12" s="194"/>
      <c r="AB12" s="194"/>
      <c r="AC12" s="445"/>
      <c r="AD12" s="194"/>
      <c r="AE12" s="194"/>
      <c r="AF12" s="194"/>
      <c r="AG12" s="194"/>
      <c r="AH12" s="194"/>
      <c r="AI12" s="194"/>
      <c r="AJ12" s="194"/>
      <c r="AK12" s="445"/>
      <c r="AL12" s="194"/>
      <c r="AM12" s="446"/>
      <c r="AO12" s="118"/>
      <c r="AP12" s="118" t="str">
        <f aca="false">IF(T12="","",T12)</f>
        <v>Добавить схему подключения</v>
      </c>
      <c r="AQ12" s="118"/>
      <c r="AR12" s="118"/>
      <c r="AS12" s="42" t="n">
        <v>0</v>
      </c>
    </row>
    <row r="13" s="47" customFormat="true" ht="0.75" hidden="true" customHeight="true" outlineLevel="0" collapsed="false">
      <c r="A13" s="241"/>
      <c r="B13" s="241"/>
      <c r="C13" s="241"/>
      <c r="D13" s="241"/>
      <c r="E13" s="489"/>
      <c r="F13" s="489"/>
      <c r="G13" s="489"/>
      <c r="H13" s="241"/>
      <c r="I13" s="241"/>
      <c r="J13" s="241"/>
      <c r="K13" s="241"/>
      <c r="L13" s="490"/>
      <c r="M13" s="75"/>
      <c r="N13" s="75"/>
      <c r="O13" s="42"/>
      <c r="P13" s="156"/>
      <c r="Q13" s="449"/>
      <c r="R13" s="156"/>
      <c r="S13" s="450"/>
      <c r="T13" s="451" t="s">
        <v>427</v>
      </c>
      <c r="U13" s="452"/>
      <c r="V13" s="452"/>
      <c r="W13" s="452"/>
      <c r="X13" s="452"/>
      <c r="Y13" s="452"/>
      <c r="Z13" s="452"/>
      <c r="AA13" s="452"/>
      <c r="AB13" s="452"/>
      <c r="AC13" s="452"/>
      <c r="AD13" s="452"/>
      <c r="AE13" s="452"/>
      <c r="AF13" s="452"/>
      <c r="AG13" s="452"/>
      <c r="AH13" s="452"/>
      <c r="AI13" s="452"/>
      <c r="AJ13" s="452"/>
      <c r="AK13" s="452"/>
      <c r="AL13" s="452"/>
      <c r="AM13" s="452"/>
      <c r="AO13" s="118"/>
      <c r="AP13" s="118" t="str">
        <f aca="false">IF(T13="","",T13)</f>
        <v>Добавить источник для дифференциации</v>
      </c>
      <c r="AQ13" s="118"/>
      <c r="AR13" s="118"/>
      <c r="AS13" s="47" t="n">
        <v>0</v>
      </c>
    </row>
    <row r="14" s="47" customFormat="true" ht="0.75" hidden="true" customHeight="true" outlineLevel="0" collapsed="false">
      <c r="A14" s="241"/>
      <c r="B14" s="241"/>
      <c r="C14" s="241"/>
      <c r="D14" s="241"/>
      <c r="E14" s="489"/>
      <c r="F14" s="489"/>
      <c r="G14" s="241"/>
      <c r="H14" s="241"/>
      <c r="I14" s="241"/>
      <c r="J14" s="241"/>
      <c r="K14" s="241"/>
      <c r="L14" s="490"/>
      <c r="M14" s="496"/>
      <c r="N14" s="496"/>
      <c r="O14" s="42"/>
      <c r="P14" s="156"/>
      <c r="Q14" s="449"/>
      <c r="R14" s="156"/>
      <c r="S14" s="454"/>
      <c r="T14" s="455" t="s">
        <v>428</v>
      </c>
      <c r="U14" s="456"/>
      <c r="V14" s="456"/>
      <c r="W14" s="456"/>
      <c r="X14" s="456"/>
      <c r="Y14" s="456"/>
      <c r="Z14" s="456"/>
      <c r="AA14" s="456"/>
      <c r="AB14" s="456"/>
      <c r="AC14" s="456"/>
      <c r="AD14" s="456"/>
      <c r="AE14" s="456"/>
      <c r="AF14" s="456"/>
      <c r="AG14" s="456"/>
      <c r="AH14" s="456"/>
      <c r="AI14" s="456"/>
      <c r="AJ14" s="456"/>
      <c r="AK14" s="456"/>
      <c r="AL14" s="456"/>
      <c r="AM14" s="456"/>
      <c r="AO14" s="118"/>
      <c r="AP14" s="118" t="str">
        <f aca="false">IF(T14="","",T14)</f>
        <v>Добавить централизованную систему для дифференциации</v>
      </c>
      <c r="AQ14" s="118"/>
      <c r="AR14" s="118"/>
      <c r="AS14" s="47" t="n">
        <v>0</v>
      </c>
    </row>
    <row r="15" s="47" customFormat="true" ht="0.75" hidden="true" customHeight="true" outlineLevel="0" collapsed="false">
      <c r="A15" s="241"/>
      <c r="B15" s="241"/>
      <c r="C15" s="241"/>
      <c r="D15" s="241"/>
      <c r="E15" s="489"/>
      <c r="F15" s="241"/>
      <c r="G15" s="241"/>
      <c r="H15" s="241"/>
      <c r="I15" s="241"/>
      <c r="J15" s="241"/>
      <c r="K15" s="241"/>
      <c r="L15" s="490"/>
      <c r="M15" s="496"/>
      <c r="N15" s="496"/>
      <c r="O15" s="42"/>
      <c r="P15" s="156"/>
      <c r="Q15" s="449"/>
      <c r="R15" s="156"/>
      <c r="S15" s="454"/>
      <c r="T15" s="457" t="s">
        <v>429</v>
      </c>
      <c r="U15" s="456"/>
      <c r="V15" s="456"/>
      <c r="W15" s="456"/>
      <c r="X15" s="456"/>
      <c r="Y15" s="456"/>
      <c r="Z15" s="456"/>
      <c r="AA15" s="456"/>
      <c r="AB15" s="456"/>
      <c r="AC15" s="456"/>
      <c r="AD15" s="456"/>
      <c r="AE15" s="456"/>
      <c r="AF15" s="456"/>
      <c r="AG15" s="456"/>
      <c r="AH15" s="456"/>
      <c r="AI15" s="456"/>
      <c r="AJ15" s="456"/>
      <c r="AK15" s="456"/>
      <c r="AL15" s="456"/>
      <c r="AM15" s="456"/>
      <c r="AO15" s="118"/>
      <c r="AP15" s="118" t="str">
        <f aca="false">IF(T15="","",T15)</f>
        <v>Добавить территорию для дифференциации</v>
      </c>
      <c r="AQ15" s="118"/>
      <c r="AR15" s="118"/>
      <c r="AS15" s="47" t="n">
        <v>0</v>
      </c>
    </row>
    <row r="16" customFormat="false" ht="14.25" hidden="true" customHeight="true" outlineLevel="0" collapsed="false">
      <c r="AS16" s="42" t="n">
        <v>0</v>
      </c>
    </row>
    <row r="17" customFormat="false" ht="14.25" hidden="true" customHeight="true" outlineLevel="0" collapsed="false">
      <c r="AD17" s="458"/>
      <c r="AE17" s="458"/>
      <c r="AF17" s="458"/>
      <c r="AG17" s="459"/>
      <c r="AH17" s="460"/>
      <c r="AI17" s="461" t="s">
        <v>61</v>
      </c>
      <c r="AJ17" s="460"/>
      <c r="AK17" s="461" t="s">
        <v>61</v>
      </c>
      <c r="AS17" s="42" t="n">
        <v>0</v>
      </c>
    </row>
    <row r="18" customFormat="false" ht="14.25" hidden="true" customHeight="true" outlineLevel="0" collapsed="false">
      <c r="AD18" s="458"/>
      <c r="AE18" s="458"/>
      <c r="AF18" s="458"/>
      <c r="AG18" s="440" t="str">
        <f aca="false">AH17&amp;"-"&amp;AJ17</f>
        <v>-</v>
      </c>
      <c r="AH18" s="460"/>
      <c r="AI18" s="460"/>
      <c r="AJ18" s="460"/>
      <c r="AK18" s="460"/>
      <c r="AS18" s="42" t="n">
        <v>0</v>
      </c>
    </row>
    <row r="19" customFormat="false" ht="14.25" hidden="true" customHeight="true" outlineLevel="0" collapsed="false">
      <c r="AS19" s="42" t="n">
        <v>0</v>
      </c>
    </row>
    <row r="20" s="45" customFormat="true" ht="22.5" hidden="true" customHeight="true" outlineLevel="0" collapsed="false">
      <c r="A20" s="42"/>
      <c r="B20" s="42"/>
      <c r="C20" s="42"/>
      <c r="D20" s="42"/>
      <c r="E20" s="42"/>
      <c r="F20" s="42"/>
      <c r="G20" s="42"/>
      <c r="H20" s="42"/>
      <c r="I20" s="42"/>
      <c r="J20" s="42"/>
      <c r="K20" s="42"/>
      <c r="L20" s="43"/>
      <c r="M20" s="50"/>
      <c r="N20" s="50"/>
      <c r="O20" s="495" t="s">
        <v>430</v>
      </c>
      <c r="P20" s="51"/>
      <c r="Q20" s="463"/>
      <c r="R20" s="463"/>
      <c r="S20" s="40"/>
      <c r="Z20" s="462"/>
      <c r="AB20" s="462"/>
      <c r="AH20" s="462"/>
      <c r="AJ20" s="462"/>
      <c r="AN20" s="47"/>
      <c r="AO20" s="47"/>
      <c r="AP20" s="47"/>
      <c r="AQ20" s="47"/>
      <c r="AR20" s="47"/>
      <c r="AS20" s="45" t="n">
        <v>0</v>
      </c>
    </row>
    <row r="21" s="45" customFormat="true" ht="14.25" hidden="true" customHeight="true" outlineLevel="0" collapsed="false">
      <c r="A21" s="42"/>
      <c r="B21" s="42"/>
      <c r="C21" s="42"/>
      <c r="D21" s="42"/>
      <c r="E21" s="42"/>
      <c r="F21" s="42"/>
      <c r="G21" s="42"/>
      <c r="H21" s="42"/>
      <c r="I21" s="42"/>
      <c r="J21" s="42"/>
      <c r="K21" s="42"/>
      <c r="L21" s="43"/>
      <c r="M21" s="50"/>
      <c r="N21" s="50"/>
      <c r="O21" s="50"/>
      <c r="P21" s="51"/>
      <c r="Q21" s="463"/>
      <c r="R21" s="463"/>
      <c r="S21" s="40"/>
      <c r="AN21" s="47"/>
      <c r="AO21" s="47"/>
      <c r="AP21" s="47"/>
      <c r="AQ21" s="47"/>
      <c r="AR21" s="47"/>
      <c r="AS21" s="45" t="n">
        <v>0</v>
      </c>
    </row>
    <row r="22" s="45" customFormat="true" ht="14.25" hidden="true" customHeight="true" outlineLevel="0" collapsed="false">
      <c r="A22" s="42"/>
      <c r="B22" s="42"/>
      <c r="C22" s="42"/>
      <c r="D22" s="42"/>
      <c r="E22" s="42"/>
      <c r="F22" s="42"/>
      <c r="G22" s="42"/>
      <c r="H22" s="42"/>
      <c r="I22" s="42"/>
      <c r="J22" s="42"/>
      <c r="K22" s="42"/>
      <c r="L22" s="43"/>
      <c r="M22" s="50"/>
      <c r="N22" s="50"/>
      <c r="O22" s="490" t="s">
        <v>431</v>
      </c>
      <c r="P22" s="51"/>
      <c r="Q22" s="463"/>
      <c r="R22" s="463"/>
      <c r="S22" s="40"/>
      <c r="T22" s="45" t="s">
        <v>432</v>
      </c>
      <c r="AA22" s="140" t="s">
        <v>433</v>
      </c>
      <c r="AC22" s="140" t="s">
        <v>434</v>
      </c>
      <c r="AD22" s="45" t="s">
        <v>432</v>
      </c>
      <c r="AI22" s="140" t="s">
        <v>435</v>
      </c>
      <c r="AK22" s="140" t="s">
        <v>434</v>
      </c>
      <c r="AN22" s="47"/>
      <c r="AO22" s="47"/>
      <c r="AP22" s="47"/>
      <c r="AQ22" s="47"/>
      <c r="AR22" s="47"/>
      <c r="AS22" s="45" t="n">
        <v>0</v>
      </c>
    </row>
    <row r="23" customFormat="false" ht="14.25" hidden="true" customHeight="true" outlineLevel="0" collapsed="false">
      <c r="O23" s="490"/>
      <c r="AS23" s="42" t="n">
        <v>0</v>
      </c>
    </row>
    <row r="24" customFormat="false" ht="14.25" hidden="true" customHeight="true" outlineLevel="0" collapsed="false">
      <c r="O24" s="490"/>
      <c r="AS24" s="42" t="n">
        <v>0</v>
      </c>
    </row>
    <row r="25" customFormat="false" ht="14.25" hidden="false" customHeight="true" outlineLevel="0" collapsed="false">
      <c r="Q25" s="464"/>
      <c r="R25" s="464"/>
      <c r="S25" s="465"/>
      <c r="T25" s="80"/>
      <c r="U25" s="80"/>
      <c r="AS25" s="42" t="n">
        <v>14</v>
      </c>
    </row>
    <row r="26" customFormat="false" ht="14.25" hidden="false" customHeight="true" outlineLevel="0" collapsed="false">
      <c r="Q26" s="464"/>
      <c r="R26" s="46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64"/>
      <c r="R27" s="464"/>
      <c r="S27" s="261" t="str">
        <f aca="false">IF(org=0,"Не определено",org)</f>
        <v>ООО "Газпром теплоэнерго Ярославль"</v>
      </c>
      <c r="T27" s="261"/>
      <c r="U27" s="261"/>
      <c r="V27" s="261"/>
      <c r="W27" s="261"/>
      <c r="X27" s="261"/>
      <c r="Y27" s="261"/>
      <c r="Z27" s="261"/>
      <c r="AA27" s="261"/>
      <c r="AB27" s="261"/>
      <c r="AC27" s="261"/>
      <c r="AD27" s="261"/>
      <c r="AE27" s="261"/>
      <c r="AF27" s="261"/>
      <c r="AG27" s="261"/>
      <c r="AH27" s="261"/>
      <c r="AI27" s="261"/>
      <c r="AJ27" s="261"/>
      <c r="AK27" s="222"/>
      <c r="AS27" s="42" t="n">
        <v>14</v>
      </c>
    </row>
    <row r="28" customFormat="false" ht="14.25" hidden="true" customHeight="true" outlineLevel="0" collapsed="false">
      <c r="Q28" s="464"/>
      <c r="R28" s="464"/>
      <c r="S28" s="465"/>
      <c r="T28" s="80"/>
      <c r="U28" s="80"/>
      <c r="V28" s="466"/>
      <c r="W28" s="466"/>
      <c r="X28" s="466"/>
      <c r="Y28" s="466"/>
      <c r="Z28" s="466"/>
      <c r="AA28" s="466"/>
      <c r="AB28" s="466"/>
      <c r="AC28" s="466"/>
      <c r="AD28" s="466"/>
      <c r="AE28" s="466"/>
      <c r="AF28" s="466"/>
      <c r="AG28" s="466"/>
      <c r="AH28" s="466"/>
      <c r="AI28" s="466"/>
      <c r="AJ28" s="466"/>
      <c r="AK28" s="466"/>
      <c r="AS28" s="42" t="n">
        <v>0</v>
      </c>
    </row>
    <row r="29" s="175" customFormat="true" ht="25.5" hidden="true" customHeight="true" outlineLevel="0" collapsed="false">
      <c r="A29" s="96"/>
      <c r="B29" s="96"/>
      <c r="C29" s="96"/>
      <c r="D29" s="96"/>
      <c r="E29" s="96"/>
      <c r="F29" s="96"/>
      <c r="G29" s="96"/>
      <c r="H29" s="96"/>
      <c r="I29" s="96"/>
      <c r="J29" s="96"/>
      <c r="K29" s="96"/>
      <c r="L29" s="490"/>
      <c r="M29" s="96"/>
      <c r="N29" s="96"/>
      <c r="O29" s="96"/>
      <c r="S29" s="467" t="s">
        <v>40</v>
      </c>
      <c r="T29" s="467"/>
      <c r="U29" s="468"/>
      <c r="V29" s="469" t="str">
        <f aca="false">IF(TITLE_NAME_OR_PR_CHANGE="",IF(TITLE_NAME_OR_PR="","",TITLE_NAME_OR_PR),TITLE_NAME_OR_PR_CHANGE)</f>
        <v/>
      </c>
      <c r="W29" s="469"/>
      <c r="X29" s="469"/>
      <c r="Y29" s="469"/>
      <c r="Z29" s="469"/>
      <c r="AA29" s="469"/>
      <c r="AB29" s="469"/>
      <c r="AC29" s="42"/>
      <c r="AD29" s="469" t="str">
        <f aca="false">IF(TITLE_NAME_OR_PR_CHANGE="",IF(TITLE_NAME_OR_PR="","",TITLE_NAME_OR_PR),TITLE_NAME_OR_PR_CHANGE)</f>
        <v/>
      </c>
      <c r="AE29" s="469"/>
      <c r="AF29" s="469"/>
      <c r="AG29" s="469"/>
      <c r="AH29" s="469"/>
      <c r="AI29" s="469"/>
      <c r="AJ29" s="469"/>
      <c r="AK29" s="42"/>
      <c r="AL29" s="42"/>
      <c r="AM29" s="470"/>
      <c r="AN29" s="118"/>
      <c r="AO29" s="118"/>
      <c r="AP29" s="118"/>
      <c r="AQ29" s="118"/>
      <c r="AR29" s="118"/>
      <c r="AS29" s="175" t="n">
        <v>0</v>
      </c>
    </row>
    <row r="30" s="175" customFormat="true" ht="18.75" hidden="true" customHeight="true" outlineLevel="0" collapsed="false">
      <c r="A30" s="96"/>
      <c r="B30" s="96"/>
      <c r="C30" s="96"/>
      <c r="D30" s="96"/>
      <c r="E30" s="96"/>
      <c r="F30" s="96"/>
      <c r="G30" s="96"/>
      <c r="H30" s="96"/>
      <c r="I30" s="96"/>
      <c r="J30" s="96"/>
      <c r="K30" s="96"/>
      <c r="L30" s="490"/>
      <c r="M30" s="96"/>
      <c r="N30" s="96"/>
      <c r="O30" s="96"/>
      <c r="S30" s="467" t="s">
        <v>436</v>
      </c>
      <c r="T30" s="467"/>
      <c r="U30" s="468"/>
      <c r="V30" s="471" t="str">
        <f aca="false">IF(TITLE_DATE_PR_CHANGE="",IF(TITLE_DATE_PR="","",TITLE_DATE_PR),TITLE_DATE_PR_CHANGE)</f>
        <v/>
      </c>
      <c r="W30" s="471"/>
      <c r="X30" s="471"/>
      <c r="Y30" s="471"/>
      <c r="Z30" s="471"/>
      <c r="AA30" s="471"/>
      <c r="AB30" s="471"/>
      <c r="AC30" s="42"/>
      <c r="AD30" s="471" t="str">
        <f aca="false">IF(TITLE_DATE_PR_CHANGE="",IF(TITLE_DATE_PR="","",TITLE_DATE_PR),TITLE_DATE_PR_CHANGE)</f>
        <v/>
      </c>
      <c r="AE30" s="471"/>
      <c r="AF30" s="471"/>
      <c r="AG30" s="471"/>
      <c r="AH30" s="471"/>
      <c r="AI30" s="471"/>
      <c r="AJ30" s="471"/>
      <c r="AK30" s="42"/>
      <c r="AL30" s="42"/>
      <c r="AM30" s="470"/>
      <c r="AN30" s="118"/>
      <c r="AO30" s="118"/>
      <c r="AP30" s="118"/>
      <c r="AQ30" s="118"/>
      <c r="AR30" s="118"/>
      <c r="AS30" s="175" t="n">
        <v>0</v>
      </c>
    </row>
    <row r="31" s="175" customFormat="true" ht="18.75" hidden="true" customHeight="true" outlineLevel="0" collapsed="false">
      <c r="A31" s="96"/>
      <c r="B31" s="96"/>
      <c r="C31" s="96"/>
      <c r="D31" s="96"/>
      <c r="E31" s="96"/>
      <c r="F31" s="96"/>
      <c r="G31" s="96"/>
      <c r="H31" s="96"/>
      <c r="I31" s="96"/>
      <c r="J31" s="96"/>
      <c r="K31" s="96"/>
      <c r="L31" s="490"/>
      <c r="M31" s="96"/>
      <c r="N31" s="96"/>
      <c r="O31" s="96"/>
      <c r="S31" s="467" t="s">
        <v>437</v>
      </c>
      <c r="T31" s="467"/>
      <c r="U31" s="468"/>
      <c r="V31" s="469" t="str">
        <f aca="false">IF(TITLE_NUMBER_PR_CHANGE="",IF(TITLE_NUMBER_PR="","",TITLE_NUMBER_PR),TITLE_NUMBER_PR_CHANGE)</f>
        <v/>
      </c>
      <c r="W31" s="469"/>
      <c r="X31" s="469"/>
      <c r="Y31" s="469"/>
      <c r="Z31" s="469"/>
      <c r="AA31" s="469"/>
      <c r="AB31" s="469"/>
      <c r="AC31" s="42"/>
      <c r="AD31" s="469" t="str">
        <f aca="false">IF(TITLE_NUMBER_PR_CHANGE="",IF(TITLE_NUMBER_PR="","",TITLE_NUMBER_PR),TITLE_NUMBER_PR_CHANGE)</f>
        <v/>
      </c>
      <c r="AE31" s="469"/>
      <c r="AF31" s="469"/>
      <c r="AG31" s="469"/>
      <c r="AH31" s="469"/>
      <c r="AI31" s="469"/>
      <c r="AJ31" s="469"/>
      <c r="AK31" s="42"/>
      <c r="AL31" s="42"/>
      <c r="AM31" s="470"/>
      <c r="AN31" s="118"/>
      <c r="AO31" s="118"/>
      <c r="AP31" s="118"/>
      <c r="AQ31" s="118"/>
      <c r="AR31" s="118"/>
      <c r="AS31" s="175" t="n">
        <v>0</v>
      </c>
    </row>
    <row r="32" s="175" customFormat="true" ht="18.75" hidden="true" customHeight="true" outlineLevel="0" collapsed="false">
      <c r="A32" s="96"/>
      <c r="B32" s="96"/>
      <c r="C32" s="96"/>
      <c r="D32" s="96"/>
      <c r="E32" s="96"/>
      <c r="F32" s="96"/>
      <c r="G32" s="96"/>
      <c r="H32" s="96"/>
      <c r="I32" s="96"/>
      <c r="J32" s="96"/>
      <c r="K32" s="96"/>
      <c r="L32" s="490"/>
      <c r="M32" s="96"/>
      <c r="N32" s="96"/>
      <c r="O32" s="96"/>
      <c r="S32" s="467" t="s">
        <v>41</v>
      </c>
      <c r="T32" s="467"/>
      <c r="U32" s="468"/>
      <c r="V32" s="469" t="str">
        <f aca="false">IF(TITLE_IST_PUB_CHANGE="",IF(TITLE_IST_PUB="","",TITLE_IST_PUB),TITLE_IST_PUB_CHANGE)</f>
        <v/>
      </c>
      <c r="W32" s="469"/>
      <c r="X32" s="469"/>
      <c r="Y32" s="469"/>
      <c r="Z32" s="469"/>
      <c r="AA32" s="469"/>
      <c r="AB32" s="469"/>
      <c r="AC32" s="42"/>
      <c r="AD32" s="469" t="str">
        <f aca="false">IF(TITLE_IST_PUB_CHANGE="",IF(TITLE_IST_PUB="","",TITLE_IST_PUB),TITLE_IST_PUB_CHANGE)</f>
        <v/>
      </c>
      <c r="AE32" s="469"/>
      <c r="AF32" s="469"/>
      <c r="AG32" s="469"/>
      <c r="AH32" s="469"/>
      <c r="AI32" s="469"/>
      <c r="AJ32" s="469"/>
      <c r="AK32" s="42"/>
      <c r="AL32" s="42"/>
      <c r="AM32" s="470"/>
      <c r="AN32" s="118"/>
      <c r="AO32" s="118"/>
      <c r="AP32" s="118"/>
      <c r="AQ32" s="118"/>
      <c r="AR32" s="118"/>
      <c r="AS32" s="175" t="n">
        <v>0</v>
      </c>
    </row>
    <row r="33" customFormat="false" ht="14.25" hidden="true" customHeight="true" outlineLevel="0" collapsed="false">
      <c r="Q33" s="464"/>
      <c r="R33" s="464"/>
      <c r="S33" s="465"/>
      <c r="T33" s="80"/>
      <c r="U33" s="80"/>
      <c r="V33" s="466"/>
      <c r="W33" s="466"/>
      <c r="X33" s="466"/>
      <c r="Y33" s="466"/>
      <c r="Z33" s="466"/>
      <c r="AA33" s="466"/>
      <c r="AB33" s="466"/>
      <c r="AC33" s="466"/>
      <c r="AD33" s="466"/>
      <c r="AE33" s="466"/>
      <c r="AF33" s="466"/>
      <c r="AG33" s="466"/>
      <c r="AH33" s="466"/>
      <c r="AI33" s="466"/>
      <c r="AJ33" s="466"/>
      <c r="AK33" s="466"/>
      <c r="AS33" s="42" t="n">
        <v>0</v>
      </c>
    </row>
    <row r="34" s="175" customFormat="true" ht="18.75" hidden="true" customHeight="true" outlineLevel="0" collapsed="false">
      <c r="A34" s="96"/>
      <c r="B34" s="96"/>
      <c r="C34" s="96"/>
      <c r="D34" s="96"/>
      <c r="E34" s="96"/>
      <c r="F34" s="96"/>
      <c r="G34" s="96"/>
      <c r="H34" s="96"/>
      <c r="I34" s="96"/>
      <c r="J34" s="96"/>
      <c r="K34" s="96"/>
      <c r="L34" s="490"/>
      <c r="M34" s="96"/>
      <c r="N34" s="96"/>
      <c r="O34" s="96"/>
      <c r="S34" s="467" t="s">
        <v>438</v>
      </c>
      <c r="T34" s="467"/>
      <c r="U34" s="468"/>
      <c r="V34" s="471" t="str">
        <f aca="false">IF(TITLE_DATE_PR_CHANGE="",IF(TITLE_DATE_PR="","",TITLE_DATE_PR),TITLE_DATE_PR_CHANGE)</f>
        <v/>
      </c>
      <c r="W34" s="471"/>
      <c r="X34" s="471"/>
      <c r="Y34" s="471"/>
      <c r="Z34" s="471"/>
      <c r="AA34" s="471"/>
      <c r="AB34" s="471"/>
      <c r="AC34" s="42"/>
      <c r="AD34" s="471" t="str">
        <f aca="false">IF(TITLE_DATE_PR_CHANGE="",IF(TITLE_DATE_PR="","",TITLE_DATE_PR),TITLE_DATE_PR_CHANGE)</f>
        <v/>
      </c>
      <c r="AE34" s="471"/>
      <c r="AF34" s="471"/>
      <c r="AG34" s="471"/>
      <c r="AH34" s="471"/>
      <c r="AI34" s="471"/>
      <c r="AJ34" s="471"/>
      <c r="AK34" s="42"/>
      <c r="AL34" s="42"/>
      <c r="AM34" s="470"/>
      <c r="AN34" s="118"/>
      <c r="AO34" s="118"/>
      <c r="AP34" s="118"/>
      <c r="AQ34" s="118"/>
      <c r="AR34" s="118"/>
      <c r="AS34" s="175" t="n">
        <v>0</v>
      </c>
    </row>
    <row r="35" s="175" customFormat="true" ht="18.75" hidden="true" customHeight="true" outlineLevel="0" collapsed="false">
      <c r="A35" s="96"/>
      <c r="B35" s="96"/>
      <c r="C35" s="96"/>
      <c r="D35" s="96"/>
      <c r="E35" s="96"/>
      <c r="F35" s="96"/>
      <c r="G35" s="96"/>
      <c r="H35" s="96"/>
      <c r="I35" s="96"/>
      <c r="J35" s="96"/>
      <c r="K35" s="96"/>
      <c r="L35" s="490"/>
      <c r="M35" s="96"/>
      <c r="N35" s="96"/>
      <c r="O35" s="96"/>
      <c r="S35" s="467" t="s">
        <v>439</v>
      </c>
      <c r="T35" s="467"/>
      <c r="U35" s="468"/>
      <c r="V35" s="469" t="str">
        <f aca="false">IF(TITLE_NUMBER_PR_CHANGE="",IF(TITLE_NUMBER_PR="","",TITLE_NUMBER_PR),TITLE_NUMBER_PR_CHANGE)</f>
        <v/>
      </c>
      <c r="W35" s="469"/>
      <c r="X35" s="469"/>
      <c r="Y35" s="469"/>
      <c r="Z35" s="469"/>
      <c r="AA35" s="469"/>
      <c r="AB35" s="469"/>
      <c r="AC35" s="42"/>
      <c r="AD35" s="469" t="str">
        <f aca="false">IF(TITLE_NUMBER_PR_CHANGE="",IF(TITLE_NUMBER_PR="","",TITLE_NUMBER_PR),TITLE_NUMBER_PR_CHANGE)</f>
        <v/>
      </c>
      <c r="AE35" s="469"/>
      <c r="AF35" s="469"/>
      <c r="AG35" s="469"/>
      <c r="AH35" s="469"/>
      <c r="AI35" s="469"/>
      <c r="AJ35" s="469"/>
      <c r="AK35" s="42"/>
      <c r="AL35" s="42"/>
      <c r="AM35" s="470"/>
      <c r="AN35" s="118"/>
      <c r="AO35" s="118"/>
      <c r="AP35" s="118"/>
      <c r="AQ35" s="118"/>
      <c r="AR35" s="118"/>
      <c r="AS35" s="175" t="n">
        <v>0</v>
      </c>
    </row>
    <row r="36" s="175" customFormat="true" ht="12.8" hidden="false" customHeight="false" outlineLevel="0" collapsed="false">
      <c r="A36" s="96"/>
      <c r="B36" s="96"/>
      <c r="C36" s="96"/>
      <c r="D36" s="96"/>
      <c r="E36" s="96"/>
      <c r="F36" s="96"/>
      <c r="G36" s="96"/>
      <c r="H36" s="96"/>
      <c r="I36" s="96"/>
      <c r="J36" s="96"/>
      <c r="K36" s="96"/>
      <c r="L36" s="490"/>
      <c r="M36" s="96"/>
      <c r="N36" s="96"/>
      <c r="O36" s="96"/>
      <c r="S36" s="42"/>
      <c r="T36" s="42"/>
      <c r="U36" s="128"/>
      <c r="V36" s="42"/>
      <c r="W36" s="42"/>
      <c r="X36" s="42"/>
      <c r="Y36" s="42"/>
      <c r="Z36" s="42"/>
      <c r="AA36" s="42"/>
      <c r="AB36" s="42"/>
      <c r="AC36" s="47" t="s">
        <v>440</v>
      </c>
      <c r="AD36" s="42"/>
      <c r="AE36" s="42"/>
      <c r="AF36" s="42"/>
      <c r="AG36" s="42"/>
      <c r="AH36" s="42"/>
      <c r="AI36" s="42"/>
      <c r="AJ36" s="42"/>
      <c r="AK36" s="47" t="s">
        <v>440</v>
      </c>
      <c r="AN36" s="118"/>
      <c r="AO36" s="118"/>
      <c r="AP36" s="118"/>
      <c r="AQ36" s="118"/>
      <c r="AR36" s="118"/>
      <c r="AS36" s="175" t="n">
        <v>0</v>
      </c>
    </row>
    <row r="37" customFormat="false" ht="14.25" hidden="false" customHeight="true" outlineLevel="0" collapsed="false">
      <c r="Q37" s="464"/>
      <c r="R37" s="464"/>
      <c r="S37" s="465"/>
      <c r="T37" s="80"/>
      <c r="U37" s="472"/>
      <c r="V37" s="473"/>
      <c r="W37" s="473"/>
      <c r="X37" s="473"/>
      <c r="Y37" s="473"/>
      <c r="Z37" s="473"/>
      <c r="AA37" s="473"/>
      <c r="AB37" s="473"/>
      <c r="AC37" s="473"/>
      <c r="AD37" s="473"/>
      <c r="AE37" s="473"/>
      <c r="AF37" s="473"/>
      <c r="AG37" s="473"/>
      <c r="AH37" s="473"/>
      <c r="AI37" s="473"/>
      <c r="AJ37" s="473"/>
      <c r="AK37" s="473"/>
      <c r="AS37" s="42" t="n">
        <v>14</v>
      </c>
    </row>
    <row r="38" customFormat="false" ht="14.25" hidden="false" customHeight="true" outlineLevel="0" collapsed="false">
      <c r="Q38" s="464"/>
      <c r="R38" s="464"/>
      <c r="S38" s="134" t="s">
        <v>313</v>
      </c>
      <c r="T38" s="134"/>
      <c r="U38" s="134"/>
      <c r="V38" s="134"/>
      <c r="W38" s="134"/>
      <c r="X38" s="134"/>
      <c r="Y38" s="134"/>
      <c r="Z38" s="134"/>
      <c r="AA38" s="134"/>
      <c r="AB38" s="134"/>
      <c r="AC38" s="134"/>
      <c r="AD38" s="134"/>
      <c r="AE38" s="134"/>
      <c r="AF38" s="134"/>
      <c r="AG38" s="134"/>
      <c r="AH38" s="134"/>
      <c r="AI38" s="134"/>
      <c r="AJ38" s="134"/>
      <c r="AK38" s="134"/>
      <c r="AL38" s="134"/>
      <c r="AM38" s="134" t="s">
        <v>314</v>
      </c>
      <c r="AS38" s="42" t="n">
        <v>14</v>
      </c>
    </row>
    <row r="39" customFormat="false" ht="14.25" hidden="false" customHeight="true" outlineLevel="0" collapsed="false">
      <c r="Q39" s="464"/>
      <c r="R39" s="464"/>
      <c r="S39" s="474" t="s">
        <v>87</v>
      </c>
      <c r="T39" s="391" t="s">
        <v>441</v>
      </c>
      <c r="U39" s="475"/>
      <c r="V39" s="296" t="s">
        <v>442</v>
      </c>
      <c r="W39" s="296"/>
      <c r="X39" s="296"/>
      <c r="Y39" s="296"/>
      <c r="Z39" s="296"/>
      <c r="AA39" s="296"/>
      <c r="AB39" s="296"/>
      <c r="AC39" s="391" t="s">
        <v>443</v>
      </c>
      <c r="AD39" s="296" t="s">
        <v>442</v>
      </c>
      <c r="AE39" s="296"/>
      <c r="AF39" s="296"/>
      <c r="AG39" s="296"/>
      <c r="AH39" s="296"/>
      <c r="AI39" s="296"/>
      <c r="AJ39" s="296"/>
      <c r="AK39" s="391" t="s">
        <v>444</v>
      </c>
      <c r="AL39" s="476" t="s">
        <v>445</v>
      </c>
      <c r="AM39" s="134"/>
      <c r="AS39" s="42" t="n">
        <v>14</v>
      </c>
    </row>
    <row r="40" customFormat="false" ht="35.25" hidden="false" customHeight="true" outlineLevel="0" collapsed="false">
      <c r="Q40" s="464"/>
      <c r="R40" s="464"/>
      <c r="S40" s="474"/>
      <c r="T40" s="391"/>
      <c r="U40" s="477"/>
      <c r="V40" s="134" t="s">
        <v>446</v>
      </c>
      <c r="W40" s="428" t="s">
        <v>447</v>
      </c>
      <c r="X40" s="134" t="s">
        <v>448</v>
      </c>
      <c r="Y40" s="134"/>
      <c r="Z40" s="134" t="s">
        <v>462</v>
      </c>
      <c r="AA40" s="134"/>
      <c r="AB40" s="134"/>
      <c r="AC40" s="391"/>
      <c r="AD40" s="134" t="s">
        <v>446</v>
      </c>
      <c r="AE40" s="428" t="s">
        <v>447</v>
      </c>
      <c r="AF40" s="134" t="s">
        <v>448</v>
      </c>
      <c r="AG40" s="134"/>
      <c r="AH40" s="134" t="s">
        <v>449</v>
      </c>
      <c r="AI40" s="134"/>
      <c r="AJ40" s="134"/>
      <c r="AK40" s="391"/>
      <c r="AL40" s="476"/>
      <c r="AM40" s="134"/>
      <c r="AS40" s="42" t="n">
        <v>34</v>
      </c>
    </row>
    <row r="41" customFormat="false" ht="35.25" hidden="false" customHeight="true" outlineLevel="0" collapsed="false">
      <c r="A41" s="96"/>
      <c r="B41" s="96" t="s">
        <v>150</v>
      </c>
      <c r="C41" s="96" t="s">
        <v>151</v>
      </c>
      <c r="D41" s="96" t="s">
        <v>152</v>
      </c>
      <c r="E41" s="490" t="s">
        <v>450</v>
      </c>
      <c r="F41" s="490" t="s">
        <v>451</v>
      </c>
      <c r="G41" s="490" t="s">
        <v>452</v>
      </c>
      <c r="H41" s="490" t="s">
        <v>453</v>
      </c>
      <c r="I41" s="490" t="s">
        <v>454</v>
      </c>
      <c r="J41" s="490" t="s">
        <v>455</v>
      </c>
      <c r="K41" s="490" t="s">
        <v>456</v>
      </c>
      <c r="L41" s="490" t="s">
        <v>431</v>
      </c>
      <c r="Q41" s="464"/>
      <c r="R41" s="464"/>
      <c r="S41" s="474"/>
      <c r="T41" s="391"/>
      <c r="U41" s="478"/>
      <c r="V41" s="134"/>
      <c r="W41" s="428"/>
      <c r="X41" s="185" t="s">
        <v>457</v>
      </c>
      <c r="Y41" s="185" t="s">
        <v>458</v>
      </c>
      <c r="Z41" s="185" t="s">
        <v>459</v>
      </c>
      <c r="AA41" s="185" t="s">
        <v>460</v>
      </c>
      <c r="AB41" s="185"/>
      <c r="AC41" s="391"/>
      <c r="AD41" s="134"/>
      <c r="AE41" s="428"/>
      <c r="AF41" s="185" t="s">
        <v>457</v>
      </c>
      <c r="AG41" s="185" t="s">
        <v>458</v>
      </c>
      <c r="AH41" s="185" t="s">
        <v>459</v>
      </c>
      <c r="AI41" s="185" t="s">
        <v>460</v>
      </c>
      <c r="AJ41" s="185"/>
      <c r="AK41" s="391"/>
      <c r="AL41" s="476"/>
      <c r="AM41" s="134"/>
      <c r="AS41" s="42" t="n">
        <v>34</v>
      </c>
    </row>
    <row r="42" s="120" customFormat="true" ht="11.25" hidden="true" customHeight="true" outlineLevel="0" collapsed="false">
      <c r="A42" s="96"/>
      <c r="B42" s="96"/>
      <c r="C42" s="96"/>
      <c r="D42" s="96"/>
      <c r="E42" s="96"/>
      <c r="F42" s="96"/>
      <c r="G42" s="96"/>
      <c r="H42" s="96"/>
      <c r="I42" s="96"/>
      <c r="J42" s="96"/>
      <c r="K42" s="96"/>
      <c r="L42" s="490"/>
      <c r="M42" s="50"/>
      <c r="N42" s="50"/>
      <c r="O42" s="50"/>
      <c r="P42" s="479"/>
      <c r="Q42" s="480"/>
      <c r="R42" s="481" t="n">
        <v>1</v>
      </c>
      <c r="S42" s="482" t="s">
        <v>120</v>
      </c>
      <c r="T42" s="483" t="s">
        <v>102</v>
      </c>
      <c r="U42" s="484" t="str">
        <f aca="true">OFFSET(U42,0,-1)</f>
        <v>2</v>
      </c>
      <c r="V42" s="485" t="n">
        <f aca="true">OFFSET(V42,0,-1)+1</f>
        <v>3</v>
      </c>
      <c r="W42" s="485"/>
      <c r="X42" s="485" t="n">
        <f aca="true">OFFSET(X42,0,-1)+1</f>
        <v>1</v>
      </c>
      <c r="Y42" s="485" t="n">
        <f aca="true">OFFSET(Y42,0,-1)+1</f>
        <v>2</v>
      </c>
      <c r="Z42" s="485" t="n">
        <f aca="true">OFFSET(Z42,0,-1)+1</f>
        <v>3</v>
      </c>
      <c r="AA42" s="485" t="n">
        <f aca="true">OFFSET(AA42,0,-1)+1</f>
        <v>4</v>
      </c>
      <c r="AB42" s="485"/>
      <c r="AC42" s="485" t="n">
        <f aca="true">OFFSET(AC42,0,-2)+1</f>
        <v>5</v>
      </c>
      <c r="AD42" s="485" t="n">
        <f aca="true">OFFSET(AD42,0,-1)+1</f>
        <v>6</v>
      </c>
      <c r="AE42" s="485"/>
      <c r="AF42" s="485" t="n">
        <f aca="true">OFFSET(AF42,0,-1)+1</f>
        <v>1</v>
      </c>
      <c r="AG42" s="485" t="n">
        <f aca="true">OFFSET(AG42,0,-1)+1</f>
        <v>2</v>
      </c>
      <c r="AH42" s="485" t="n">
        <f aca="true">OFFSET(AH42,0,-1)+1</f>
        <v>3</v>
      </c>
      <c r="AI42" s="485" t="n">
        <f aca="true">OFFSET(AI42,0,-1)+1</f>
        <v>4</v>
      </c>
      <c r="AJ42" s="485"/>
      <c r="AK42" s="485" t="n">
        <f aca="true">OFFSET(AK42,0,-2)+1</f>
        <v>5</v>
      </c>
      <c r="AL42" s="484" t="n">
        <f aca="true">OFFSET(AL42,0,-1)</f>
        <v>5</v>
      </c>
      <c r="AM42" s="485" t="n">
        <f aca="true">OFFSET(AM42,0,-1)+1</f>
        <v>6</v>
      </c>
      <c r="AN42" s="47"/>
      <c r="AO42" s="47"/>
      <c r="AP42" s="47"/>
      <c r="AQ42" s="47"/>
      <c r="AR42" s="47"/>
      <c r="AS42" s="120" t="n">
        <v>0</v>
      </c>
    </row>
    <row r="43" customFormat="false" ht="21.75" hidden="false" customHeight="true" outlineLevel="0" collapsed="false">
      <c r="A43" s="241" t="s">
        <v>225</v>
      </c>
      <c r="B43" s="241"/>
      <c r="C43" s="241"/>
      <c r="D43" s="241"/>
      <c r="E43" s="489" t="n">
        <v>1</v>
      </c>
      <c r="F43" s="241"/>
      <c r="G43" s="241"/>
      <c r="H43" s="241"/>
      <c r="I43" s="241"/>
      <c r="J43" s="241"/>
      <c r="K43" s="241"/>
      <c r="L43" s="490"/>
      <c r="M43" s="75"/>
      <c r="N43" s="75"/>
      <c r="O43" s="75"/>
      <c r="Q43" s="132"/>
      <c r="R43" s="415"/>
      <c r="S43" s="416" t="n">
        <f aca="false">INDEX(PT_DIFFERENTIATION_NUM_NTAR,MATCH(A43,PT_DIFFERENTIATION_NTAR_ID,0))</f>
        <v>0</v>
      </c>
      <c r="T43" s="417" t="s">
        <v>138</v>
      </c>
      <c r="U43" s="418"/>
      <c r="V43" s="419"/>
      <c r="W43" s="419"/>
      <c r="X43" s="419"/>
      <c r="Y43" s="419"/>
      <c r="Z43" s="419"/>
      <c r="AA43" s="419"/>
      <c r="AB43" s="419"/>
      <c r="AC43" s="419"/>
      <c r="AD43" s="420" t="str">
        <f aca="false">INDEX(PT_DIFFERENTIATION_NTAR,MATCH(A43,PT_DIFFERENTIATION_NTAR_ID,0))</f>
        <v/>
      </c>
      <c r="AE43" s="420"/>
      <c r="AF43" s="420"/>
      <c r="AG43" s="420"/>
      <c r="AH43" s="420"/>
      <c r="AI43" s="420"/>
      <c r="AJ43" s="420"/>
      <c r="AK43" s="420"/>
      <c r="AL43" s="420"/>
      <c r="AM43" s="421"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8"/>
      <c r="AP43" s="118" t="str">
        <f aca="false">IF(T43="","",T43)</f>
        <v>Наименование тарифа</v>
      </c>
      <c r="AQ43" s="118"/>
      <c r="AR43" s="118"/>
      <c r="AS43" s="42" t="n">
        <v>21</v>
      </c>
    </row>
    <row r="44" customFormat="false" ht="21.75" hidden="false" customHeight="true" outlineLevel="0" collapsed="false">
      <c r="A44" s="241" t="s">
        <v>225</v>
      </c>
      <c r="B44" s="241" t="s">
        <v>226</v>
      </c>
      <c r="C44" s="241"/>
      <c r="D44" s="241"/>
      <c r="E44" s="489"/>
      <c r="F44" s="489" t="n">
        <v>1</v>
      </c>
      <c r="G44" s="241"/>
      <c r="H44" s="241"/>
      <c r="I44" s="241"/>
      <c r="J44" s="241"/>
      <c r="K44" s="241"/>
      <c r="L44" s="490"/>
      <c r="M44" s="75"/>
      <c r="N44" s="75"/>
      <c r="O44" s="75"/>
      <c r="P44" s="43"/>
      <c r="Q44" s="422"/>
      <c r="R44" s="423"/>
      <c r="S44" s="416" t="str">
        <f aca="false">INDEX(PT_DIFFERENTIATION_NUM_TER,MATCH(B44,PT_DIFFERENTIATION_TER_ID,0))</f>
        <v>.</v>
      </c>
      <c r="T44" s="424" t="s">
        <v>410</v>
      </c>
      <c r="U44" s="418"/>
      <c r="V44" s="419"/>
      <c r="W44" s="419"/>
      <c r="X44" s="419"/>
      <c r="Y44" s="419"/>
      <c r="Z44" s="419"/>
      <c r="AA44" s="419"/>
      <c r="AB44" s="419"/>
      <c r="AC44" s="419"/>
      <c r="AD44" s="420" t="str">
        <f aca="false">INDEX(PT_DIFFERENTIATION_TER,MATCH(B44,PT_DIFFERENTIATION_TER_ID,0))</f>
        <v/>
      </c>
      <c r="AE44" s="420"/>
      <c r="AF44" s="420"/>
      <c r="AG44" s="420"/>
      <c r="AH44" s="420"/>
      <c r="AI44" s="420"/>
      <c r="AJ44" s="420"/>
      <c r="AK44" s="420"/>
      <c r="AL44" s="420"/>
      <c r="AM44" s="421" t="s">
        <v>411</v>
      </c>
      <c r="AO44" s="118"/>
      <c r="AP44" s="118" t="str">
        <f aca="false">IF(T44="","",T44)</f>
        <v>Территория действия тарифа</v>
      </c>
      <c r="AQ44" s="118"/>
      <c r="AR44" s="118"/>
      <c r="AS44" s="42" t="n">
        <v>21</v>
      </c>
    </row>
    <row r="45" customFormat="false" ht="24" hidden="false" customHeight="true" outlineLevel="0" collapsed="false">
      <c r="A45" s="241" t="s">
        <v>225</v>
      </c>
      <c r="B45" s="241" t="s">
        <v>226</v>
      </c>
      <c r="C45" s="241" t="s">
        <v>227</v>
      </c>
      <c r="D45" s="241"/>
      <c r="E45" s="489"/>
      <c r="F45" s="489"/>
      <c r="G45" s="489" t="n">
        <v>1</v>
      </c>
      <c r="H45" s="241"/>
      <c r="I45" s="241"/>
      <c r="J45" s="241"/>
      <c r="K45" s="241"/>
      <c r="L45" s="490"/>
      <c r="M45" s="75"/>
      <c r="N45" s="75"/>
      <c r="O45" s="75"/>
      <c r="P45" s="425"/>
      <c r="Q45" s="422"/>
      <c r="R45" s="423"/>
      <c r="S45" s="416" t="str">
        <f aca="false">INDEX(PT_DIFFERENTIATION_NUM_CS,MATCH(C45,PT_DIFFERENTIATION_CS_ID,0))</f>
        <v>..</v>
      </c>
      <c r="T45" s="426" t="s">
        <v>412</v>
      </c>
      <c r="U45" s="418"/>
      <c r="V45" s="419"/>
      <c r="W45" s="419"/>
      <c r="X45" s="419"/>
      <c r="Y45" s="419"/>
      <c r="Z45" s="419"/>
      <c r="AA45" s="419"/>
      <c r="AB45" s="419"/>
      <c r="AC45" s="419"/>
      <c r="AD45" s="420" t="str">
        <f aca="false">INDEX(PT_DIFFERENTIATION_CS,MATCH(C45,PT_DIFFERENTIATION_CS_ID,0))</f>
        <v/>
      </c>
      <c r="AE45" s="420"/>
      <c r="AF45" s="420"/>
      <c r="AG45" s="420"/>
      <c r="AH45" s="420"/>
      <c r="AI45" s="420"/>
      <c r="AJ45" s="420"/>
      <c r="AK45" s="420"/>
      <c r="AL45" s="420"/>
      <c r="AM45" s="421" t="s">
        <v>413</v>
      </c>
      <c r="AO45" s="118"/>
      <c r="AP45" s="118" t="str">
        <f aca="false">IF(T45="","",T45)</f>
        <v>Наименование системы теплоснабжения</v>
      </c>
      <c r="AQ45" s="118"/>
      <c r="AR45" s="118"/>
      <c r="AS45" s="42" t="n">
        <v>23</v>
      </c>
    </row>
    <row r="46" customFormat="false" ht="21.75" hidden="false" customHeight="true" outlineLevel="0" collapsed="false">
      <c r="A46" s="241" t="s">
        <v>225</v>
      </c>
      <c r="B46" s="241" t="s">
        <v>226</v>
      </c>
      <c r="C46" s="241" t="s">
        <v>227</v>
      </c>
      <c r="D46" s="241" t="s">
        <v>228</v>
      </c>
      <c r="E46" s="489"/>
      <c r="F46" s="489"/>
      <c r="G46" s="489"/>
      <c r="H46" s="489" t="n">
        <v>1</v>
      </c>
      <c r="I46" s="241"/>
      <c r="J46" s="241"/>
      <c r="K46" s="241"/>
      <c r="L46" s="490"/>
      <c r="M46" s="75"/>
      <c r="N46" s="75"/>
      <c r="O46" s="75"/>
      <c r="P46" s="425"/>
      <c r="Q46" s="422"/>
      <c r="R46" s="423"/>
      <c r="S46" s="416" t="str">
        <f aca="false">INDEX(PT_DIFFERENTIATION_NUM_IST_TE,MATCH(D46,PT_DIFFERENTIATION_IST_TE_ID,0))</f>
        <v>...</v>
      </c>
      <c r="T46" s="427" t="s">
        <v>414</v>
      </c>
      <c r="U46" s="418"/>
      <c r="V46" s="419"/>
      <c r="W46" s="419"/>
      <c r="X46" s="419"/>
      <c r="Y46" s="419"/>
      <c r="Z46" s="419"/>
      <c r="AA46" s="419"/>
      <c r="AB46" s="419"/>
      <c r="AC46" s="419"/>
      <c r="AD46" s="420" t="str">
        <f aca="false">INDEX(PT_DIFFERENTIATION_IST_TE,MATCH(D46,PT_DIFFERENTIATION_IST_TE_ID,0))</f>
        <v/>
      </c>
      <c r="AE46" s="420"/>
      <c r="AF46" s="420"/>
      <c r="AG46" s="420"/>
      <c r="AH46" s="420"/>
      <c r="AI46" s="420"/>
      <c r="AJ46" s="420"/>
      <c r="AK46" s="420"/>
      <c r="AL46" s="420"/>
      <c r="AM46" s="421" t="s">
        <v>415</v>
      </c>
      <c r="AO46" s="118"/>
      <c r="AP46" s="118" t="str">
        <f aca="false">IF(T46="","",T46)</f>
        <v>Источник тепловой энергии</v>
      </c>
      <c r="AQ46" s="118"/>
      <c r="AR46" s="118"/>
      <c r="AS46" s="42" t="n">
        <v>21</v>
      </c>
    </row>
    <row r="47" customFormat="false" ht="49.5" hidden="false" customHeight="true" outlineLevel="0" collapsed="false">
      <c r="A47" s="241" t="s">
        <v>225</v>
      </c>
      <c r="B47" s="241" t="s">
        <v>226</v>
      </c>
      <c r="C47" s="241" t="s">
        <v>227</v>
      </c>
      <c r="D47" s="241" t="s">
        <v>228</v>
      </c>
      <c r="E47" s="489"/>
      <c r="F47" s="489"/>
      <c r="G47" s="489"/>
      <c r="H47" s="489"/>
      <c r="I47" s="146" t="str">
        <f aca="false">S46&amp;".1"</f>
        <v>....1</v>
      </c>
      <c r="J47" s="241"/>
      <c r="K47" s="241"/>
      <c r="L47" s="490" t="s">
        <v>416</v>
      </c>
      <c r="P47" s="121" t="n">
        <v>1</v>
      </c>
      <c r="Q47" s="121"/>
      <c r="R47" s="429"/>
      <c r="S47" s="416" t="str">
        <f aca="false">$I47</f>
        <v>....1</v>
      </c>
      <c r="T47" s="430" t="s">
        <v>417</v>
      </c>
      <c r="U47" s="418"/>
      <c r="V47" s="431"/>
      <c r="W47" s="431"/>
      <c r="X47" s="431"/>
      <c r="Y47" s="431"/>
      <c r="Z47" s="431"/>
      <c r="AA47" s="431"/>
      <c r="AB47" s="431"/>
      <c r="AC47" s="431"/>
      <c r="AD47" s="431"/>
      <c r="AE47" s="431"/>
      <c r="AF47" s="431"/>
      <c r="AG47" s="431"/>
      <c r="AH47" s="431"/>
      <c r="AI47" s="431"/>
      <c r="AJ47" s="431"/>
      <c r="AK47" s="431"/>
      <c r="AL47" s="431"/>
      <c r="AM47" s="421" t="s">
        <v>418</v>
      </c>
      <c r="AO47" s="118"/>
      <c r="AP47" s="118" t="str">
        <f aca="false">IF(T47="","",T47)</f>
        <v>Схема подключения теплопотребляющей установки к коллектору источника тепловой энергии</v>
      </c>
      <c r="AQ47" s="118"/>
      <c r="AR47" s="118"/>
      <c r="AS47" s="42" t="n">
        <v>47</v>
      </c>
    </row>
    <row r="48" customFormat="false" ht="21.75" hidden="false" customHeight="true" outlineLevel="0" collapsed="false">
      <c r="A48" s="241" t="s">
        <v>225</v>
      </c>
      <c r="B48" s="241" t="s">
        <v>226</v>
      </c>
      <c r="C48" s="241" t="s">
        <v>227</v>
      </c>
      <c r="D48" s="241" t="s">
        <v>228</v>
      </c>
      <c r="E48" s="489"/>
      <c r="F48" s="489"/>
      <c r="G48" s="489"/>
      <c r="H48" s="489"/>
      <c r="I48" s="146"/>
      <c r="J48" s="134" t="str">
        <f aca="false">I47&amp;".1"</f>
        <v>....1.1</v>
      </c>
      <c r="K48" s="241"/>
      <c r="L48" s="490" t="s">
        <v>419</v>
      </c>
      <c r="P48" s="121"/>
      <c r="Q48" s="121" t="n">
        <v>1</v>
      </c>
      <c r="R48" s="432"/>
      <c r="S48" s="416" t="str">
        <f aca="false">$J48</f>
        <v>....1.1</v>
      </c>
      <c r="T48" s="433" t="s">
        <v>420</v>
      </c>
      <c r="U48" s="418"/>
      <c r="V48" s="431"/>
      <c r="W48" s="431"/>
      <c r="X48" s="431"/>
      <c r="Y48" s="431"/>
      <c r="Z48" s="431"/>
      <c r="AA48" s="431"/>
      <c r="AB48" s="431"/>
      <c r="AC48" s="431"/>
      <c r="AD48" s="431"/>
      <c r="AE48" s="431"/>
      <c r="AF48" s="431"/>
      <c r="AG48" s="431"/>
      <c r="AH48" s="431"/>
      <c r="AI48" s="431"/>
      <c r="AJ48" s="431"/>
      <c r="AK48" s="431"/>
      <c r="AL48" s="431"/>
      <c r="AM48" s="421" t="s">
        <v>421</v>
      </c>
      <c r="AO48" s="118"/>
      <c r="AP48" s="118" t="str">
        <f aca="false">IF(T48="","",T48)</f>
        <v>Группа потребителей</v>
      </c>
      <c r="AQ48" s="118"/>
      <c r="AR48" s="118"/>
      <c r="AS48" s="42" t="n">
        <v>21</v>
      </c>
    </row>
    <row r="49" customFormat="false" ht="21.75" hidden="false" customHeight="true" outlineLevel="0" collapsed="false">
      <c r="A49" s="241" t="s">
        <v>225</v>
      </c>
      <c r="B49" s="241" t="s">
        <v>226</v>
      </c>
      <c r="C49" s="241" t="s">
        <v>227</v>
      </c>
      <c r="D49" s="241" t="s">
        <v>228</v>
      </c>
      <c r="E49" s="489"/>
      <c r="F49" s="489"/>
      <c r="G49" s="489"/>
      <c r="H49" s="489"/>
      <c r="I49" s="146"/>
      <c r="J49" s="146"/>
      <c r="K49" s="134" t="str">
        <f aca="false">J48&amp;".1"</f>
        <v>....1.1.1</v>
      </c>
      <c r="L49" s="490" t="s">
        <v>422</v>
      </c>
      <c r="P49" s="121"/>
      <c r="Q49" s="121"/>
      <c r="R49" s="432" t="n">
        <v>1</v>
      </c>
      <c r="S49" s="416" t="str">
        <f aca="false">$K49</f>
        <v>....1.1.1</v>
      </c>
      <c r="T49" s="434"/>
      <c r="U49" s="418"/>
      <c r="V49" s="435"/>
      <c r="W49" s="436"/>
      <c r="X49" s="435"/>
      <c r="Y49" s="437"/>
      <c r="Z49" s="438"/>
      <c r="AA49" s="204" t="s">
        <v>61</v>
      </c>
      <c r="AB49" s="438"/>
      <c r="AC49" s="204" t="s">
        <v>61</v>
      </c>
      <c r="AD49" s="435"/>
      <c r="AE49" s="436"/>
      <c r="AF49" s="435"/>
      <c r="AG49" s="437"/>
      <c r="AH49" s="438"/>
      <c r="AI49" s="204" t="s">
        <v>61</v>
      </c>
      <c r="AJ49" s="438"/>
      <c r="AK49" s="204" t="s">
        <v>61</v>
      </c>
      <c r="AL49" s="486"/>
      <c r="AM49" s="439" t="s">
        <v>423</v>
      </c>
      <c r="AN49" s="47" t="e">
        <f aca="false">strcheckdate(V50:AL50)</f>
        <v>#NAME?</v>
      </c>
      <c r="AO49" s="118"/>
      <c r="AP49" s="118" t="str">
        <f aca="false">IF(T49="","",T49)</f>
        <v/>
      </c>
      <c r="AQ49" s="118"/>
      <c r="AR49" s="118"/>
      <c r="AS49" s="42" t="n">
        <v>21</v>
      </c>
    </row>
    <row r="50" customFormat="false" ht="0.75" hidden="false" customHeight="true" outlineLevel="0" collapsed="false">
      <c r="A50" s="241" t="s">
        <v>225</v>
      </c>
      <c r="B50" s="241" t="s">
        <v>226</v>
      </c>
      <c r="C50" s="241" t="s">
        <v>227</v>
      </c>
      <c r="D50" s="241" t="s">
        <v>228</v>
      </c>
      <c r="E50" s="489"/>
      <c r="F50" s="489"/>
      <c r="G50" s="489"/>
      <c r="H50" s="489"/>
      <c r="I50" s="146"/>
      <c r="J50" s="146"/>
      <c r="K50" s="134"/>
      <c r="L50" s="490"/>
      <c r="P50" s="121"/>
      <c r="Q50" s="121"/>
      <c r="R50" s="432"/>
      <c r="S50" s="393"/>
      <c r="T50" s="418"/>
      <c r="U50" s="418"/>
      <c r="V50" s="436"/>
      <c r="W50" s="436"/>
      <c r="X50" s="436"/>
      <c r="Y50" s="440" t="str">
        <f aca="false">Z49&amp;"-"&amp;AB49</f>
        <v>-</v>
      </c>
      <c r="Z50" s="438"/>
      <c r="AA50" s="204"/>
      <c r="AB50" s="438"/>
      <c r="AC50" s="204"/>
      <c r="AD50" s="436"/>
      <c r="AE50" s="436"/>
      <c r="AF50" s="436"/>
      <c r="AG50" s="440" t="str">
        <f aca="false">AH49&amp;"-"&amp;AJ49</f>
        <v>-</v>
      </c>
      <c r="AH50" s="438"/>
      <c r="AI50" s="204"/>
      <c r="AJ50" s="438"/>
      <c r="AK50" s="204"/>
      <c r="AL50" s="487"/>
      <c r="AM50" s="439"/>
      <c r="AO50" s="118"/>
      <c r="AP50" s="118" t="str">
        <f aca="false">IF(T50="","",T50)</f>
        <v/>
      </c>
      <c r="AQ50" s="118"/>
      <c r="AR50" s="118"/>
      <c r="AS50" s="42" t="n">
        <v>1</v>
      </c>
    </row>
    <row r="51" customFormat="false" ht="11.25" hidden="false" customHeight="true" outlineLevel="0" collapsed="false">
      <c r="A51" s="241" t="s">
        <v>225</v>
      </c>
      <c r="B51" s="241" t="s">
        <v>226</v>
      </c>
      <c r="C51" s="241" t="s">
        <v>227</v>
      </c>
      <c r="D51" s="241" t="s">
        <v>228</v>
      </c>
      <c r="E51" s="489"/>
      <c r="F51" s="489"/>
      <c r="G51" s="489"/>
      <c r="H51" s="489"/>
      <c r="I51" s="146"/>
      <c r="J51" s="134"/>
      <c r="K51" s="241"/>
      <c r="L51" s="490"/>
      <c r="P51" s="121"/>
      <c r="Q51" s="121"/>
      <c r="R51" s="429"/>
      <c r="S51" s="441"/>
      <c r="T51" s="442" t="s">
        <v>424</v>
      </c>
      <c r="U51" s="194"/>
      <c r="V51" s="194"/>
      <c r="W51" s="194"/>
      <c r="X51" s="194"/>
      <c r="Y51" s="194"/>
      <c r="Z51" s="194"/>
      <c r="AA51" s="194"/>
      <c r="AB51" s="194"/>
      <c r="AC51" s="194"/>
      <c r="AD51" s="194"/>
      <c r="AE51" s="194"/>
      <c r="AF51" s="194"/>
      <c r="AG51" s="194"/>
      <c r="AH51" s="194"/>
      <c r="AI51" s="194"/>
      <c r="AJ51" s="194"/>
      <c r="AK51" s="194"/>
      <c r="AL51" s="443"/>
      <c r="AM51" s="439"/>
      <c r="AO51" s="118"/>
      <c r="AP51" s="118" t="str">
        <f aca="false">IF(T51="","",T51)</f>
        <v>Добавить вид теплоносителя (параметры теплоносителя)</v>
      </c>
      <c r="AQ51" s="118"/>
      <c r="AR51" s="118"/>
      <c r="AS51" s="42" t="n">
        <v>11</v>
      </c>
    </row>
    <row r="52" customFormat="false" ht="11.25" hidden="false" customHeight="true" outlineLevel="0" collapsed="false">
      <c r="A52" s="241" t="s">
        <v>225</v>
      </c>
      <c r="B52" s="241" t="s">
        <v>226</v>
      </c>
      <c r="C52" s="241" t="s">
        <v>227</v>
      </c>
      <c r="D52" s="241" t="s">
        <v>228</v>
      </c>
      <c r="E52" s="489"/>
      <c r="F52" s="489"/>
      <c r="G52" s="489"/>
      <c r="H52" s="489"/>
      <c r="I52" s="146"/>
      <c r="J52" s="241"/>
      <c r="K52" s="241"/>
      <c r="L52" s="490"/>
      <c r="P52" s="121"/>
      <c r="Q52" s="121"/>
      <c r="R52" s="429"/>
      <c r="S52" s="441"/>
      <c r="T52" s="444" t="s">
        <v>425</v>
      </c>
      <c r="U52" s="194"/>
      <c r="V52" s="194"/>
      <c r="W52" s="194"/>
      <c r="X52" s="194"/>
      <c r="Y52" s="194"/>
      <c r="Z52" s="194"/>
      <c r="AA52" s="194"/>
      <c r="AB52" s="194"/>
      <c r="AC52" s="445"/>
      <c r="AD52" s="194"/>
      <c r="AE52" s="194"/>
      <c r="AF52" s="194"/>
      <c r="AG52" s="194"/>
      <c r="AH52" s="194"/>
      <c r="AI52" s="194"/>
      <c r="AJ52" s="194"/>
      <c r="AK52" s="445"/>
      <c r="AL52" s="194"/>
      <c r="AM52" s="446"/>
      <c r="AO52" s="118"/>
      <c r="AP52" s="118" t="str">
        <f aca="false">IF(T52="","",T52)</f>
        <v>Добавить группу потребителей</v>
      </c>
      <c r="AQ52" s="118"/>
      <c r="AR52" s="118"/>
      <c r="AS52" s="42" t="n">
        <v>11</v>
      </c>
    </row>
    <row r="53" customFormat="false" ht="14.25" hidden="false" customHeight="true" outlineLevel="0" collapsed="false">
      <c r="A53" s="241" t="s">
        <v>225</v>
      </c>
      <c r="B53" s="241" t="s">
        <v>226</v>
      </c>
      <c r="C53" s="241" t="s">
        <v>227</v>
      </c>
      <c r="D53" s="241" t="s">
        <v>228</v>
      </c>
      <c r="E53" s="489"/>
      <c r="F53" s="489"/>
      <c r="G53" s="489"/>
      <c r="H53" s="489"/>
      <c r="I53" s="241"/>
      <c r="J53" s="241"/>
      <c r="K53" s="241"/>
      <c r="L53" s="490"/>
      <c r="M53" s="75"/>
      <c r="N53" s="75"/>
      <c r="O53" s="42"/>
      <c r="P53" s="132"/>
      <c r="Q53" s="447"/>
      <c r="R53" s="415"/>
      <c r="S53" s="441"/>
      <c r="T53" s="448" t="s">
        <v>426</v>
      </c>
      <c r="U53" s="194"/>
      <c r="V53" s="194"/>
      <c r="W53" s="194"/>
      <c r="X53" s="194"/>
      <c r="Y53" s="194"/>
      <c r="Z53" s="194"/>
      <c r="AA53" s="194"/>
      <c r="AB53" s="194"/>
      <c r="AC53" s="445"/>
      <c r="AD53" s="194"/>
      <c r="AE53" s="194"/>
      <c r="AF53" s="194"/>
      <c r="AG53" s="194"/>
      <c r="AH53" s="194"/>
      <c r="AI53" s="194"/>
      <c r="AJ53" s="194"/>
      <c r="AK53" s="445"/>
      <c r="AL53" s="194"/>
      <c r="AM53" s="446"/>
      <c r="AO53" s="118"/>
      <c r="AP53" s="118" t="str">
        <f aca="false">IF(T53="","",T53)</f>
        <v>Добавить схему подключения</v>
      </c>
      <c r="AQ53" s="118"/>
      <c r="AR53" s="118"/>
      <c r="AS53" s="42" t="n">
        <v>14</v>
      </c>
    </row>
    <row r="54" s="47" customFormat="true" ht="0.75" hidden="false" customHeight="true" outlineLevel="0" collapsed="false">
      <c r="A54" s="241" t="s">
        <v>225</v>
      </c>
      <c r="B54" s="241" t="s">
        <v>226</v>
      </c>
      <c r="C54" s="241" t="s">
        <v>227</v>
      </c>
      <c r="D54" s="241"/>
      <c r="E54" s="489"/>
      <c r="F54" s="489"/>
      <c r="G54" s="489"/>
      <c r="H54" s="241"/>
      <c r="I54" s="241"/>
      <c r="J54" s="241"/>
      <c r="K54" s="241"/>
      <c r="L54" s="490"/>
      <c r="M54" s="75"/>
      <c r="N54" s="75"/>
      <c r="O54" s="42"/>
      <c r="P54" s="156"/>
      <c r="Q54" s="449"/>
      <c r="R54" s="156"/>
      <c r="S54" s="454"/>
      <c r="T54" s="457" t="s">
        <v>427</v>
      </c>
      <c r="U54" s="456"/>
      <c r="V54" s="456"/>
      <c r="W54" s="456"/>
      <c r="X54" s="456"/>
      <c r="Y54" s="456"/>
      <c r="Z54" s="456"/>
      <c r="AA54" s="456"/>
      <c r="AB54" s="456"/>
      <c r="AC54" s="456"/>
      <c r="AD54" s="456"/>
      <c r="AE54" s="456"/>
      <c r="AF54" s="456"/>
      <c r="AG54" s="456"/>
      <c r="AH54" s="456"/>
      <c r="AI54" s="456"/>
      <c r="AJ54" s="456"/>
      <c r="AK54" s="456"/>
      <c r="AL54" s="456"/>
      <c r="AM54" s="456"/>
      <c r="AO54" s="118"/>
      <c r="AP54" s="118" t="str">
        <f aca="false">IF(T54="","",T54)</f>
        <v>Добавить источник для дифференциации</v>
      </c>
      <c r="AQ54" s="118"/>
      <c r="AR54" s="118"/>
      <c r="AS54" s="47" t="n">
        <v>1</v>
      </c>
    </row>
    <row r="55" s="47" customFormat="true" ht="0.75" hidden="false" customHeight="true" outlineLevel="0" collapsed="false">
      <c r="A55" s="241" t="s">
        <v>225</v>
      </c>
      <c r="B55" s="241" t="s">
        <v>226</v>
      </c>
      <c r="C55" s="241"/>
      <c r="D55" s="241"/>
      <c r="E55" s="489"/>
      <c r="F55" s="489"/>
      <c r="G55" s="241"/>
      <c r="H55" s="241"/>
      <c r="I55" s="241"/>
      <c r="J55" s="241"/>
      <c r="K55" s="241"/>
      <c r="L55" s="490"/>
      <c r="M55" s="496"/>
      <c r="N55" s="496"/>
      <c r="O55" s="42"/>
      <c r="P55" s="156"/>
      <c r="Q55" s="449"/>
      <c r="R55" s="156"/>
      <c r="S55" s="454"/>
      <c r="T55" s="457" t="s">
        <v>428</v>
      </c>
      <c r="U55" s="456"/>
      <c r="V55" s="456"/>
      <c r="W55" s="456"/>
      <c r="X55" s="456"/>
      <c r="Y55" s="456"/>
      <c r="Z55" s="456"/>
      <c r="AA55" s="456"/>
      <c r="AB55" s="456"/>
      <c r="AC55" s="456"/>
      <c r="AD55" s="456"/>
      <c r="AE55" s="456"/>
      <c r="AF55" s="456"/>
      <c r="AG55" s="456"/>
      <c r="AH55" s="456"/>
      <c r="AI55" s="456"/>
      <c r="AJ55" s="456"/>
      <c r="AK55" s="456"/>
      <c r="AL55" s="456"/>
      <c r="AM55" s="456"/>
      <c r="AO55" s="118"/>
      <c r="AP55" s="118" t="str">
        <f aca="false">IF(T55="","",T55)</f>
        <v>Добавить централизованную систему для дифференциации</v>
      </c>
      <c r="AQ55" s="118"/>
      <c r="AR55" s="118"/>
      <c r="AS55" s="47" t="n">
        <v>1</v>
      </c>
    </row>
    <row r="56" s="47" customFormat="true" ht="0.75" hidden="false" customHeight="true" outlineLevel="0" collapsed="false">
      <c r="A56" s="241" t="s">
        <v>225</v>
      </c>
      <c r="B56" s="241"/>
      <c r="C56" s="241"/>
      <c r="D56" s="241"/>
      <c r="E56" s="489"/>
      <c r="F56" s="241"/>
      <c r="G56" s="241"/>
      <c r="H56" s="241"/>
      <c r="I56" s="241"/>
      <c r="J56" s="241"/>
      <c r="K56" s="241"/>
      <c r="L56" s="490"/>
      <c r="M56" s="496"/>
      <c r="N56" s="496"/>
      <c r="O56" s="42"/>
      <c r="P56" s="156"/>
      <c r="Q56" s="449"/>
      <c r="R56" s="156"/>
      <c r="S56" s="454"/>
      <c r="T56" s="457" t="s">
        <v>429</v>
      </c>
      <c r="U56" s="456"/>
      <c r="V56" s="456"/>
      <c r="W56" s="456"/>
      <c r="X56" s="456"/>
      <c r="Y56" s="456"/>
      <c r="Z56" s="456"/>
      <c r="AA56" s="456"/>
      <c r="AB56" s="456"/>
      <c r="AC56" s="456"/>
      <c r="AD56" s="456"/>
      <c r="AE56" s="456"/>
      <c r="AF56" s="456"/>
      <c r="AG56" s="456"/>
      <c r="AH56" s="456"/>
      <c r="AI56" s="456"/>
      <c r="AJ56" s="456"/>
      <c r="AK56" s="456"/>
      <c r="AL56" s="456"/>
      <c r="AM56" s="456"/>
      <c r="AO56" s="118"/>
      <c r="AP56" s="118" t="str">
        <f aca="false">IF(T56="","",T56)</f>
        <v>Добавить территорию для дифференциации</v>
      </c>
      <c r="AQ56" s="118"/>
      <c r="AR56" s="118"/>
      <c r="AS56" s="47" t="n">
        <v>1</v>
      </c>
    </row>
    <row r="57" s="47" customFormat="true" ht="0.75" hidden="false" customHeight="true" outlineLevel="0" collapsed="false">
      <c r="A57" s="241"/>
      <c r="B57" s="241"/>
      <c r="C57" s="241"/>
      <c r="D57" s="241"/>
      <c r="E57" s="241"/>
      <c r="F57" s="241"/>
      <c r="G57" s="241"/>
      <c r="H57" s="241"/>
      <c r="I57" s="241"/>
      <c r="J57" s="241"/>
      <c r="K57" s="241"/>
      <c r="L57" s="490"/>
      <c r="M57" s="496"/>
      <c r="N57" s="496"/>
      <c r="O57" s="42"/>
      <c r="P57" s="156"/>
      <c r="Q57" s="449"/>
      <c r="R57" s="156"/>
      <c r="S57" s="454"/>
      <c r="T57" s="457" t="s">
        <v>461</v>
      </c>
      <c r="U57" s="456"/>
      <c r="V57" s="456"/>
      <c r="W57" s="456"/>
      <c r="X57" s="456"/>
      <c r="Y57" s="456"/>
      <c r="Z57" s="456"/>
      <c r="AA57" s="456"/>
      <c r="AB57" s="456"/>
      <c r="AC57" s="456"/>
      <c r="AD57" s="456"/>
      <c r="AE57" s="456"/>
      <c r="AF57" s="456"/>
      <c r="AG57" s="456"/>
      <c r="AH57" s="456"/>
      <c r="AI57" s="456"/>
      <c r="AJ57" s="456"/>
      <c r="AK57" s="456"/>
      <c r="AL57" s="456"/>
      <c r="AM57" s="456"/>
      <c r="AO57" s="118"/>
      <c r="AP57" s="118" t="str">
        <f aca="false">IF(T57="","",T57)</f>
        <v>Добавить наименование тарифа</v>
      </c>
      <c r="AQ57" s="118"/>
      <c r="AR57" s="118"/>
      <c r="AS57" s="47" t="n">
        <v>1</v>
      </c>
    </row>
    <row r="58" customFormat="false" ht="11.25" hidden="false" customHeight="true" outlineLevel="0" collapsed="false">
      <c r="M58" s="42"/>
      <c r="N58" s="42"/>
      <c r="O58" s="42"/>
      <c r="P58" s="42"/>
      <c r="Q58" s="42"/>
      <c r="R58" s="42"/>
      <c r="S58" s="42"/>
      <c r="AN58" s="42"/>
      <c r="AO58" s="42"/>
      <c r="AP58" s="42"/>
      <c r="AQ58" s="42"/>
      <c r="AR58" s="42"/>
      <c r="AS58" s="42" t="n">
        <v>11</v>
      </c>
    </row>
    <row r="59" customFormat="false" ht="28.5" hidden="false" customHeight="true" outlineLevel="0" collapsed="false">
      <c r="O59" s="42"/>
      <c r="S59" s="409"/>
      <c r="T59" s="488"/>
      <c r="U59" s="488"/>
      <c r="V59" s="488"/>
      <c r="W59" s="488"/>
      <c r="X59" s="488"/>
      <c r="Y59" s="488"/>
      <c r="Z59" s="488"/>
      <c r="AA59" s="488"/>
      <c r="AB59" s="488"/>
      <c r="AC59" s="488"/>
      <c r="AD59" s="488"/>
      <c r="AE59" s="488"/>
      <c r="AF59" s="488"/>
      <c r="AG59" s="488"/>
      <c r="AH59" s="488"/>
      <c r="AI59" s="488"/>
      <c r="AJ59" s="488"/>
      <c r="AK59" s="488"/>
      <c r="AL59" s="488"/>
      <c r="AM59" s="488"/>
      <c r="AS59" s="42" t="n">
        <v>27</v>
      </c>
    </row>
    <row r="60" customFormat="false" ht="65.25" hidden="false" customHeight="true" outlineLevel="0" collapsed="false">
      <c r="O60" s="42"/>
      <c r="T60" s="488"/>
      <c r="U60" s="488"/>
      <c r="V60" s="488"/>
      <c r="W60" s="488"/>
      <c r="X60" s="488"/>
      <c r="Y60" s="488"/>
      <c r="Z60" s="488"/>
      <c r="AA60" s="488"/>
      <c r="AB60" s="488"/>
      <c r="AC60" s="488"/>
      <c r="AD60" s="488"/>
      <c r="AE60" s="488"/>
      <c r="AF60" s="488"/>
      <c r="AG60" s="488"/>
      <c r="AH60" s="488"/>
      <c r="AI60" s="488"/>
      <c r="AJ60" s="488"/>
      <c r="AK60" s="488"/>
      <c r="AL60" s="488"/>
      <c r="AM60" s="488"/>
      <c r="AS60" s="42" t="n">
        <v>62</v>
      </c>
    </row>
    <row r="61" customFormat="false" ht="14.25" hidden="false" customHeight="true" outlineLevel="0" collapsed="false">
      <c r="O61" s="42"/>
      <c r="AS61" s="42" t="n">
        <v>14</v>
      </c>
    </row>
    <row r="62" customFormat="false" ht="18.75" hidden="false" customHeight="true" outlineLevel="0" collapsed="false">
      <c r="O62" s="42"/>
      <c r="S62" s="409"/>
      <c r="T62" s="488"/>
      <c r="U62" s="488"/>
      <c r="V62" s="488"/>
      <c r="W62" s="488"/>
      <c r="X62" s="488"/>
      <c r="Y62" s="488"/>
      <c r="Z62" s="488"/>
      <c r="AA62" s="488"/>
      <c r="AB62" s="488"/>
      <c r="AC62" s="488"/>
      <c r="AD62" s="488"/>
      <c r="AE62" s="488"/>
      <c r="AF62" s="488"/>
      <c r="AG62" s="488"/>
      <c r="AH62" s="488"/>
      <c r="AI62" s="488"/>
      <c r="AJ62" s="488"/>
      <c r="AK62" s="488"/>
      <c r="AL62" s="488"/>
      <c r="AM62" s="488"/>
      <c r="AS62" s="42" t="n">
        <v>18</v>
      </c>
    </row>
    <row r="63" customFormat="false" ht="18.75" hidden="false" customHeight="true" outlineLevel="0" collapsed="false">
      <c r="O63" s="42"/>
      <c r="T63" s="488"/>
      <c r="U63" s="488"/>
      <c r="V63" s="488"/>
      <c r="W63" s="488"/>
      <c r="X63" s="488"/>
      <c r="Y63" s="488"/>
      <c r="Z63" s="488"/>
      <c r="AA63" s="488"/>
      <c r="AB63" s="488"/>
      <c r="AC63" s="488"/>
      <c r="AD63" s="488"/>
      <c r="AE63" s="488"/>
      <c r="AF63" s="488"/>
      <c r="AG63" s="488"/>
      <c r="AH63" s="488"/>
      <c r="AI63" s="488"/>
      <c r="AJ63" s="488"/>
      <c r="AK63" s="488"/>
      <c r="AL63" s="488"/>
      <c r="AM63" s="488"/>
      <c r="AS63" s="42" t="n">
        <v>18</v>
      </c>
    </row>
    <row r="64" customFormat="false" ht="29.25" hidden="false" customHeight="true" outlineLevel="0" collapsed="false">
      <c r="O64" s="42"/>
      <c r="S64" s="409"/>
      <c r="T64" s="488"/>
      <c r="U64" s="488"/>
      <c r="V64" s="488"/>
      <c r="W64" s="488"/>
      <c r="X64" s="488"/>
      <c r="Y64" s="488"/>
      <c r="Z64" s="488"/>
      <c r="AA64" s="488"/>
      <c r="AB64" s="488"/>
      <c r="AC64" s="488"/>
      <c r="AD64" s="488"/>
      <c r="AE64" s="488"/>
      <c r="AF64" s="488"/>
      <c r="AG64" s="488"/>
      <c r="AH64" s="488"/>
      <c r="AI64" s="488"/>
      <c r="AJ64" s="488"/>
      <c r="AK64" s="488"/>
      <c r="AL64" s="488"/>
      <c r="AM64" s="488"/>
      <c r="AS64" s="42" t="n">
        <v>28</v>
      </c>
    </row>
    <row r="65" customFormat="false" ht="22.5" hidden="true" customHeight="true" outlineLevel="0" collapsed="false">
      <c r="A65" s="42" t="s">
        <v>81</v>
      </c>
      <c r="B65" s="42" t="n">
        <v>0</v>
      </c>
      <c r="C65" s="42" t="n">
        <v>0</v>
      </c>
      <c r="D65" s="42" t="n">
        <v>0</v>
      </c>
      <c r="E65" s="42" t="n">
        <v>0</v>
      </c>
      <c r="F65" s="42" t="n">
        <v>0</v>
      </c>
      <c r="G65" s="42" t="n">
        <v>0</v>
      </c>
      <c r="H65" s="42" t="n">
        <v>0</v>
      </c>
      <c r="I65" s="42" t="n">
        <v>0</v>
      </c>
      <c r="J65" s="42" t="n">
        <v>0</v>
      </c>
      <c r="K65" s="42" t="n">
        <v>0</v>
      </c>
      <c r="L65" s="43" t="n">
        <v>0</v>
      </c>
      <c r="M65" s="50" t="n">
        <v>0</v>
      </c>
      <c r="N65" s="50" t="n">
        <v>0</v>
      </c>
      <c r="O65" s="50" t="n">
        <v>0</v>
      </c>
      <c r="P65" s="50" t="n">
        <v>3</v>
      </c>
      <c r="Q65" s="411" t="n">
        <v>3</v>
      </c>
      <c r="R65" s="411" t="n">
        <v>3</v>
      </c>
      <c r="S65" s="75"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7" t="n">
        <v>10</v>
      </c>
      <c r="AO65" s="47" t="n">
        <v>10</v>
      </c>
      <c r="AP65" s="47" t="n">
        <v>10</v>
      </c>
      <c r="AQ65" s="47" t="n">
        <v>10</v>
      </c>
      <c r="AR65" s="47"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
    <col collapsed="false" customWidth="true" hidden="false" outlineLevel="0" max="18" min="17" style="411" width="3"/>
    <col collapsed="false" customWidth="true" hidden="false" outlineLevel="0" max="19" min="19" style="75" width="12"/>
    <col collapsed="false" customWidth="true" hidden="false" outlineLevel="0" max="20" min="20" style="42" width="31"/>
    <col collapsed="false" customWidth="true" hidden="true" outlineLevel="0" max="21" min="21" style="42" width="0.71"/>
    <col collapsed="false" customWidth="true" hidden="true" outlineLevel="0" max="22" min="22" style="42" width="1.71"/>
    <col collapsed="false" customWidth="true" hidden="true" outlineLevel="0" max="23" min="23" style="42" width="24.71"/>
    <col collapsed="false" customWidth="true" hidden="true" outlineLevel="0" max="25" min="24" style="42" width="0.14"/>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0.14"/>
    <col collapsed="false" customWidth="true" hidden="false" outlineLevel="0" max="31" min="31" style="42" width="24"/>
    <col collapsed="false" customWidth="true" hidden="false" outlineLevel="0" max="33" min="32" style="42" width="0.1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7"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12"/>
      <c r="B2" s="412"/>
      <c r="C2" s="412"/>
      <c r="D2" s="412"/>
      <c r="E2" s="413" t="n">
        <v>1</v>
      </c>
      <c r="F2" s="412"/>
      <c r="G2" s="412"/>
      <c r="H2" s="412"/>
      <c r="I2" s="412"/>
      <c r="J2" s="412"/>
      <c r="K2" s="412"/>
      <c r="L2" s="414"/>
      <c r="M2" s="40"/>
      <c r="N2" s="40"/>
      <c r="O2" s="40"/>
      <c r="Q2" s="132"/>
      <c r="R2" s="415"/>
      <c r="S2" s="416" t="e">
        <f aca="false">INDEX(PT_DIFFERENTIATION_NUM_NTAR,MATCH(A2,PT_DIFFERENTIATION_NTAR_ID,0))</f>
        <v>#N/A</v>
      </c>
      <c r="T2" s="417" t="s">
        <v>138</v>
      </c>
      <c r="U2" s="418"/>
      <c r="V2" s="419"/>
      <c r="W2" s="419"/>
      <c r="X2" s="419"/>
      <c r="Y2" s="419"/>
      <c r="Z2" s="419"/>
      <c r="AA2" s="419"/>
      <c r="AB2" s="419"/>
      <c r="AC2" s="419"/>
      <c r="AD2" s="420" t="e">
        <f aca="false">INDEX(PT_DIFFERENTIATION_NTAR,MATCH(A2,PT_DIFFERENTIATION_NTAR_ID,0))</f>
        <v>#N/A</v>
      </c>
      <c r="AE2" s="420"/>
      <c r="AF2" s="420"/>
      <c r="AG2" s="420"/>
      <c r="AH2" s="420"/>
      <c r="AI2" s="420"/>
      <c r="AJ2" s="420"/>
      <c r="AK2" s="420"/>
      <c r="AL2" s="420"/>
      <c r="AM2" s="421" t="s">
        <v>409</v>
      </c>
      <c r="AO2" s="118"/>
      <c r="AP2" s="118" t="str">
        <f aca="false">IF(T2="","",T2)</f>
        <v>Наименование тарифа</v>
      </c>
      <c r="AQ2" s="118"/>
      <c r="AR2" s="118"/>
      <c r="AS2" s="42" t="n">
        <v>0</v>
      </c>
    </row>
    <row r="3" customFormat="false" ht="21" hidden="true" customHeight="true" outlineLevel="0" collapsed="false">
      <c r="A3" s="412"/>
      <c r="B3" s="412"/>
      <c r="C3" s="412"/>
      <c r="D3" s="412"/>
      <c r="E3" s="413"/>
      <c r="F3" s="413" t="n">
        <v>1</v>
      </c>
      <c r="G3" s="412"/>
      <c r="H3" s="412"/>
      <c r="I3" s="412"/>
      <c r="J3" s="412"/>
      <c r="K3" s="412"/>
      <c r="L3" s="414"/>
      <c r="M3" s="40"/>
      <c r="N3" s="40"/>
      <c r="O3" s="40"/>
      <c r="P3" s="43"/>
      <c r="Q3" s="422"/>
      <c r="R3" s="423"/>
      <c r="S3" s="416" t="e">
        <f aca="false">INDEX(PT_DIFFERENTIATION_NUM_TER,MATCH(B3,PT_DIFFERENTIATION_TER_ID,0))</f>
        <v>#N/A</v>
      </c>
      <c r="T3" s="424" t="s">
        <v>410</v>
      </c>
      <c r="U3" s="418"/>
      <c r="V3" s="419"/>
      <c r="W3" s="419"/>
      <c r="X3" s="419"/>
      <c r="Y3" s="419"/>
      <c r="Z3" s="419"/>
      <c r="AA3" s="419"/>
      <c r="AB3" s="419"/>
      <c r="AC3" s="419"/>
      <c r="AD3" s="420" t="e">
        <f aca="false">INDEX(PT_DIFFERENTIATION_TER,MATCH(B3,PT_DIFFERENTIATION_TER_ID,0))</f>
        <v>#N/A</v>
      </c>
      <c r="AE3" s="420"/>
      <c r="AF3" s="420"/>
      <c r="AG3" s="420"/>
      <c r="AH3" s="420"/>
      <c r="AI3" s="420"/>
      <c r="AJ3" s="420"/>
      <c r="AK3" s="420"/>
      <c r="AL3" s="420"/>
      <c r="AM3" s="421" t="s">
        <v>411</v>
      </c>
      <c r="AO3" s="118"/>
      <c r="AP3" s="118" t="str">
        <f aca="false">IF(T3="","",T3)</f>
        <v>Территория действия тарифа</v>
      </c>
      <c r="AQ3" s="118"/>
      <c r="AR3" s="118"/>
      <c r="AS3" s="42" t="n">
        <v>0</v>
      </c>
    </row>
    <row r="4" customFormat="false" ht="23.25" hidden="true" customHeight="true" outlineLevel="0" collapsed="false">
      <c r="A4" s="412"/>
      <c r="B4" s="412"/>
      <c r="C4" s="412"/>
      <c r="D4" s="412"/>
      <c r="E4" s="413"/>
      <c r="F4" s="413"/>
      <c r="G4" s="413" t="n">
        <v>1</v>
      </c>
      <c r="H4" s="412"/>
      <c r="I4" s="412"/>
      <c r="J4" s="412"/>
      <c r="K4" s="412"/>
      <c r="L4" s="414"/>
      <c r="M4" s="40"/>
      <c r="N4" s="40"/>
      <c r="O4" s="40"/>
      <c r="P4" s="425"/>
      <c r="Q4" s="422"/>
      <c r="R4" s="423"/>
      <c r="S4" s="416" t="e">
        <f aca="false">INDEX(PT_DIFFERENTIATION_NUM_CS,MATCH(C4,PT_DIFFERENTIATION_CS_ID,0))</f>
        <v>#N/A</v>
      </c>
      <c r="T4" s="426" t="s">
        <v>412</v>
      </c>
      <c r="U4" s="418"/>
      <c r="V4" s="419"/>
      <c r="W4" s="419"/>
      <c r="X4" s="419"/>
      <c r="Y4" s="419"/>
      <c r="Z4" s="419"/>
      <c r="AA4" s="419"/>
      <c r="AB4" s="419"/>
      <c r="AC4" s="419"/>
      <c r="AD4" s="420" t="e">
        <f aca="false">INDEX(PT_DIFFERENTIATION_CS,MATCH(C4,PT_DIFFERENTIATION_CS_ID,0))</f>
        <v>#N/A</v>
      </c>
      <c r="AE4" s="420"/>
      <c r="AF4" s="420"/>
      <c r="AG4" s="420"/>
      <c r="AH4" s="420"/>
      <c r="AI4" s="420"/>
      <c r="AJ4" s="420"/>
      <c r="AK4" s="420"/>
      <c r="AL4" s="420"/>
      <c r="AM4" s="421" t="s">
        <v>413</v>
      </c>
      <c r="AO4" s="118"/>
      <c r="AP4" s="118" t="str">
        <f aca="false">IF(T4="","",T4)</f>
        <v>Наименование системы теплоснабжения</v>
      </c>
      <c r="AQ4" s="118"/>
      <c r="AR4" s="118"/>
      <c r="AS4" s="42" t="n">
        <v>0</v>
      </c>
    </row>
    <row r="5" customFormat="false" ht="21" hidden="true" customHeight="true" outlineLevel="0" collapsed="false">
      <c r="A5" s="412"/>
      <c r="B5" s="412"/>
      <c r="C5" s="412"/>
      <c r="D5" s="412"/>
      <c r="E5" s="413"/>
      <c r="F5" s="413"/>
      <c r="G5" s="413"/>
      <c r="H5" s="413" t="n">
        <v>1</v>
      </c>
      <c r="I5" s="412"/>
      <c r="J5" s="412"/>
      <c r="K5" s="412"/>
      <c r="L5" s="414"/>
      <c r="M5" s="40"/>
      <c r="N5" s="40"/>
      <c r="O5" s="40"/>
      <c r="P5" s="425"/>
      <c r="Q5" s="422"/>
      <c r="R5" s="423"/>
      <c r="S5" s="416" t="e">
        <f aca="false">INDEX(PT_DIFFERENTIATION_NUM_IST_TE,MATCH(D5,PT_DIFFERENTIATION_IST_TE_ID,0))</f>
        <v>#N/A</v>
      </c>
      <c r="T5" s="427" t="s">
        <v>414</v>
      </c>
      <c r="U5" s="418"/>
      <c r="V5" s="419"/>
      <c r="W5" s="419"/>
      <c r="X5" s="419"/>
      <c r="Y5" s="419"/>
      <c r="Z5" s="419"/>
      <c r="AA5" s="419"/>
      <c r="AB5" s="419"/>
      <c r="AC5" s="419"/>
      <c r="AD5" s="420" t="e">
        <f aca="false">INDEX(PT_DIFFERENTIATION_IST_TE,MATCH(D5,PT_DIFFERENTIATION_IST_TE_ID,0))</f>
        <v>#N/A</v>
      </c>
      <c r="AE5" s="420"/>
      <c r="AF5" s="420"/>
      <c r="AG5" s="420"/>
      <c r="AH5" s="420"/>
      <c r="AI5" s="420"/>
      <c r="AJ5" s="420"/>
      <c r="AK5" s="420"/>
      <c r="AL5" s="420"/>
      <c r="AM5" s="421" t="s">
        <v>415</v>
      </c>
      <c r="AO5" s="118"/>
      <c r="AP5" s="118" t="str">
        <f aca="false">IF(T5="","",T5)</f>
        <v>Источник тепловой энергии</v>
      </c>
      <c r="AQ5" s="118"/>
      <c r="AR5" s="118"/>
      <c r="AS5" s="42" t="n">
        <v>0</v>
      </c>
    </row>
    <row r="6" customFormat="false" ht="47.25" hidden="true" customHeight="true" outlineLevel="0" collapsed="false">
      <c r="A6" s="412"/>
      <c r="B6" s="412"/>
      <c r="C6" s="412"/>
      <c r="D6" s="412"/>
      <c r="E6" s="413"/>
      <c r="F6" s="413"/>
      <c r="G6" s="413"/>
      <c r="H6" s="413"/>
      <c r="I6" s="428" t="e">
        <f aca="false">S5&amp;".1"</f>
        <v>#N/A</v>
      </c>
      <c r="J6" s="412"/>
      <c r="K6" s="412"/>
      <c r="L6" s="414" t="s">
        <v>416</v>
      </c>
      <c r="M6" s="45"/>
      <c r="P6" s="121" t="n">
        <v>1</v>
      </c>
      <c r="Q6" s="121"/>
      <c r="R6" s="429"/>
      <c r="S6" s="416" t="e">
        <f aca="false">$I6</f>
        <v>#N/A</v>
      </c>
      <c r="T6" s="430" t="s">
        <v>417</v>
      </c>
      <c r="U6" s="418"/>
      <c r="V6" s="431"/>
      <c r="W6" s="431"/>
      <c r="X6" s="431"/>
      <c r="Y6" s="431"/>
      <c r="Z6" s="431"/>
      <c r="AA6" s="431"/>
      <c r="AB6" s="431"/>
      <c r="AC6" s="431"/>
      <c r="AD6" s="431"/>
      <c r="AE6" s="431"/>
      <c r="AF6" s="431"/>
      <c r="AG6" s="431"/>
      <c r="AH6" s="431"/>
      <c r="AI6" s="431"/>
      <c r="AJ6" s="431"/>
      <c r="AK6" s="431"/>
      <c r="AL6" s="431"/>
      <c r="AM6" s="421" t="s">
        <v>418</v>
      </c>
      <c r="AO6" s="118"/>
      <c r="AP6" s="118" t="str">
        <f aca="false">IF(T6="","",T6)</f>
        <v>Схема подключения теплопотребляющей установки к коллектору источника тепловой энергии</v>
      </c>
      <c r="AQ6" s="118"/>
      <c r="AR6" s="118"/>
      <c r="AS6" s="42" t="n">
        <v>0</v>
      </c>
    </row>
    <row r="7" customFormat="false" ht="21" hidden="true" customHeight="true" outlineLevel="0" collapsed="false">
      <c r="A7" s="412"/>
      <c r="B7" s="412"/>
      <c r="C7" s="412"/>
      <c r="D7" s="412"/>
      <c r="E7" s="413"/>
      <c r="F7" s="413"/>
      <c r="G7" s="413"/>
      <c r="H7" s="413"/>
      <c r="I7" s="428"/>
      <c r="J7" s="428" t="e">
        <f aca="false">I6&amp;".1"</f>
        <v>#N/A</v>
      </c>
      <c r="K7" s="412"/>
      <c r="L7" s="414" t="s">
        <v>419</v>
      </c>
      <c r="M7" s="45"/>
      <c r="N7" s="45"/>
      <c r="P7" s="121"/>
      <c r="Q7" s="121" t="n">
        <v>1</v>
      </c>
      <c r="R7" s="432"/>
      <c r="S7" s="416" t="e">
        <f aca="false">$J7</f>
        <v>#N/A</v>
      </c>
      <c r="T7" s="433" t="s">
        <v>420</v>
      </c>
      <c r="U7" s="418"/>
      <c r="V7" s="431"/>
      <c r="W7" s="431"/>
      <c r="X7" s="431"/>
      <c r="Y7" s="431"/>
      <c r="Z7" s="431"/>
      <c r="AA7" s="431"/>
      <c r="AB7" s="431"/>
      <c r="AC7" s="431"/>
      <c r="AD7" s="431"/>
      <c r="AE7" s="431"/>
      <c r="AF7" s="431"/>
      <c r="AG7" s="431"/>
      <c r="AH7" s="431"/>
      <c r="AI7" s="431"/>
      <c r="AJ7" s="431"/>
      <c r="AK7" s="431"/>
      <c r="AL7" s="431"/>
      <c r="AM7" s="421" t="s">
        <v>421</v>
      </c>
      <c r="AO7" s="118"/>
      <c r="AP7" s="118" t="str">
        <f aca="false">IF(T7="","",T7)</f>
        <v>Группа потребителей</v>
      </c>
      <c r="AQ7" s="118"/>
      <c r="AR7" s="118"/>
      <c r="AS7" s="42" t="n">
        <v>0</v>
      </c>
    </row>
    <row r="8" customFormat="false" ht="21" hidden="true" customHeight="true" outlineLevel="0" collapsed="false">
      <c r="A8" s="412"/>
      <c r="B8" s="412"/>
      <c r="C8" s="412"/>
      <c r="D8" s="412"/>
      <c r="E8" s="413"/>
      <c r="F8" s="413"/>
      <c r="G8" s="413"/>
      <c r="H8" s="413"/>
      <c r="I8" s="428"/>
      <c r="J8" s="428"/>
      <c r="K8" s="428" t="e">
        <f aca="false">J7&amp;".1"</f>
        <v>#N/A</v>
      </c>
      <c r="L8" s="414" t="s">
        <v>422</v>
      </c>
      <c r="M8" s="45"/>
      <c r="N8" s="45"/>
      <c r="O8" s="45"/>
      <c r="P8" s="121"/>
      <c r="Q8" s="121"/>
      <c r="R8" s="432" t="n">
        <v>1</v>
      </c>
      <c r="S8" s="416" t="e">
        <f aca="false">$K8</f>
        <v>#N/A</v>
      </c>
      <c r="T8" s="434"/>
      <c r="U8" s="418"/>
      <c r="V8" s="436"/>
      <c r="W8" s="435"/>
      <c r="X8" s="436"/>
      <c r="Y8" s="497"/>
      <c r="Z8" s="438"/>
      <c r="AA8" s="204" t="s">
        <v>61</v>
      </c>
      <c r="AB8" s="438"/>
      <c r="AC8" s="204" t="s">
        <v>61</v>
      </c>
      <c r="AD8" s="436"/>
      <c r="AE8" s="435"/>
      <c r="AF8" s="436"/>
      <c r="AG8" s="497"/>
      <c r="AH8" s="438"/>
      <c r="AI8" s="204" t="s">
        <v>61</v>
      </c>
      <c r="AJ8" s="438"/>
      <c r="AK8" s="204" t="s">
        <v>61</v>
      </c>
      <c r="AL8" s="436"/>
      <c r="AM8" s="439" t="s">
        <v>423</v>
      </c>
      <c r="AN8" s="47" t="e">
        <f aca="false">strcheckdate(V9:AL9)</f>
        <v>#NAME?</v>
      </c>
      <c r="AO8" s="118"/>
      <c r="AP8" s="118" t="str">
        <f aca="false">IF(T8="","",T8)</f>
        <v/>
      </c>
      <c r="AQ8" s="118"/>
      <c r="AR8" s="118"/>
      <c r="AS8" s="42" t="n">
        <v>0</v>
      </c>
    </row>
    <row r="9" customFormat="false" ht="0.75" hidden="true" customHeight="true" outlineLevel="0" collapsed="false">
      <c r="A9" s="412"/>
      <c r="B9" s="412"/>
      <c r="C9" s="412"/>
      <c r="D9" s="412"/>
      <c r="E9" s="413"/>
      <c r="F9" s="413"/>
      <c r="G9" s="413"/>
      <c r="H9" s="413"/>
      <c r="I9" s="428"/>
      <c r="J9" s="428"/>
      <c r="K9" s="428"/>
      <c r="L9" s="414"/>
      <c r="M9" s="45"/>
      <c r="N9" s="45"/>
      <c r="O9" s="45"/>
      <c r="P9" s="121"/>
      <c r="Q9" s="121"/>
      <c r="R9" s="432"/>
      <c r="S9" s="393"/>
      <c r="T9" s="418"/>
      <c r="U9" s="418"/>
      <c r="V9" s="436"/>
      <c r="W9" s="436"/>
      <c r="X9" s="436"/>
      <c r="Y9" s="440" t="str">
        <f aca="false">Z8&amp;"-"&amp;AB8</f>
        <v>-</v>
      </c>
      <c r="Z9" s="438"/>
      <c r="AA9" s="204"/>
      <c r="AB9" s="438"/>
      <c r="AC9" s="204"/>
      <c r="AD9" s="436"/>
      <c r="AE9" s="436"/>
      <c r="AF9" s="436"/>
      <c r="AG9" s="440" t="str">
        <f aca="false">AH8&amp;"-"&amp;AJ8</f>
        <v>-</v>
      </c>
      <c r="AH9" s="438"/>
      <c r="AI9" s="204"/>
      <c r="AJ9" s="438"/>
      <c r="AK9" s="204"/>
      <c r="AL9" s="436"/>
      <c r="AM9" s="439"/>
      <c r="AO9" s="118"/>
      <c r="AP9" s="118" t="str">
        <f aca="false">IF(T9="","",T9)</f>
        <v/>
      </c>
      <c r="AQ9" s="118"/>
      <c r="AR9" s="118"/>
      <c r="AS9" s="42" t="n">
        <v>0</v>
      </c>
    </row>
    <row r="10" customFormat="false" ht="15" hidden="true" customHeight="true" outlineLevel="0" collapsed="false">
      <c r="A10" s="412"/>
      <c r="B10" s="412"/>
      <c r="C10" s="412"/>
      <c r="D10" s="412"/>
      <c r="E10" s="413"/>
      <c r="F10" s="413"/>
      <c r="G10" s="413"/>
      <c r="H10" s="413"/>
      <c r="I10" s="428"/>
      <c r="J10" s="428"/>
      <c r="K10" s="412"/>
      <c r="L10" s="414"/>
      <c r="M10" s="45"/>
      <c r="N10" s="45"/>
      <c r="P10" s="121"/>
      <c r="Q10" s="121"/>
      <c r="R10" s="429"/>
      <c r="S10" s="441"/>
      <c r="T10" s="442" t="s">
        <v>424</v>
      </c>
      <c r="U10" s="194"/>
      <c r="V10" s="194"/>
      <c r="W10" s="194"/>
      <c r="X10" s="194"/>
      <c r="Y10" s="194"/>
      <c r="Z10" s="194"/>
      <c r="AA10" s="194"/>
      <c r="AB10" s="194"/>
      <c r="AC10" s="194"/>
      <c r="AD10" s="194"/>
      <c r="AE10" s="194"/>
      <c r="AF10" s="194"/>
      <c r="AG10" s="194"/>
      <c r="AH10" s="194"/>
      <c r="AI10" s="194"/>
      <c r="AJ10" s="194"/>
      <c r="AK10" s="194"/>
      <c r="AL10" s="443"/>
      <c r="AM10" s="439"/>
      <c r="AO10" s="118"/>
      <c r="AP10" s="118" t="str">
        <f aca="false">IF(T10="","",T10)</f>
        <v>Добавить вид теплоносителя (параметры теплоносителя)</v>
      </c>
      <c r="AQ10" s="118"/>
      <c r="AR10" s="118"/>
      <c r="AS10" s="42" t="n">
        <v>0</v>
      </c>
    </row>
    <row r="11" customFormat="false" ht="15" hidden="true" customHeight="true" outlineLevel="0" collapsed="false">
      <c r="A11" s="412"/>
      <c r="B11" s="412"/>
      <c r="C11" s="412"/>
      <c r="D11" s="412"/>
      <c r="E11" s="413"/>
      <c r="F11" s="413"/>
      <c r="G11" s="413"/>
      <c r="H11" s="413"/>
      <c r="I11" s="428"/>
      <c r="J11" s="412"/>
      <c r="K11" s="412"/>
      <c r="L11" s="414"/>
      <c r="M11" s="45"/>
      <c r="P11" s="121"/>
      <c r="Q11" s="121"/>
      <c r="R11" s="429"/>
      <c r="S11" s="441"/>
      <c r="T11" s="444" t="s">
        <v>425</v>
      </c>
      <c r="U11" s="194"/>
      <c r="V11" s="194"/>
      <c r="W11" s="194"/>
      <c r="X11" s="194"/>
      <c r="Y11" s="194"/>
      <c r="Z11" s="194"/>
      <c r="AA11" s="194"/>
      <c r="AB11" s="194"/>
      <c r="AC11" s="445"/>
      <c r="AD11" s="194"/>
      <c r="AE11" s="194"/>
      <c r="AF11" s="194"/>
      <c r="AG11" s="194"/>
      <c r="AH11" s="194"/>
      <c r="AI11" s="194"/>
      <c r="AJ11" s="194"/>
      <c r="AK11" s="445"/>
      <c r="AL11" s="194"/>
      <c r="AM11" s="446"/>
      <c r="AO11" s="118"/>
      <c r="AP11" s="118" t="str">
        <f aca="false">IF(T11="","",T11)</f>
        <v>Добавить группу потребителей</v>
      </c>
      <c r="AQ11" s="118"/>
      <c r="AR11" s="118"/>
      <c r="AS11" s="42" t="n">
        <v>0</v>
      </c>
    </row>
    <row r="12" customFormat="false" ht="14.25" hidden="true" customHeight="true" outlineLevel="0" collapsed="false">
      <c r="A12" s="412"/>
      <c r="B12" s="412"/>
      <c r="C12" s="412"/>
      <c r="D12" s="412"/>
      <c r="E12" s="413"/>
      <c r="F12" s="413"/>
      <c r="G12" s="413"/>
      <c r="H12" s="413"/>
      <c r="I12" s="412"/>
      <c r="J12" s="412"/>
      <c r="K12" s="412"/>
      <c r="L12" s="414"/>
      <c r="M12" s="40"/>
      <c r="N12" s="40"/>
      <c r="O12" s="45"/>
      <c r="P12" s="132"/>
      <c r="Q12" s="447"/>
      <c r="R12" s="415"/>
      <c r="S12" s="441"/>
      <c r="T12" s="448" t="s">
        <v>426</v>
      </c>
      <c r="U12" s="194"/>
      <c r="V12" s="194"/>
      <c r="W12" s="194"/>
      <c r="X12" s="194"/>
      <c r="Y12" s="194"/>
      <c r="Z12" s="194"/>
      <c r="AA12" s="194"/>
      <c r="AB12" s="194"/>
      <c r="AC12" s="445"/>
      <c r="AD12" s="194"/>
      <c r="AE12" s="194"/>
      <c r="AF12" s="194"/>
      <c r="AG12" s="194"/>
      <c r="AH12" s="194"/>
      <c r="AI12" s="194"/>
      <c r="AJ12" s="194"/>
      <c r="AK12" s="445"/>
      <c r="AL12" s="194"/>
      <c r="AM12" s="446"/>
      <c r="AO12" s="118"/>
      <c r="AP12" s="118" t="str">
        <f aca="false">IF(T12="","",T12)</f>
        <v>Добавить схему подключения</v>
      </c>
      <c r="AQ12" s="118"/>
      <c r="AR12" s="118"/>
      <c r="AS12" s="42" t="n">
        <v>0</v>
      </c>
    </row>
    <row r="13" s="47" customFormat="true" ht="0.75" hidden="true" customHeight="true" outlineLevel="0" collapsed="false">
      <c r="A13" s="122"/>
      <c r="B13" s="122"/>
      <c r="C13" s="122"/>
      <c r="D13" s="122"/>
      <c r="E13" s="413"/>
      <c r="F13" s="413"/>
      <c r="G13" s="413"/>
      <c r="H13" s="122"/>
      <c r="I13" s="122"/>
      <c r="J13" s="122"/>
      <c r="K13" s="122"/>
      <c r="L13" s="192"/>
      <c r="M13" s="46"/>
      <c r="N13" s="46"/>
      <c r="P13" s="156"/>
      <c r="Q13" s="449"/>
      <c r="R13" s="156"/>
      <c r="S13" s="450"/>
      <c r="T13" s="451" t="s">
        <v>427</v>
      </c>
      <c r="U13" s="452"/>
      <c r="V13" s="452"/>
      <c r="W13" s="452"/>
      <c r="X13" s="452"/>
      <c r="Y13" s="452"/>
      <c r="Z13" s="452"/>
      <c r="AA13" s="452"/>
      <c r="AB13" s="452"/>
      <c r="AC13" s="452"/>
      <c r="AD13" s="452"/>
      <c r="AE13" s="452"/>
      <c r="AF13" s="452"/>
      <c r="AG13" s="452"/>
      <c r="AH13" s="452"/>
      <c r="AI13" s="452"/>
      <c r="AJ13" s="452"/>
      <c r="AK13" s="452"/>
      <c r="AL13" s="452"/>
      <c r="AM13" s="452"/>
      <c r="AO13" s="118"/>
      <c r="AP13" s="118" t="str">
        <f aca="false">IF(T13="","",T13)</f>
        <v>Добавить источник для дифференциации</v>
      </c>
      <c r="AQ13" s="118"/>
      <c r="AR13" s="118"/>
      <c r="AS13" s="47" t="n">
        <v>0</v>
      </c>
    </row>
    <row r="14" s="47" customFormat="true" ht="0.75" hidden="true" customHeight="true" outlineLevel="0" collapsed="false">
      <c r="A14" s="122"/>
      <c r="B14" s="122"/>
      <c r="C14" s="122"/>
      <c r="D14" s="122"/>
      <c r="E14" s="413"/>
      <c r="F14" s="413"/>
      <c r="G14" s="122"/>
      <c r="H14" s="122"/>
      <c r="I14" s="122"/>
      <c r="J14" s="122"/>
      <c r="K14" s="122"/>
      <c r="L14" s="192"/>
      <c r="M14" s="453"/>
      <c r="N14" s="453"/>
      <c r="P14" s="156"/>
      <c r="Q14" s="449"/>
      <c r="R14" s="156"/>
      <c r="S14" s="454"/>
      <c r="T14" s="455" t="s">
        <v>428</v>
      </c>
      <c r="U14" s="456"/>
      <c r="V14" s="456"/>
      <c r="W14" s="456"/>
      <c r="X14" s="456"/>
      <c r="Y14" s="456"/>
      <c r="Z14" s="456"/>
      <c r="AA14" s="456"/>
      <c r="AB14" s="456"/>
      <c r="AC14" s="456"/>
      <c r="AD14" s="456"/>
      <c r="AE14" s="456"/>
      <c r="AF14" s="456"/>
      <c r="AG14" s="456"/>
      <c r="AH14" s="456"/>
      <c r="AI14" s="456"/>
      <c r="AJ14" s="456"/>
      <c r="AK14" s="456"/>
      <c r="AL14" s="456"/>
      <c r="AM14" s="456"/>
      <c r="AO14" s="118"/>
      <c r="AP14" s="118" t="str">
        <f aca="false">IF(T14="","",T14)</f>
        <v>Добавить централизованную систему для дифференциации</v>
      </c>
      <c r="AQ14" s="118"/>
      <c r="AR14" s="118"/>
      <c r="AS14" s="47" t="n">
        <v>0</v>
      </c>
    </row>
    <row r="15" s="47" customFormat="true" ht="0.75" hidden="true" customHeight="true" outlineLevel="0" collapsed="false">
      <c r="A15" s="122"/>
      <c r="B15" s="122"/>
      <c r="C15" s="122"/>
      <c r="D15" s="122"/>
      <c r="E15" s="413"/>
      <c r="F15" s="122"/>
      <c r="G15" s="122"/>
      <c r="H15" s="122"/>
      <c r="I15" s="122"/>
      <c r="J15" s="122"/>
      <c r="K15" s="122"/>
      <c r="L15" s="192"/>
      <c r="M15" s="453"/>
      <c r="N15" s="453"/>
      <c r="P15" s="156"/>
      <c r="Q15" s="449"/>
      <c r="R15" s="156"/>
      <c r="S15" s="454"/>
      <c r="T15" s="457" t="s">
        <v>429</v>
      </c>
      <c r="U15" s="456"/>
      <c r="V15" s="456"/>
      <c r="W15" s="456"/>
      <c r="X15" s="456"/>
      <c r="Y15" s="456"/>
      <c r="Z15" s="456"/>
      <c r="AA15" s="456"/>
      <c r="AB15" s="456"/>
      <c r="AC15" s="456"/>
      <c r="AD15" s="456"/>
      <c r="AE15" s="456"/>
      <c r="AF15" s="456"/>
      <c r="AG15" s="456"/>
      <c r="AH15" s="456"/>
      <c r="AI15" s="456"/>
      <c r="AJ15" s="456"/>
      <c r="AK15" s="456"/>
      <c r="AL15" s="456"/>
      <c r="AM15" s="456"/>
      <c r="AO15" s="118"/>
      <c r="AP15" s="118" t="str">
        <f aca="false">IF(T15="","",T15)</f>
        <v>Добавить территорию для дифференциации</v>
      </c>
      <c r="AQ15" s="118"/>
      <c r="AR15" s="118"/>
      <c r="AS15" s="47" t="n">
        <v>0</v>
      </c>
    </row>
    <row r="16" customFormat="false" ht="14.25" hidden="true" customHeight="true" outlineLevel="0" collapsed="false">
      <c r="AS16" s="42" t="n">
        <v>0</v>
      </c>
    </row>
    <row r="17" customFormat="false" ht="14.25" hidden="true" customHeight="true" outlineLevel="0" collapsed="false">
      <c r="AD17" s="458"/>
      <c r="AE17" s="458"/>
      <c r="AF17" s="458"/>
      <c r="AG17" s="459"/>
      <c r="AH17" s="460"/>
      <c r="AI17" s="461" t="s">
        <v>61</v>
      </c>
      <c r="AJ17" s="460"/>
      <c r="AK17" s="461" t="s">
        <v>61</v>
      </c>
      <c r="AS17" s="42" t="n">
        <v>0</v>
      </c>
    </row>
    <row r="18" customFormat="false" ht="14.25" hidden="true" customHeight="true" outlineLevel="0" collapsed="false">
      <c r="AD18" s="458"/>
      <c r="AE18" s="458"/>
      <c r="AF18" s="458"/>
      <c r="AG18" s="440" t="str">
        <f aca="false">AH17&amp;"-"&amp;AJ17</f>
        <v>-</v>
      </c>
      <c r="AH18" s="460"/>
      <c r="AI18" s="460"/>
      <c r="AJ18" s="460"/>
      <c r="AK18" s="460"/>
      <c r="AS18" s="42" t="n">
        <v>0</v>
      </c>
    </row>
    <row r="19" customFormat="false" ht="14.25" hidden="true" customHeight="true" outlineLevel="0" collapsed="false">
      <c r="AS19" s="42" t="n">
        <v>0</v>
      </c>
    </row>
    <row r="20" s="45" customFormat="true" ht="22.5" hidden="true" customHeight="true" outlineLevel="0" collapsed="false">
      <c r="L20" s="44"/>
      <c r="M20" s="51"/>
      <c r="N20" s="51"/>
      <c r="O20" s="462" t="s">
        <v>430</v>
      </c>
      <c r="P20" s="51"/>
      <c r="Q20" s="463"/>
      <c r="R20" s="463"/>
      <c r="S20" s="40"/>
      <c r="Z20" s="462"/>
      <c r="AB20" s="462"/>
      <c r="AH20" s="462"/>
      <c r="AJ20" s="462"/>
      <c r="AN20" s="47"/>
      <c r="AO20" s="47"/>
      <c r="AP20" s="47"/>
      <c r="AQ20" s="47"/>
      <c r="AR20" s="47"/>
      <c r="AS20" s="45" t="n">
        <v>0</v>
      </c>
    </row>
    <row r="21" s="45" customFormat="true" ht="14.25" hidden="true" customHeight="true" outlineLevel="0" collapsed="false">
      <c r="L21" s="44"/>
      <c r="M21" s="51"/>
      <c r="N21" s="51"/>
      <c r="O21" s="51"/>
      <c r="P21" s="51"/>
      <c r="Q21" s="463"/>
      <c r="R21" s="463"/>
      <c r="S21" s="40"/>
      <c r="AN21" s="47"/>
      <c r="AO21" s="47"/>
      <c r="AP21" s="47"/>
      <c r="AQ21" s="47"/>
      <c r="AR21" s="47"/>
      <c r="AS21" s="45" t="n">
        <v>0</v>
      </c>
    </row>
    <row r="22" s="45" customFormat="true" ht="33.75" hidden="true" customHeight="true" outlineLevel="0" collapsed="false">
      <c r="L22" s="44"/>
      <c r="M22" s="51"/>
      <c r="N22" s="51"/>
      <c r="O22" s="414" t="s">
        <v>431</v>
      </c>
      <c r="P22" s="51"/>
      <c r="Q22" s="463"/>
      <c r="R22" s="463"/>
      <c r="S22" s="40"/>
      <c r="T22" s="45" t="s">
        <v>432</v>
      </c>
      <c r="AA22" s="140" t="s">
        <v>433</v>
      </c>
      <c r="AC22" s="140" t="s">
        <v>434</v>
      </c>
      <c r="AD22" s="45" t="s">
        <v>432</v>
      </c>
      <c r="AI22" s="140" t="s">
        <v>435</v>
      </c>
      <c r="AK22" s="140" t="s">
        <v>434</v>
      </c>
      <c r="AN22" s="47"/>
      <c r="AO22" s="47"/>
      <c r="AP22" s="47"/>
      <c r="AQ22" s="47"/>
      <c r="AR22" s="47"/>
      <c r="AS22" s="45" t="n">
        <v>0</v>
      </c>
    </row>
    <row r="23" customFormat="false" ht="14.25" hidden="true" customHeight="true" outlineLevel="0" collapsed="false">
      <c r="O23" s="414"/>
      <c r="AS23" s="42" t="n">
        <v>0</v>
      </c>
    </row>
    <row r="24" customFormat="false" ht="14.25" hidden="true" customHeight="true" outlineLevel="0" collapsed="false">
      <c r="O24" s="414"/>
      <c r="AS24" s="42" t="n">
        <v>0</v>
      </c>
    </row>
    <row r="25" customFormat="false" ht="14.25" hidden="false" customHeight="true" outlineLevel="0" collapsed="false">
      <c r="Q25" s="464"/>
      <c r="R25" s="464"/>
      <c r="S25" s="465"/>
      <c r="T25" s="80"/>
      <c r="U25" s="80"/>
      <c r="AS25" s="42" t="n">
        <v>14</v>
      </c>
    </row>
    <row r="26" customFormat="false" ht="29.25" hidden="false" customHeight="true" outlineLevel="0" collapsed="false">
      <c r="Q26" s="464"/>
      <c r="R26" s="46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28</v>
      </c>
    </row>
    <row r="27" customFormat="false" ht="14.25" hidden="false" customHeight="true" outlineLevel="0" collapsed="false">
      <c r="Q27" s="464"/>
      <c r="R27" s="464"/>
      <c r="S27" s="261" t="str">
        <f aca="false">IF(org=0,"Не определено",org)</f>
        <v>ООО "Газпром теплоэнерго Ярославль"</v>
      </c>
      <c r="T27" s="261"/>
      <c r="U27" s="261"/>
      <c r="V27" s="261"/>
      <c r="W27" s="261"/>
      <c r="X27" s="261"/>
      <c r="Y27" s="261"/>
      <c r="Z27" s="261"/>
      <c r="AA27" s="261"/>
      <c r="AB27" s="261"/>
      <c r="AC27" s="261"/>
      <c r="AD27" s="261"/>
      <c r="AE27" s="261"/>
      <c r="AF27" s="261"/>
      <c r="AG27" s="261"/>
      <c r="AH27" s="261"/>
      <c r="AI27" s="261"/>
      <c r="AJ27" s="261"/>
      <c r="AK27" s="222"/>
      <c r="AS27" s="42" t="n">
        <v>14</v>
      </c>
    </row>
    <row r="28" customFormat="false" ht="14.25" hidden="true" customHeight="true" outlineLevel="0" collapsed="false">
      <c r="Q28" s="464"/>
      <c r="R28" s="464"/>
      <c r="S28" s="465"/>
      <c r="T28" s="80"/>
      <c r="U28" s="80"/>
      <c r="V28" s="466"/>
      <c r="W28" s="466"/>
      <c r="X28" s="466"/>
      <c r="Y28" s="466"/>
      <c r="Z28" s="466"/>
      <c r="AA28" s="466"/>
      <c r="AB28" s="466"/>
      <c r="AC28" s="466"/>
      <c r="AD28" s="466"/>
      <c r="AE28" s="466"/>
      <c r="AF28" s="466"/>
      <c r="AG28" s="466"/>
      <c r="AH28" s="466"/>
      <c r="AI28" s="466"/>
      <c r="AJ28" s="466"/>
      <c r="AK28" s="466"/>
      <c r="AS28" s="42" t="n">
        <v>0</v>
      </c>
    </row>
    <row r="29" s="175" customFormat="true" ht="25.5" hidden="true" customHeight="true" outlineLevel="0" collapsed="false">
      <c r="A29" s="140"/>
      <c r="B29" s="140"/>
      <c r="C29" s="140"/>
      <c r="D29" s="140"/>
      <c r="E29" s="140"/>
      <c r="F29" s="140"/>
      <c r="G29" s="140"/>
      <c r="H29" s="140"/>
      <c r="I29" s="140"/>
      <c r="J29" s="140"/>
      <c r="K29" s="140"/>
      <c r="L29" s="414"/>
      <c r="M29" s="140"/>
      <c r="N29" s="140"/>
      <c r="O29" s="140"/>
      <c r="S29" s="467" t="s">
        <v>40</v>
      </c>
      <c r="T29" s="467"/>
      <c r="U29" s="468"/>
      <c r="V29" s="469" t="str">
        <f aca="false">IF(TITLE_NAME_OR_PR_CHANGE="",IF(TITLE_NAME_OR_PR="","",TITLE_NAME_OR_PR),TITLE_NAME_OR_PR_CHANGE)</f>
        <v/>
      </c>
      <c r="W29" s="469"/>
      <c r="X29" s="469"/>
      <c r="Y29" s="469"/>
      <c r="Z29" s="469"/>
      <c r="AA29" s="469"/>
      <c r="AB29" s="469"/>
      <c r="AC29" s="42"/>
      <c r="AD29" s="469" t="str">
        <f aca="false">IF(TITLE_NAME_OR_PR_CHANGE="",IF(TITLE_NAME_OR_PR="","",TITLE_NAME_OR_PR),TITLE_NAME_OR_PR_CHANGE)</f>
        <v/>
      </c>
      <c r="AE29" s="469"/>
      <c r="AF29" s="469"/>
      <c r="AG29" s="469"/>
      <c r="AH29" s="469"/>
      <c r="AI29" s="469"/>
      <c r="AJ29" s="469"/>
      <c r="AK29" s="42"/>
      <c r="AL29" s="42"/>
      <c r="AM29" s="470"/>
      <c r="AN29" s="118"/>
      <c r="AO29" s="118"/>
      <c r="AP29" s="118"/>
      <c r="AQ29" s="118"/>
      <c r="AR29" s="118"/>
      <c r="AS29" s="175" t="n">
        <v>0</v>
      </c>
    </row>
    <row r="30" s="175" customFormat="true" ht="18.75" hidden="true" customHeight="true" outlineLevel="0" collapsed="false">
      <c r="A30" s="140"/>
      <c r="B30" s="140"/>
      <c r="C30" s="140"/>
      <c r="D30" s="140"/>
      <c r="E30" s="140"/>
      <c r="F30" s="140"/>
      <c r="G30" s="140"/>
      <c r="H30" s="140"/>
      <c r="I30" s="140"/>
      <c r="J30" s="140"/>
      <c r="K30" s="140"/>
      <c r="L30" s="414"/>
      <c r="M30" s="140"/>
      <c r="N30" s="140"/>
      <c r="O30" s="140"/>
      <c r="S30" s="467" t="s">
        <v>436</v>
      </c>
      <c r="T30" s="467"/>
      <c r="U30" s="468"/>
      <c r="V30" s="471" t="str">
        <f aca="false">IF(TITLE_DATE_PR_CHANGE="",IF(TITLE_DATE_PR="","",TITLE_DATE_PR),TITLE_DATE_PR_CHANGE)</f>
        <v/>
      </c>
      <c r="W30" s="471"/>
      <c r="X30" s="471"/>
      <c r="Y30" s="471"/>
      <c r="Z30" s="471"/>
      <c r="AA30" s="471"/>
      <c r="AB30" s="471"/>
      <c r="AC30" s="42"/>
      <c r="AD30" s="471" t="str">
        <f aca="false">IF(TITLE_DATE_PR_CHANGE="",IF(TITLE_DATE_PR="","",TITLE_DATE_PR),TITLE_DATE_PR_CHANGE)</f>
        <v/>
      </c>
      <c r="AE30" s="471"/>
      <c r="AF30" s="471"/>
      <c r="AG30" s="471"/>
      <c r="AH30" s="471"/>
      <c r="AI30" s="471"/>
      <c r="AJ30" s="471"/>
      <c r="AK30" s="42"/>
      <c r="AL30" s="42"/>
      <c r="AM30" s="470"/>
      <c r="AN30" s="118"/>
      <c r="AO30" s="118"/>
      <c r="AP30" s="118"/>
      <c r="AQ30" s="118"/>
      <c r="AR30" s="118"/>
      <c r="AS30" s="175" t="n">
        <v>0</v>
      </c>
    </row>
    <row r="31" s="175" customFormat="true" ht="18.75" hidden="true" customHeight="true" outlineLevel="0" collapsed="false">
      <c r="A31" s="140"/>
      <c r="B31" s="140"/>
      <c r="C31" s="140"/>
      <c r="D31" s="140"/>
      <c r="E31" s="140"/>
      <c r="F31" s="140"/>
      <c r="G31" s="140"/>
      <c r="H31" s="140"/>
      <c r="I31" s="140"/>
      <c r="J31" s="140"/>
      <c r="K31" s="140"/>
      <c r="L31" s="414"/>
      <c r="M31" s="140"/>
      <c r="N31" s="140"/>
      <c r="O31" s="140"/>
      <c r="S31" s="467" t="s">
        <v>437</v>
      </c>
      <c r="T31" s="467"/>
      <c r="U31" s="468"/>
      <c r="V31" s="469" t="str">
        <f aca="false">IF(TITLE_NUMBER_PR_CHANGE="",IF(TITLE_NUMBER_PR="","",TITLE_NUMBER_PR),TITLE_NUMBER_PR_CHANGE)</f>
        <v/>
      </c>
      <c r="W31" s="469"/>
      <c r="X31" s="469"/>
      <c r="Y31" s="469"/>
      <c r="Z31" s="469"/>
      <c r="AA31" s="469"/>
      <c r="AB31" s="469"/>
      <c r="AC31" s="42"/>
      <c r="AD31" s="469" t="str">
        <f aca="false">IF(TITLE_NUMBER_PR_CHANGE="",IF(TITLE_NUMBER_PR="","",TITLE_NUMBER_PR),TITLE_NUMBER_PR_CHANGE)</f>
        <v/>
      </c>
      <c r="AE31" s="469"/>
      <c r="AF31" s="469"/>
      <c r="AG31" s="469"/>
      <c r="AH31" s="469"/>
      <c r="AI31" s="469"/>
      <c r="AJ31" s="469"/>
      <c r="AK31" s="42"/>
      <c r="AL31" s="42"/>
      <c r="AM31" s="470"/>
      <c r="AN31" s="118"/>
      <c r="AO31" s="118"/>
      <c r="AP31" s="118"/>
      <c r="AQ31" s="118"/>
      <c r="AR31" s="118"/>
      <c r="AS31" s="175" t="n">
        <v>0</v>
      </c>
    </row>
    <row r="32" s="175" customFormat="true" ht="18.75" hidden="true" customHeight="true" outlineLevel="0" collapsed="false">
      <c r="A32" s="140"/>
      <c r="B32" s="140"/>
      <c r="C32" s="140"/>
      <c r="D32" s="140"/>
      <c r="E32" s="140"/>
      <c r="F32" s="140"/>
      <c r="G32" s="140"/>
      <c r="H32" s="140"/>
      <c r="I32" s="140"/>
      <c r="J32" s="140"/>
      <c r="K32" s="140"/>
      <c r="L32" s="414"/>
      <c r="M32" s="140"/>
      <c r="N32" s="140"/>
      <c r="O32" s="140"/>
      <c r="S32" s="467" t="s">
        <v>41</v>
      </c>
      <c r="T32" s="467"/>
      <c r="U32" s="468"/>
      <c r="V32" s="469" t="str">
        <f aca="false">IF(TITLE_IST_PUB_CHANGE="",IF(TITLE_IST_PUB="","",TITLE_IST_PUB),TITLE_IST_PUB_CHANGE)</f>
        <v/>
      </c>
      <c r="W32" s="469"/>
      <c r="X32" s="469"/>
      <c r="Y32" s="469"/>
      <c r="Z32" s="469"/>
      <c r="AA32" s="469"/>
      <c r="AB32" s="469"/>
      <c r="AC32" s="42"/>
      <c r="AD32" s="469" t="str">
        <f aca="false">IF(TITLE_IST_PUB_CHANGE="",IF(TITLE_IST_PUB="","",TITLE_IST_PUB),TITLE_IST_PUB_CHANGE)</f>
        <v/>
      </c>
      <c r="AE32" s="469"/>
      <c r="AF32" s="469"/>
      <c r="AG32" s="469"/>
      <c r="AH32" s="469"/>
      <c r="AI32" s="469"/>
      <c r="AJ32" s="469"/>
      <c r="AK32" s="42"/>
      <c r="AL32" s="42"/>
      <c r="AM32" s="470"/>
      <c r="AN32" s="118"/>
      <c r="AO32" s="118"/>
      <c r="AP32" s="118"/>
      <c r="AQ32" s="118"/>
      <c r="AR32" s="118"/>
      <c r="AS32" s="175" t="n">
        <v>0</v>
      </c>
    </row>
    <row r="33" customFormat="false" ht="14.25" hidden="true" customHeight="true" outlineLevel="0" collapsed="false">
      <c r="Q33" s="464"/>
      <c r="R33" s="464"/>
      <c r="S33" s="465"/>
      <c r="T33" s="80"/>
      <c r="U33" s="80"/>
      <c r="V33" s="466"/>
      <c r="W33" s="466"/>
      <c r="X33" s="466"/>
      <c r="Y33" s="466"/>
      <c r="Z33" s="466"/>
      <c r="AA33" s="466"/>
      <c r="AB33" s="466"/>
      <c r="AC33" s="466"/>
      <c r="AD33" s="466"/>
      <c r="AE33" s="466"/>
      <c r="AF33" s="466"/>
      <c r="AG33" s="466"/>
      <c r="AH33" s="466"/>
      <c r="AI33" s="466"/>
      <c r="AJ33" s="466"/>
      <c r="AK33" s="466"/>
      <c r="AS33" s="42" t="n">
        <v>0</v>
      </c>
    </row>
    <row r="34" s="175" customFormat="true" ht="18.75" hidden="true" customHeight="true" outlineLevel="0" collapsed="false">
      <c r="A34" s="140"/>
      <c r="B34" s="140"/>
      <c r="C34" s="140"/>
      <c r="D34" s="140"/>
      <c r="E34" s="140"/>
      <c r="F34" s="140"/>
      <c r="G34" s="140"/>
      <c r="H34" s="140"/>
      <c r="I34" s="140"/>
      <c r="J34" s="140"/>
      <c r="K34" s="140"/>
      <c r="L34" s="414"/>
      <c r="M34" s="140"/>
      <c r="N34" s="140"/>
      <c r="O34" s="140"/>
      <c r="S34" s="467" t="s">
        <v>438</v>
      </c>
      <c r="T34" s="467"/>
      <c r="U34" s="468"/>
      <c r="V34" s="471" t="str">
        <f aca="false">IF(TITLE_DATE_PR_CHANGE="",IF(TITLE_DATE_PR="","",TITLE_DATE_PR),TITLE_DATE_PR_CHANGE)</f>
        <v/>
      </c>
      <c r="W34" s="471"/>
      <c r="X34" s="471"/>
      <c r="Y34" s="471"/>
      <c r="Z34" s="471"/>
      <c r="AA34" s="471"/>
      <c r="AB34" s="471"/>
      <c r="AC34" s="42"/>
      <c r="AD34" s="471" t="str">
        <f aca="false">IF(TITLE_DATE_PR_CHANGE="",IF(TITLE_DATE_PR="","",TITLE_DATE_PR),TITLE_DATE_PR_CHANGE)</f>
        <v/>
      </c>
      <c r="AE34" s="471"/>
      <c r="AF34" s="471"/>
      <c r="AG34" s="471"/>
      <c r="AH34" s="471"/>
      <c r="AI34" s="471"/>
      <c r="AJ34" s="471"/>
      <c r="AK34" s="42"/>
      <c r="AL34" s="42"/>
      <c r="AM34" s="470"/>
      <c r="AN34" s="118"/>
      <c r="AO34" s="118"/>
      <c r="AP34" s="118"/>
      <c r="AQ34" s="118"/>
      <c r="AR34" s="118"/>
      <c r="AS34" s="175" t="n">
        <v>0</v>
      </c>
    </row>
    <row r="35" s="175" customFormat="true" ht="18.75" hidden="true" customHeight="true" outlineLevel="0" collapsed="false">
      <c r="A35" s="140"/>
      <c r="B35" s="140"/>
      <c r="C35" s="140"/>
      <c r="D35" s="140"/>
      <c r="E35" s="140"/>
      <c r="F35" s="140"/>
      <c r="G35" s="140"/>
      <c r="H35" s="140"/>
      <c r="I35" s="140"/>
      <c r="J35" s="140"/>
      <c r="K35" s="140"/>
      <c r="L35" s="414"/>
      <c r="M35" s="140"/>
      <c r="N35" s="140"/>
      <c r="O35" s="140"/>
      <c r="S35" s="467" t="s">
        <v>439</v>
      </c>
      <c r="T35" s="467"/>
      <c r="U35" s="468"/>
      <c r="V35" s="469" t="str">
        <f aca="false">IF(TITLE_NUMBER_PR_CHANGE="",IF(TITLE_NUMBER_PR="","",TITLE_NUMBER_PR),TITLE_NUMBER_PR_CHANGE)</f>
        <v/>
      </c>
      <c r="W35" s="469"/>
      <c r="X35" s="469"/>
      <c r="Y35" s="469"/>
      <c r="Z35" s="469"/>
      <c r="AA35" s="469"/>
      <c r="AB35" s="469"/>
      <c r="AC35" s="42"/>
      <c r="AD35" s="469" t="str">
        <f aca="false">IF(TITLE_NUMBER_PR_CHANGE="",IF(TITLE_NUMBER_PR="","",TITLE_NUMBER_PR),TITLE_NUMBER_PR_CHANGE)</f>
        <v/>
      </c>
      <c r="AE35" s="469"/>
      <c r="AF35" s="469"/>
      <c r="AG35" s="469"/>
      <c r="AH35" s="469"/>
      <c r="AI35" s="469"/>
      <c r="AJ35" s="469"/>
      <c r="AK35" s="42"/>
      <c r="AL35" s="42"/>
      <c r="AM35" s="470"/>
      <c r="AN35" s="118"/>
      <c r="AO35" s="118"/>
      <c r="AP35" s="118"/>
      <c r="AQ35" s="118"/>
      <c r="AR35" s="118"/>
      <c r="AS35" s="175" t="n">
        <v>0</v>
      </c>
    </row>
    <row r="36" s="175" customFormat="true" ht="12.8" hidden="false" customHeight="false" outlineLevel="0" collapsed="false">
      <c r="A36" s="140"/>
      <c r="B36" s="140"/>
      <c r="C36" s="140"/>
      <c r="D36" s="140"/>
      <c r="E36" s="140"/>
      <c r="F36" s="140"/>
      <c r="G36" s="140"/>
      <c r="H36" s="140"/>
      <c r="I36" s="140"/>
      <c r="J36" s="140"/>
      <c r="K36" s="140"/>
      <c r="L36" s="414"/>
      <c r="M36" s="140"/>
      <c r="N36" s="140"/>
      <c r="O36" s="140"/>
      <c r="S36" s="42"/>
      <c r="T36" s="42"/>
      <c r="U36" s="128"/>
      <c r="V36" s="42"/>
      <c r="W36" s="42"/>
      <c r="X36" s="42"/>
      <c r="Y36" s="42"/>
      <c r="Z36" s="42"/>
      <c r="AA36" s="42"/>
      <c r="AB36" s="42"/>
      <c r="AC36" s="47" t="s">
        <v>440</v>
      </c>
      <c r="AD36" s="42"/>
      <c r="AE36" s="42"/>
      <c r="AF36" s="42"/>
      <c r="AG36" s="42"/>
      <c r="AH36" s="42"/>
      <c r="AI36" s="42"/>
      <c r="AJ36" s="42"/>
      <c r="AK36" s="47" t="s">
        <v>440</v>
      </c>
      <c r="AN36" s="118"/>
      <c r="AO36" s="118"/>
      <c r="AP36" s="118"/>
      <c r="AQ36" s="118"/>
      <c r="AR36" s="118"/>
      <c r="AS36" s="175" t="n">
        <v>0</v>
      </c>
    </row>
    <row r="37" customFormat="false" ht="14.25" hidden="false" customHeight="true" outlineLevel="0" collapsed="false">
      <c r="Q37" s="464"/>
      <c r="R37" s="464"/>
      <c r="S37" s="465"/>
      <c r="T37" s="80"/>
      <c r="U37" s="472"/>
      <c r="V37" s="473"/>
      <c r="W37" s="473"/>
      <c r="X37" s="473"/>
      <c r="Y37" s="473"/>
      <c r="Z37" s="473"/>
      <c r="AA37" s="473"/>
      <c r="AB37" s="473"/>
      <c r="AC37" s="473"/>
      <c r="AD37" s="473"/>
      <c r="AE37" s="473"/>
      <c r="AF37" s="473"/>
      <c r="AG37" s="473"/>
      <c r="AH37" s="473"/>
      <c r="AI37" s="473"/>
      <c r="AJ37" s="473"/>
      <c r="AK37" s="473"/>
      <c r="AS37" s="42" t="n">
        <v>14</v>
      </c>
    </row>
    <row r="38" customFormat="false" ht="14.25" hidden="false" customHeight="true" outlineLevel="0" collapsed="false">
      <c r="Q38" s="464"/>
      <c r="R38" s="464"/>
      <c r="S38" s="134" t="s">
        <v>313</v>
      </c>
      <c r="T38" s="134"/>
      <c r="U38" s="134"/>
      <c r="V38" s="134"/>
      <c r="W38" s="134"/>
      <c r="X38" s="134"/>
      <c r="Y38" s="134"/>
      <c r="Z38" s="134"/>
      <c r="AA38" s="134"/>
      <c r="AB38" s="134"/>
      <c r="AC38" s="134"/>
      <c r="AD38" s="134"/>
      <c r="AE38" s="134"/>
      <c r="AF38" s="134"/>
      <c r="AG38" s="134"/>
      <c r="AH38" s="134"/>
      <c r="AI38" s="134"/>
      <c r="AJ38" s="134"/>
      <c r="AK38" s="134"/>
      <c r="AL38" s="134"/>
      <c r="AM38" s="134" t="s">
        <v>314</v>
      </c>
      <c r="AS38" s="42" t="n">
        <v>14</v>
      </c>
    </row>
    <row r="39" customFormat="false" ht="14.25" hidden="false" customHeight="true" outlineLevel="0" collapsed="false">
      <c r="Q39" s="464"/>
      <c r="R39" s="464"/>
      <c r="S39" s="474" t="s">
        <v>87</v>
      </c>
      <c r="T39" s="391" t="s">
        <v>441</v>
      </c>
      <c r="U39" s="475"/>
      <c r="V39" s="296" t="s">
        <v>442</v>
      </c>
      <c r="W39" s="296"/>
      <c r="X39" s="296"/>
      <c r="Y39" s="296"/>
      <c r="Z39" s="296"/>
      <c r="AA39" s="296"/>
      <c r="AB39" s="296"/>
      <c r="AC39" s="391" t="s">
        <v>443</v>
      </c>
      <c r="AD39" s="296" t="s">
        <v>442</v>
      </c>
      <c r="AE39" s="296"/>
      <c r="AF39" s="296"/>
      <c r="AG39" s="296"/>
      <c r="AH39" s="296"/>
      <c r="AI39" s="296"/>
      <c r="AJ39" s="296"/>
      <c r="AK39" s="391" t="s">
        <v>444</v>
      </c>
      <c r="AL39" s="476" t="s">
        <v>445</v>
      </c>
      <c r="AM39" s="134"/>
      <c r="AS39" s="42" t="n">
        <v>14</v>
      </c>
    </row>
    <row r="40" customFormat="false" ht="24" hidden="false" customHeight="true" outlineLevel="0" collapsed="false">
      <c r="Q40" s="464"/>
      <c r="R40" s="464"/>
      <c r="S40" s="474"/>
      <c r="T40" s="391"/>
      <c r="U40" s="477"/>
      <c r="V40" s="147" t="s">
        <v>446</v>
      </c>
      <c r="W40" s="265" t="s">
        <v>447</v>
      </c>
      <c r="X40" s="300" t="s">
        <v>448</v>
      </c>
      <c r="Y40" s="300"/>
      <c r="Z40" s="209" t="s">
        <v>449</v>
      </c>
      <c r="AA40" s="209"/>
      <c r="AB40" s="209"/>
      <c r="AC40" s="391"/>
      <c r="AD40" s="147" t="s">
        <v>446</v>
      </c>
      <c r="AE40" s="265" t="s">
        <v>447</v>
      </c>
      <c r="AF40" s="300" t="s">
        <v>448</v>
      </c>
      <c r="AG40" s="300"/>
      <c r="AH40" s="209" t="s">
        <v>449</v>
      </c>
      <c r="AI40" s="209"/>
      <c r="AJ40" s="209"/>
      <c r="AK40" s="391"/>
      <c r="AL40" s="476"/>
      <c r="AM40" s="134"/>
      <c r="AS40" s="42" t="n">
        <v>23</v>
      </c>
    </row>
    <row r="41" s="96" customFormat="true" ht="24" hidden="false" customHeight="true" outlineLevel="0" collapsed="false">
      <c r="A41" s="140"/>
      <c r="B41" s="140" t="s">
        <v>150</v>
      </c>
      <c r="C41" s="140" t="s">
        <v>151</v>
      </c>
      <c r="D41" s="140" t="s">
        <v>152</v>
      </c>
      <c r="E41" s="414" t="s">
        <v>450</v>
      </c>
      <c r="F41" s="414" t="s">
        <v>451</v>
      </c>
      <c r="G41" s="414" t="s">
        <v>452</v>
      </c>
      <c r="H41" s="414" t="s">
        <v>453</v>
      </c>
      <c r="I41" s="414" t="s">
        <v>454</v>
      </c>
      <c r="J41" s="414" t="s">
        <v>455</v>
      </c>
      <c r="K41" s="414" t="s">
        <v>456</v>
      </c>
      <c r="L41" s="414" t="s">
        <v>431</v>
      </c>
      <c r="M41" s="51"/>
      <c r="N41" s="51"/>
      <c r="O41" s="51"/>
      <c r="P41" s="50"/>
      <c r="Q41" s="464"/>
      <c r="R41" s="464"/>
      <c r="S41" s="474"/>
      <c r="T41" s="391"/>
      <c r="U41" s="478"/>
      <c r="V41" s="147"/>
      <c r="W41" s="265"/>
      <c r="X41" s="147" t="s">
        <v>457</v>
      </c>
      <c r="Y41" s="147" t="s">
        <v>458</v>
      </c>
      <c r="Z41" s="358" t="s">
        <v>459</v>
      </c>
      <c r="AA41" s="185" t="s">
        <v>460</v>
      </c>
      <c r="AB41" s="185"/>
      <c r="AC41" s="391"/>
      <c r="AD41" s="147"/>
      <c r="AE41" s="265"/>
      <c r="AF41" s="147" t="s">
        <v>457</v>
      </c>
      <c r="AG41" s="147" t="s">
        <v>458</v>
      </c>
      <c r="AH41" s="358" t="s">
        <v>459</v>
      </c>
      <c r="AI41" s="185" t="s">
        <v>460</v>
      </c>
      <c r="AJ41" s="185"/>
      <c r="AK41" s="391"/>
      <c r="AL41" s="476"/>
      <c r="AM41" s="134"/>
      <c r="AN41" s="47"/>
      <c r="AO41" s="118"/>
      <c r="AP41" s="118"/>
      <c r="AQ41" s="118"/>
      <c r="AR41" s="118"/>
      <c r="AS41" s="96" t="n">
        <v>23</v>
      </c>
    </row>
    <row r="42" s="120" customFormat="true" ht="11.25" hidden="true" customHeight="true" outlineLevel="0" collapsed="false">
      <c r="A42" s="140"/>
      <c r="B42" s="140"/>
      <c r="C42" s="140"/>
      <c r="D42" s="140"/>
      <c r="E42" s="140"/>
      <c r="F42" s="140"/>
      <c r="G42" s="140"/>
      <c r="H42" s="140"/>
      <c r="I42" s="140"/>
      <c r="J42" s="140"/>
      <c r="K42" s="140"/>
      <c r="L42" s="414"/>
      <c r="M42" s="51"/>
      <c r="N42" s="51"/>
      <c r="O42" s="51"/>
      <c r="P42" s="479"/>
      <c r="Q42" s="480"/>
      <c r="R42" s="481" t="n">
        <v>1</v>
      </c>
      <c r="S42" s="482" t="s">
        <v>120</v>
      </c>
      <c r="T42" s="483" t="s">
        <v>102</v>
      </c>
      <c r="U42" s="484" t="str">
        <f aca="true">OFFSET(U42,0,-1)</f>
        <v>2</v>
      </c>
      <c r="V42" s="485" t="n">
        <f aca="true">OFFSET(V42,0,-1)+1</f>
        <v>3</v>
      </c>
      <c r="W42" s="485"/>
      <c r="X42" s="364" t="n">
        <f aca="true">OFFSET(X42,0,-1)+1</f>
        <v>1</v>
      </c>
      <c r="Y42" s="364" t="n">
        <f aca="true">OFFSET(Y42,0,-1)+1</f>
        <v>2</v>
      </c>
      <c r="Z42" s="485" t="n">
        <f aca="true">OFFSET(Z42,0,-1)+1</f>
        <v>3</v>
      </c>
      <c r="AA42" s="485" t="n">
        <f aca="true">OFFSET(AA42,0,-1)+1</f>
        <v>4</v>
      </c>
      <c r="AB42" s="485"/>
      <c r="AC42" s="485" t="n">
        <f aca="true">OFFSET(AC42,0,-2)+1</f>
        <v>5</v>
      </c>
      <c r="AD42" s="485" t="n">
        <f aca="true">OFFSET(AD42,0,-1)+1</f>
        <v>6</v>
      </c>
      <c r="AE42" s="485"/>
      <c r="AF42" s="364" t="n">
        <f aca="true">OFFSET(AF42,0,-1)+1</f>
        <v>1</v>
      </c>
      <c r="AG42" s="364" t="n">
        <f aca="true">OFFSET(AG42,0,-1)+1</f>
        <v>2</v>
      </c>
      <c r="AH42" s="485" t="n">
        <f aca="true">OFFSET(AH42,0,-1)+1</f>
        <v>3</v>
      </c>
      <c r="AI42" s="485" t="n">
        <f aca="true">OFFSET(AI42,0,-1)+1</f>
        <v>4</v>
      </c>
      <c r="AJ42" s="485"/>
      <c r="AK42" s="485" t="n">
        <f aca="true">OFFSET(AK42,0,-2)+1</f>
        <v>5</v>
      </c>
      <c r="AL42" s="484" t="n">
        <f aca="true">OFFSET(AL42,0,-1)</f>
        <v>5</v>
      </c>
      <c r="AM42" s="485" t="n">
        <f aca="true">OFFSET(AM42,0,-1)+1</f>
        <v>6</v>
      </c>
      <c r="AN42" s="47"/>
      <c r="AO42" s="47"/>
      <c r="AP42" s="47"/>
      <c r="AQ42" s="47"/>
      <c r="AR42" s="47"/>
      <c r="AS42" s="120" t="n">
        <v>0</v>
      </c>
    </row>
    <row r="43" customFormat="false" ht="21.75" hidden="false" customHeight="true" outlineLevel="0" collapsed="false">
      <c r="A43" s="412" t="s">
        <v>207</v>
      </c>
      <c r="B43" s="412"/>
      <c r="C43" s="412"/>
      <c r="D43" s="412"/>
      <c r="E43" s="413" t="n">
        <v>1</v>
      </c>
      <c r="F43" s="412"/>
      <c r="G43" s="412"/>
      <c r="H43" s="412"/>
      <c r="I43" s="412"/>
      <c r="J43" s="412"/>
      <c r="K43" s="412"/>
      <c r="L43" s="414"/>
      <c r="M43" s="40"/>
      <c r="N43" s="40"/>
      <c r="O43" s="40"/>
      <c r="Q43" s="132"/>
      <c r="R43" s="415"/>
      <c r="S43" s="416" t="n">
        <f aca="false">INDEX(PT_DIFFERENTIATION_NUM_NTAR,MATCH(A43,PT_DIFFERENTIATION_NTAR_ID,0))</f>
        <v>0</v>
      </c>
      <c r="T43" s="417" t="s">
        <v>138</v>
      </c>
      <c r="U43" s="418"/>
      <c r="V43" s="419"/>
      <c r="W43" s="419"/>
      <c r="X43" s="419"/>
      <c r="Y43" s="419"/>
      <c r="Z43" s="419"/>
      <c r="AA43" s="419"/>
      <c r="AB43" s="419"/>
      <c r="AC43" s="419"/>
      <c r="AD43" s="420" t="str">
        <f aca="false">INDEX(PT_DIFFERENTIATION_NTAR,MATCH(A43,PT_DIFFERENTIATION_NTAR_ID,0))</f>
        <v/>
      </c>
      <c r="AE43" s="420"/>
      <c r="AF43" s="420"/>
      <c r="AG43" s="420"/>
      <c r="AH43" s="420"/>
      <c r="AI43" s="420"/>
      <c r="AJ43" s="420"/>
      <c r="AK43" s="420"/>
      <c r="AL43" s="420"/>
      <c r="AM43" s="421"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8"/>
      <c r="AP43" s="118" t="str">
        <f aca="false">IF(T43="","",T43)</f>
        <v>Наименование тарифа</v>
      </c>
      <c r="AQ43" s="118"/>
      <c r="AR43" s="118"/>
      <c r="AS43" s="42" t="n">
        <v>21</v>
      </c>
    </row>
    <row r="44" customFormat="false" ht="21.75" hidden="false" customHeight="true" outlineLevel="0" collapsed="false">
      <c r="A44" s="412" t="s">
        <v>207</v>
      </c>
      <c r="B44" s="412" t="s">
        <v>208</v>
      </c>
      <c r="C44" s="412"/>
      <c r="D44" s="412"/>
      <c r="E44" s="413"/>
      <c r="F44" s="413" t="n">
        <v>1</v>
      </c>
      <c r="G44" s="412"/>
      <c r="H44" s="412"/>
      <c r="I44" s="412"/>
      <c r="J44" s="412"/>
      <c r="K44" s="412"/>
      <c r="L44" s="414"/>
      <c r="M44" s="40"/>
      <c r="N44" s="40"/>
      <c r="O44" s="40"/>
      <c r="P44" s="43"/>
      <c r="Q44" s="422"/>
      <c r="R44" s="423"/>
      <c r="S44" s="416" t="str">
        <f aca="false">INDEX(PT_DIFFERENTIATION_NUM_TER,MATCH(B44,PT_DIFFERENTIATION_TER_ID,0))</f>
        <v>.</v>
      </c>
      <c r="T44" s="424" t="s">
        <v>410</v>
      </c>
      <c r="U44" s="418"/>
      <c r="V44" s="419"/>
      <c r="W44" s="419"/>
      <c r="X44" s="419"/>
      <c r="Y44" s="419"/>
      <c r="Z44" s="419"/>
      <c r="AA44" s="419"/>
      <c r="AB44" s="419"/>
      <c r="AC44" s="419"/>
      <c r="AD44" s="420" t="str">
        <f aca="false">INDEX(PT_DIFFERENTIATION_TER,MATCH(B44,PT_DIFFERENTIATION_TER_ID,0))</f>
        <v/>
      </c>
      <c r="AE44" s="420"/>
      <c r="AF44" s="420"/>
      <c r="AG44" s="420"/>
      <c r="AH44" s="420"/>
      <c r="AI44" s="420"/>
      <c r="AJ44" s="420"/>
      <c r="AK44" s="420"/>
      <c r="AL44" s="420"/>
      <c r="AM44" s="421" t="s">
        <v>411</v>
      </c>
      <c r="AO44" s="118"/>
      <c r="AP44" s="118" t="str">
        <f aca="false">IF(T44="","",T44)</f>
        <v>Территория действия тарифа</v>
      </c>
      <c r="AQ44" s="118"/>
      <c r="AR44" s="118"/>
      <c r="AS44" s="42" t="n">
        <v>21</v>
      </c>
    </row>
    <row r="45" customFormat="false" ht="24" hidden="false" customHeight="true" outlineLevel="0" collapsed="false">
      <c r="A45" s="412" t="s">
        <v>207</v>
      </c>
      <c r="B45" s="412" t="s">
        <v>208</v>
      </c>
      <c r="C45" s="412" t="s">
        <v>209</v>
      </c>
      <c r="D45" s="412"/>
      <c r="E45" s="413"/>
      <c r="F45" s="413"/>
      <c r="G45" s="413" t="n">
        <v>1</v>
      </c>
      <c r="H45" s="412"/>
      <c r="I45" s="412"/>
      <c r="J45" s="412"/>
      <c r="K45" s="412"/>
      <c r="L45" s="414"/>
      <c r="M45" s="40"/>
      <c r="N45" s="40"/>
      <c r="O45" s="40"/>
      <c r="P45" s="425"/>
      <c r="Q45" s="422"/>
      <c r="R45" s="423"/>
      <c r="S45" s="416" t="str">
        <f aca="false">INDEX(PT_DIFFERENTIATION_NUM_CS,MATCH(C45,PT_DIFFERENTIATION_CS_ID,0))</f>
        <v>..</v>
      </c>
      <c r="T45" s="426" t="s">
        <v>412</v>
      </c>
      <c r="U45" s="418"/>
      <c r="V45" s="419"/>
      <c r="W45" s="419"/>
      <c r="X45" s="419"/>
      <c r="Y45" s="419"/>
      <c r="Z45" s="419"/>
      <c r="AA45" s="419"/>
      <c r="AB45" s="419"/>
      <c r="AC45" s="419"/>
      <c r="AD45" s="420" t="str">
        <f aca="false">INDEX(PT_DIFFERENTIATION_CS,MATCH(C45,PT_DIFFERENTIATION_CS_ID,0))</f>
        <v/>
      </c>
      <c r="AE45" s="420"/>
      <c r="AF45" s="420"/>
      <c r="AG45" s="420"/>
      <c r="AH45" s="420"/>
      <c r="AI45" s="420"/>
      <c r="AJ45" s="420"/>
      <c r="AK45" s="420"/>
      <c r="AL45" s="420"/>
      <c r="AM45" s="421" t="s">
        <v>413</v>
      </c>
      <c r="AO45" s="118"/>
      <c r="AP45" s="118" t="str">
        <f aca="false">IF(T45="","",T45)</f>
        <v>Наименование системы теплоснабжения</v>
      </c>
      <c r="AQ45" s="118"/>
      <c r="AR45" s="118"/>
      <c r="AS45" s="42" t="n">
        <v>23</v>
      </c>
    </row>
    <row r="46" customFormat="false" ht="21.75" hidden="false" customHeight="true" outlineLevel="0" collapsed="false">
      <c r="A46" s="412" t="s">
        <v>207</v>
      </c>
      <c r="B46" s="412" t="s">
        <v>208</v>
      </c>
      <c r="C46" s="412" t="s">
        <v>209</v>
      </c>
      <c r="D46" s="412" t="s">
        <v>210</v>
      </c>
      <c r="E46" s="413"/>
      <c r="F46" s="413"/>
      <c r="G46" s="413"/>
      <c r="H46" s="413" t="n">
        <v>1</v>
      </c>
      <c r="I46" s="412"/>
      <c r="J46" s="412"/>
      <c r="K46" s="412"/>
      <c r="L46" s="414"/>
      <c r="M46" s="40"/>
      <c r="N46" s="40"/>
      <c r="O46" s="40"/>
      <c r="P46" s="425"/>
      <c r="Q46" s="422"/>
      <c r="R46" s="423"/>
      <c r="S46" s="416" t="str">
        <f aca="false">INDEX(PT_DIFFERENTIATION_NUM_IST_TE,MATCH(D46,PT_DIFFERENTIATION_IST_TE_ID,0))</f>
        <v>...</v>
      </c>
      <c r="T46" s="427" t="s">
        <v>414</v>
      </c>
      <c r="U46" s="418"/>
      <c r="V46" s="419"/>
      <c r="W46" s="419"/>
      <c r="X46" s="419"/>
      <c r="Y46" s="419"/>
      <c r="Z46" s="419"/>
      <c r="AA46" s="419"/>
      <c r="AB46" s="419"/>
      <c r="AC46" s="419"/>
      <c r="AD46" s="420" t="str">
        <f aca="false">INDEX(PT_DIFFERENTIATION_IST_TE,MATCH(D46,PT_DIFFERENTIATION_IST_TE_ID,0))</f>
        <v/>
      </c>
      <c r="AE46" s="420"/>
      <c r="AF46" s="420"/>
      <c r="AG46" s="420"/>
      <c r="AH46" s="420"/>
      <c r="AI46" s="420"/>
      <c r="AJ46" s="420"/>
      <c r="AK46" s="420"/>
      <c r="AL46" s="420"/>
      <c r="AM46" s="421" t="s">
        <v>415</v>
      </c>
      <c r="AO46" s="118"/>
      <c r="AP46" s="118" t="str">
        <f aca="false">IF(T46="","",T46)</f>
        <v>Источник тепловой энергии</v>
      </c>
      <c r="AQ46" s="118"/>
      <c r="AR46" s="118"/>
      <c r="AS46" s="42" t="n">
        <v>21</v>
      </c>
    </row>
    <row r="47" customFormat="false" ht="49.5" hidden="false" customHeight="true" outlineLevel="0" collapsed="false">
      <c r="A47" s="412" t="s">
        <v>207</v>
      </c>
      <c r="B47" s="412" t="s">
        <v>208</v>
      </c>
      <c r="C47" s="412" t="s">
        <v>209</v>
      </c>
      <c r="D47" s="412" t="s">
        <v>210</v>
      </c>
      <c r="E47" s="413"/>
      <c r="F47" s="413"/>
      <c r="G47" s="413"/>
      <c r="H47" s="413"/>
      <c r="I47" s="428" t="str">
        <f aca="false">S46&amp;".1"</f>
        <v>....1</v>
      </c>
      <c r="J47" s="412"/>
      <c r="K47" s="412"/>
      <c r="L47" s="414" t="s">
        <v>416</v>
      </c>
      <c r="P47" s="121" t="n">
        <v>1</v>
      </c>
      <c r="Q47" s="121"/>
      <c r="R47" s="429"/>
      <c r="S47" s="416" t="str">
        <f aca="false">$I47</f>
        <v>....1</v>
      </c>
      <c r="T47" s="430" t="s">
        <v>417</v>
      </c>
      <c r="U47" s="418"/>
      <c r="V47" s="431"/>
      <c r="W47" s="431"/>
      <c r="X47" s="431"/>
      <c r="Y47" s="431"/>
      <c r="Z47" s="431"/>
      <c r="AA47" s="431"/>
      <c r="AB47" s="431"/>
      <c r="AC47" s="431"/>
      <c r="AD47" s="431"/>
      <c r="AE47" s="431"/>
      <c r="AF47" s="431"/>
      <c r="AG47" s="431"/>
      <c r="AH47" s="431"/>
      <c r="AI47" s="431"/>
      <c r="AJ47" s="431"/>
      <c r="AK47" s="431"/>
      <c r="AL47" s="431"/>
      <c r="AM47" s="421" t="s">
        <v>418</v>
      </c>
      <c r="AO47" s="118"/>
      <c r="AP47" s="118" t="str">
        <f aca="false">IF(T47="","",T47)</f>
        <v>Схема подключения теплопотребляющей установки к коллектору источника тепловой энергии</v>
      </c>
      <c r="AQ47" s="118"/>
      <c r="AR47" s="118"/>
      <c r="AS47" s="42" t="n">
        <v>47</v>
      </c>
    </row>
    <row r="48" customFormat="false" ht="21.75" hidden="false" customHeight="true" outlineLevel="0" collapsed="false">
      <c r="A48" s="412" t="s">
        <v>207</v>
      </c>
      <c r="B48" s="412" t="s">
        <v>208</v>
      </c>
      <c r="C48" s="412" t="s">
        <v>209</v>
      </c>
      <c r="D48" s="412" t="s">
        <v>210</v>
      </c>
      <c r="E48" s="413"/>
      <c r="F48" s="413"/>
      <c r="G48" s="413"/>
      <c r="H48" s="413"/>
      <c r="I48" s="428"/>
      <c r="J48" s="428" t="str">
        <f aca="false">I47&amp;".1"</f>
        <v>....1.1</v>
      </c>
      <c r="K48" s="412"/>
      <c r="L48" s="414" t="s">
        <v>419</v>
      </c>
      <c r="P48" s="121"/>
      <c r="Q48" s="121" t="n">
        <v>1</v>
      </c>
      <c r="R48" s="432"/>
      <c r="S48" s="416" t="str">
        <f aca="false">$J48</f>
        <v>....1.1</v>
      </c>
      <c r="T48" s="433" t="s">
        <v>420</v>
      </c>
      <c r="U48" s="418"/>
      <c r="V48" s="431"/>
      <c r="W48" s="431"/>
      <c r="X48" s="431"/>
      <c r="Y48" s="431"/>
      <c r="Z48" s="431"/>
      <c r="AA48" s="431"/>
      <c r="AB48" s="431"/>
      <c r="AC48" s="431"/>
      <c r="AD48" s="431"/>
      <c r="AE48" s="431"/>
      <c r="AF48" s="431"/>
      <c r="AG48" s="431"/>
      <c r="AH48" s="431"/>
      <c r="AI48" s="431"/>
      <c r="AJ48" s="431"/>
      <c r="AK48" s="431"/>
      <c r="AL48" s="431"/>
      <c r="AM48" s="421" t="s">
        <v>421</v>
      </c>
      <c r="AO48" s="118"/>
      <c r="AP48" s="118" t="str">
        <f aca="false">IF(T48="","",T48)</f>
        <v>Группа потребителей</v>
      </c>
      <c r="AQ48" s="118"/>
      <c r="AR48" s="118"/>
      <c r="AS48" s="42" t="n">
        <v>21</v>
      </c>
    </row>
    <row r="49" customFormat="false" ht="21.75" hidden="false" customHeight="true" outlineLevel="0" collapsed="false">
      <c r="A49" s="412" t="s">
        <v>207</v>
      </c>
      <c r="B49" s="412" t="s">
        <v>208</v>
      </c>
      <c r="C49" s="412" t="s">
        <v>209</v>
      </c>
      <c r="D49" s="412" t="s">
        <v>210</v>
      </c>
      <c r="E49" s="413"/>
      <c r="F49" s="413"/>
      <c r="G49" s="413"/>
      <c r="H49" s="413"/>
      <c r="I49" s="428"/>
      <c r="J49" s="428"/>
      <c r="K49" s="428" t="str">
        <f aca="false">J48&amp;".1"</f>
        <v>....1.1.1</v>
      </c>
      <c r="L49" s="414" t="s">
        <v>422</v>
      </c>
      <c r="P49" s="121"/>
      <c r="Q49" s="121"/>
      <c r="R49" s="432" t="n">
        <v>1</v>
      </c>
      <c r="S49" s="416" t="str">
        <f aca="false">$K49</f>
        <v>....1.1.1</v>
      </c>
      <c r="T49" s="434"/>
      <c r="U49" s="418"/>
      <c r="V49" s="436"/>
      <c r="W49" s="435"/>
      <c r="X49" s="436"/>
      <c r="Y49" s="497"/>
      <c r="Z49" s="438"/>
      <c r="AA49" s="204" t="s">
        <v>61</v>
      </c>
      <c r="AB49" s="438"/>
      <c r="AC49" s="204" t="s">
        <v>61</v>
      </c>
      <c r="AD49" s="436"/>
      <c r="AE49" s="435"/>
      <c r="AF49" s="436"/>
      <c r="AG49" s="497"/>
      <c r="AH49" s="438"/>
      <c r="AI49" s="204" t="s">
        <v>61</v>
      </c>
      <c r="AJ49" s="438"/>
      <c r="AK49" s="204" t="s">
        <v>61</v>
      </c>
      <c r="AL49" s="486"/>
      <c r="AM49" s="439" t="s">
        <v>423</v>
      </c>
      <c r="AN49" s="47" t="e">
        <f aca="false">strcheckdate(V50:AL50)</f>
        <v>#NAME?</v>
      </c>
      <c r="AO49" s="118"/>
      <c r="AP49" s="118" t="str">
        <f aca="false">IF(T49="","",T49)</f>
        <v/>
      </c>
      <c r="AQ49" s="118"/>
      <c r="AR49" s="118"/>
      <c r="AS49" s="42" t="n">
        <v>21</v>
      </c>
    </row>
    <row r="50" customFormat="false" ht="0.75" hidden="false" customHeight="true" outlineLevel="0" collapsed="false">
      <c r="A50" s="412" t="s">
        <v>207</v>
      </c>
      <c r="B50" s="412" t="s">
        <v>208</v>
      </c>
      <c r="C50" s="412" t="s">
        <v>209</v>
      </c>
      <c r="D50" s="412" t="s">
        <v>210</v>
      </c>
      <c r="E50" s="413"/>
      <c r="F50" s="413"/>
      <c r="G50" s="413"/>
      <c r="H50" s="413"/>
      <c r="I50" s="428"/>
      <c r="J50" s="428"/>
      <c r="K50" s="428"/>
      <c r="L50" s="414"/>
      <c r="P50" s="121"/>
      <c r="Q50" s="121"/>
      <c r="R50" s="432"/>
      <c r="S50" s="393"/>
      <c r="T50" s="418"/>
      <c r="U50" s="418"/>
      <c r="V50" s="436"/>
      <c r="W50" s="436"/>
      <c r="X50" s="436"/>
      <c r="Y50" s="440" t="str">
        <f aca="false">Z49&amp;"-"&amp;AB49</f>
        <v>-</v>
      </c>
      <c r="Z50" s="438"/>
      <c r="AA50" s="204"/>
      <c r="AB50" s="438"/>
      <c r="AC50" s="204"/>
      <c r="AD50" s="436"/>
      <c r="AE50" s="436"/>
      <c r="AF50" s="436"/>
      <c r="AG50" s="440" t="str">
        <f aca="false">AH49&amp;"-"&amp;AJ49</f>
        <v>-</v>
      </c>
      <c r="AH50" s="438"/>
      <c r="AI50" s="204"/>
      <c r="AJ50" s="438"/>
      <c r="AK50" s="204"/>
      <c r="AL50" s="487"/>
      <c r="AM50" s="439"/>
      <c r="AO50" s="118"/>
      <c r="AP50" s="118" t="str">
        <f aca="false">IF(T50="","",T50)</f>
        <v/>
      </c>
      <c r="AQ50" s="118"/>
      <c r="AR50" s="118"/>
      <c r="AS50" s="42" t="n">
        <v>1</v>
      </c>
    </row>
    <row r="51" customFormat="false" ht="11.25" hidden="false" customHeight="true" outlineLevel="0" collapsed="false">
      <c r="A51" s="412" t="s">
        <v>207</v>
      </c>
      <c r="B51" s="412" t="s">
        <v>208</v>
      </c>
      <c r="C51" s="412" t="s">
        <v>209</v>
      </c>
      <c r="D51" s="412" t="s">
        <v>210</v>
      </c>
      <c r="E51" s="413"/>
      <c r="F51" s="413"/>
      <c r="G51" s="413"/>
      <c r="H51" s="413"/>
      <c r="I51" s="428"/>
      <c r="J51" s="428"/>
      <c r="K51" s="412"/>
      <c r="L51" s="414"/>
      <c r="P51" s="121"/>
      <c r="Q51" s="121"/>
      <c r="R51" s="429"/>
      <c r="S51" s="441"/>
      <c r="T51" s="442" t="s">
        <v>424</v>
      </c>
      <c r="U51" s="194"/>
      <c r="V51" s="194"/>
      <c r="W51" s="194"/>
      <c r="X51" s="194"/>
      <c r="Y51" s="194"/>
      <c r="Z51" s="194"/>
      <c r="AA51" s="194"/>
      <c r="AB51" s="194"/>
      <c r="AC51" s="194"/>
      <c r="AD51" s="194"/>
      <c r="AE51" s="194"/>
      <c r="AF51" s="194"/>
      <c r="AG51" s="194"/>
      <c r="AH51" s="194"/>
      <c r="AI51" s="194"/>
      <c r="AJ51" s="194"/>
      <c r="AK51" s="194"/>
      <c r="AL51" s="443"/>
      <c r="AM51" s="439"/>
      <c r="AO51" s="118"/>
      <c r="AP51" s="118" t="str">
        <f aca="false">IF(T51="","",T51)</f>
        <v>Добавить вид теплоносителя (параметры теплоносителя)</v>
      </c>
      <c r="AQ51" s="118"/>
      <c r="AR51" s="118"/>
      <c r="AS51" s="42" t="n">
        <v>11</v>
      </c>
    </row>
    <row r="52" customFormat="false" ht="11.25" hidden="false" customHeight="true" outlineLevel="0" collapsed="false">
      <c r="A52" s="412" t="s">
        <v>207</v>
      </c>
      <c r="B52" s="412" t="s">
        <v>208</v>
      </c>
      <c r="C52" s="412" t="s">
        <v>209</v>
      </c>
      <c r="D52" s="412" t="s">
        <v>210</v>
      </c>
      <c r="E52" s="413"/>
      <c r="F52" s="413"/>
      <c r="G52" s="413"/>
      <c r="H52" s="413"/>
      <c r="I52" s="428"/>
      <c r="J52" s="412"/>
      <c r="K52" s="412"/>
      <c r="L52" s="414"/>
      <c r="P52" s="121"/>
      <c r="Q52" s="121"/>
      <c r="R52" s="429"/>
      <c r="S52" s="441"/>
      <c r="T52" s="444" t="s">
        <v>425</v>
      </c>
      <c r="U52" s="194"/>
      <c r="V52" s="194"/>
      <c r="W52" s="194"/>
      <c r="X52" s="194"/>
      <c r="Y52" s="194"/>
      <c r="Z52" s="194"/>
      <c r="AA52" s="194"/>
      <c r="AB52" s="194"/>
      <c r="AC52" s="445"/>
      <c r="AD52" s="194"/>
      <c r="AE52" s="194"/>
      <c r="AF52" s="194"/>
      <c r="AG52" s="194"/>
      <c r="AH52" s="194"/>
      <c r="AI52" s="194"/>
      <c r="AJ52" s="194"/>
      <c r="AK52" s="445"/>
      <c r="AL52" s="194"/>
      <c r="AM52" s="446"/>
      <c r="AO52" s="118"/>
      <c r="AP52" s="118" t="str">
        <f aca="false">IF(T52="","",T52)</f>
        <v>Добавить группу потребителей</v>
      </c>
      <c r="AQ52" s="118"/>
      <c r="AR52" s="118"/>
      <c r="AS52" s="42" t="n">
        <v>11</v>
      </c>
    </row>
    <row r="53" customFormat="false" ht="14.25" hidden="false" customHeight="true" outlineLevel="0" collapsed="false">
      <c r="A53" s="412" t="s">
        <v>207</v>
      </c>
      <c r="B53" s="412" t="s">
        <v>208</v>
      </c>
      <c r="C53" s="412" t="s">
        <v>209</v>
      </c>
      <c r="D53" s="412" t="s">
        <v>210</v>
      </c>
      <c r="E53" s="413"/>
      <c r="F53" s="413"/>
      <c r="G53" s="413"/>
      <c r="H53" s="413"/>
      <c r="I53" s="412"/>
      <c r="J53" s="412"/>
      <c r="K53" s="412"/>
      <c r="L53" s="414"/>
      <c r="M53" s="40"/>
      <c r="N53" s="40"/>
      <c r="O53" s="45"/>
      <c r="P53" s="132"/>
      <c r="Q53" s="447"/>
      <c r="R53" s="415"/>
      <c r="S53" s="441"/>
      <c r="T53" s="448" t="s">
        <v>426</v>
      </c>
      <c r="U53" s="194"/>
      <c r="V53" s="194"/>
      <c r="W53" s="194"/>
      <c r="X53" s="194"/>
      <c r="Y53" s="194"/>
      <c r="Z53" s="194"/>
      <c r="AA53" s="194"/>
      <c r="AB53" s="194"/>
      <c r="AC53" s="445"/>
      <c r="AD53" s="194"/>
      <c r="AE53" s="194"/>
      <c r="AF53" s="194"/>
      <c r="AG53" s="194"/>
      <c r="AH53" s="194"/>
      <c r="AI53" s="194"/>
      <c r="AJ53" s="194"/>
      <c r="AK53" s="445"/>
      <c r="AL53" s="194"/>
      <c r="AM53" s="446"/>
      <c r="AO53" s="118"/>
      <c r="AP53" s="118" t="str">
        <f aca="false">IF(T53="","",T53)</f>
        <v>Добавить схему подключения</v>
      </c>
      <c r="AQ53" s="118"/>
      <c r="AR53" s="118"/>
      <c r="AS53" s="42" t="n">
        <v>14</v>
      </c>
    </row>
    <row r="54" s="47" customFormat="true" ht="0.75" hidden="false" customHeight="true" outlineLevel="0" collapsed="false">
      <c r="A54" s="122" t="s">
        <v>207</v>
      </c>
      <c r="B54" s="122" t="s">
        <v>208</v>
      </c>
      <c r="C54" s="122" t="s">
        <v>209</v>
      </c>
      <c r="D54" s="122"/>
      <c r="E54" s="413"/>
      <c r="F54" s="413"/>
      <c r="G54" s="413"/>
      <c r="H54" s="122"/>
      <c r="I54" s="122"/>
      <c r="J54" s="122"/>
      <c r="K54" s="122"/>
      <c r="L54" s="192"/>
      <c r="M54" s="46"/>
      <c r="N54" s="46"/>
      <c r="P54" s="156"/>
      <c r="Q54" s="449"/>
      <c r="R54" s="156"/>
      <c r="S54" s="454"/>
      <c r="T54" s="457" t="s">
        <v>427</v>
      </c>
      <c r="U54" s="456"/>
      <c r="V54" s="456"/>
      <c r="W54" s="456"/>
      <c r="X54" s="456"/>
      <c r="Y54" s="456"/>
      <c r="Z54" s="456"/>
      <c r="AA54" s="456"/>
      <c r="AB54" s="456"/>
      <c r="AC54" s="456"/>
      <c r="AD54" s="456"/>
      <c r="AE54" s="456"/>
      <c r="AF54" s="456"/>
      <c r="AG54" s="456"/>
      <c r="AH54" s="456"/>
      <c r="AI54" s="456"/>
      <c r="AJ54" s="456"/>
      <c r="AK54" s="456"/>
      <c r="AL54" s="456"/>
      <c r="AM54" s="456"/>
      <c r="AO54" s="118"/>
      <c r="AP54" s="118" t="str">
        <f aca="false">IF(T54="","",T54)</f>
        <v>Добавить источник для дифференциации</v>
      </c>
      <c r="AQ54" s="118"/>
      <c r="AR54" s="118"/>
      <c r="AS54" s="47" t="n">
        <v>1</v>
      </c>
    </row>
    <row r="55" s="47" customFormat="true" ht="0.75" hidden="false" customHeight="true" outlineLevel="0" collapsed="false">
      <c r="A55" s="122" t="s">
        <v>207</v>
      </c>
      <c r="B55" s="122" t="s">
        <v>208</v>
      </c>
      <c r="C55" s="122"/>
      <c r="D55" s="122"/>
      <c r="E55" s="413"/>
      <c r="F55" s="413"/>
      <c r="G55" s="122"/>
      <c r="H55" s="122"/>
      <c r="I55" s="122"/>
      <c r="J55" s="122"/>
      <c r="K55" s="122"/>
      <c r="L55" s="192"/>
      <c r="M55" s="453"/>
      <c r="N55" s="453"/>
      <c r="P55" s="156"/>
      <c r="Q55" s="449"/>
      <c r="R55" s="156"/>
      <c r="S55" s="454"/>
      <c r="T55" s="457" t="s">
        <v>428</v>
      </c>
      <c r="U55" s="456"/>
      <c r="V55" s="456"/>
      <c r="W55" s="456"/>
      <c r="X55" s="456"/>
      <c r="Y55" s="456"/>
      <c r="Z55" s="456"/>
      <c r="AA55" s="456"/>
      <c r="AB55" s="456"/>
      <c r="AC55" s="456"/>
      <c r="AD55" s="456"/>
      <c r="AE55" s="456"/>
      <c r="AF55" s="456"/>
      <c r="AG55" s="456"/>
      <c r="AH55" s="456"/>
      <c r="AI55" s="456"/>
      <c r="AJ55" s="456"/>
      <c r="AK55" s="456"/>
      <c r="AL55" s="456"/>
      <c r="AM55" s="456"/>
      <c r="AO55" s="118"/>
      <c r="AP55" s="118" t="str">
        <f aca="false">IF(T55="","",T55)</f>
        <v>Добавить централизованную систему для дифференциации</v>
      </c>
      <c r="AQ55" s="118"/>
      <c r="AR55" s="118"/>
      <c r="AS55" s="47" t="n">
        <v>1</v>
      </c>
    </row>
    <row r="56" s="47" customFormat="true" ht="0.75" hidden="false" customHeight="true" outlineLevel="0" collapsed="false">
      <c r="A56" s="122" t="s">
        <v>207</v>
      </c>
      <c r="B56" s="122"/>
      <c r="C56" s="122"/>
      <c r="D56" s="122"/>
      <c r="E56" s="413"/>
      <c r="F56" s="122"/>
      <c r="G56" s="122"/>
      <c r="H56" s="122"/>
      <c r="I56" s="122"/>
      <c r="J56" s="122"/>
      <c r="K56" s="122"/>
      <c r="L56" s="192"/>
      <c r="M56" s="453"/>
      <c r="N56" s="453"/>
      <c r="P56" s="156"/>
      <c r="Q56" s="449"/>
      <c r="R56" s="156"/>
      <c r="S56" s="454"/>
      <c r="T56" s="457" t="s">
        <v>429</v>
      </c>
      <c r="U56" s="456"/>
      <c r="V56" s="456"/>
      <c r="W56" s="456"/>
      <c r="X56" s="456"/>
      <c r="Y56" s="456"/>
      <c r="Z56" s="456"/>
      <c r="AA56" s="456"/>
      <c r="AB56" s="456"/>
      <c r="AC56" s="456"/>
      <c r="AD56" s="456"/>
      <c r="AE56" s="456"/>
      <c r="AF56" s="456"/>
      <c r="AG56" s="456"/>
      <c r="AH56" s="456"/>
      <c r="AI56" s="456"/>
      <c r="AJ56" s="456"/>
      <c r="AK56" s="456"/>
      <c r="AL56" s="456"/>
      <c r="AM56" s="456"/>
      <c r="AO56" s="118"/>
      <c r="AP56" s="118" t="str">
        <f aca="false">IF(T56="","",T56)</f>
        <v>Добавить территорию для дифференциации</v>
      </c>
      <c r="AQ56" s="118"/>
      <c r="AR56" s="118"/>
      <c r="AS56" s="47" t="n">
        <v>1</v>
      </c>
    </row>
    <row r="57" s="47" customFormat="true" ht="0.75" hidden="false" customHeight="true" outlineLevel="0" collapsed="false">
      <c r="A57" s="122"/>
      <c r="B57" s="122"/>
      <c r="C57" s="122"/>
      <c r="D57" s="122"/>
      <c r="E57" s="122"/>
      <c r="F57" s="122"/>
      <c r="G57" s="122"/>
      <c r="H57" s="122"/>
      <c r="I57" s="122"/>
      <c r="J57" s="122"/>
      <c r="K57" s="122"/>
      <c r="L57" s="192"/>
      <c r="M57" s="453"/>
      <c r="N57" s="453"/>
      <c r="P57" s="156"/>
      <c r="Q57" s="449"/>
      <c r="R57" s="156"/>
      <c r="S57" s="454"/>
      <c r="T57" s="457" t="s">
        <v>461</v>
      </c>
      <c r="U57" s="456"/>
      <c r="V57" s="456"/>
      <c r="W57" s="456"/>
      <c r="X57" s="456"/>
      <c r="Y57" s="456"/>
      <c r="Z57" s="456"/>
      <c r="AA57" s="456"/>
      <c r="AB57" s="456"/>
      <c r="AC57" s="456"/>
      <c r="AD57" s="456"/>
      <c r="AE57" s="456"/>
      <c r="AF57" s="456"/>
      <c r="AG57" s="456"/>
      <c r="AH57" s="456"/>
      <c r="AI57" s="456"/>
      <c r="AJ57" s="456"/>
      <c r="AK57" s="456"/>
      <c r="AL57" s="456"/>
      <c r="AM57" s="456"/>
      <c r="AO57" s="118"/>
      <c r="AP57" s="118" t="str">
        <f aca="false">IF(T57="","",T57)</f>
        <v>Добавить наименование тарифа</v>
      </c>
      <c r="AQ57" s="118"/>
      <c r="AR57" s="118"/>
      <c r="AS57" s="47"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09"/>
      <c r="T59" s="488"/>
      <c r="U59" s="488"/>
      <c r="V59" s="488"/>
      <c r="W59" s="488"/>
      <c r="X59" s="488"/>
      <c r="Y59" s="488"/>
      <c r="Z59" s="488"/>
      <c r="AA59" s="488"/>
      <c r="AB59" s="488"/>
      <c r="AC59" s="488"/>
      <c r="AD59" s="488"/>
      <c r="AE59" s="488"/>
      <c r="AF59" s="488"/>
      <c r="AG59" s="488"/>
      <c r="AH59" s="488"/>
      <c r="AI59" s="488"/>
      <c r="AJ59" s="488"/>
      <c r="AK59" s="488"/>
      <c r="AL59" s="488"/>
      <c r="AM59" s="488"/>
      <c r="AS59" s="42" t="n">
        <v>27</v>
      </c>
    </row>
    <row r="60" customFormat="false" ht="78.75" hidden="false" customHeight="true" outlineLevel="0" collapsed="false">
      <c r="O60" s="45"/>
      <c r="T60" s="488"/>
      <c r="U60" s="488"/>
      <c r="V60" s="488"/>
      <c r="W60" s="488"/>
      <c r="X60" s="488"/>
      <c r="Y60" s="488"/>
      <c r="Z60" s="488"/>
      <c r="AA60" s="488"/>
      <c r="AB60" s="488"/>
      <c r="AC60" s="488"/>
      <c r="AD60" s="488"/>
      <c r="AE60" s="488"/>
      <c r="AF60" s="488"/>
      <c r="AG60" s="488"/>
      <c r="AH60" s="488"/>
      <c r="AI60" s="488"/>
      <c r="AJ60" s="488"/>
      <c r="AK60" s="488"/>
      <c r="AL60" s="488"/>
      <c r="AM60" s="488"/>
      <c r="AS60" s="42" t="n">
        <v>75</v>
      </c>
    </row>
    <row r="61" customFormat="false" ht="14.25" hidden="false" customHeight="true" outlineLevel="0" collapsed="false">
      <c r="O61" s="45"/>
      <c r="AS61" s="42" t="n">
        <v>14</v>
      </c>
    </row>
    <row r="62" customFormat="false" ht="18.75" hidden="false" customHeight="true" outlineLevel="0" collapsed="false">
      <c r="O62" s="45"/>
      <c r="S62" s="409"/>
      <c r="T62" s="488"/>
      <c r="U62" s="488"/>
      <c r="V62" s="488"/>
      <c r="W62" s="488"/>
      <c r="X62" s="488"/>
      <c r="Y62" s="488"/>
      <c r="Z62" s="488"/>
      <c r="AA62" s="488"/>
      <c r="AB62" s="488"/>
      <c r="AC62" s="488"/>
      <c r="AD62" s="488"/>
      <c r="AE62" s="488"/>
      <c r="AF62" s="488"/>
      <c r="AG62" s="488"/>
      <c r="AH62" s="488"/>
      <c r="AI62" s="488"/>
      <c r="AJ62" s="488"/>
      <c r="AK62" s="488"/>
      <c r="AL62" s="488"/>
      <c r="AM62" s="488"/>
      <c r="AS62" s="42" t="n">
        <v>18</v>
      </c>
    </row>
    <row r="63" customFormat="false" ht="18.75" hidden="false" customHeight="true" outlineLevel="0" collapsed="false">
      <c r="O63" s="45"/>
      <c r="T63" s="488"/>
      <c r="U63" s="488"/>
      <c r="V63" s="488"/>
      <c r="W63" s="488"/>
      <c r="X63" s="488"/>
      <c r="Y63" s="488"/>
      <c r="Z63" s="488"/>
      <c r="AA63" s="488"/>
      <c r="AB63" s="488"/>
      <c r="AC63" s="488"/>
      <c r="AD63" s="488"/>
      <c r="AE63" s="488"/>
      <c r="AF63" s="488"/>
      <c r="AG63" s="488"/>
      <c r="AH63" s="488"/>
      <c r="AI63" s="488"/>
      <c r="AJ63" s="488"/>
      <c r="AK63" s="488"/>
      <c r="AL63" s="488"/>
      <c r="AM63" s="488"/>
      <c r="AS63" s="42" t="n">
        <v>18</v>
      </c>
    </row>
    <row r="64" customFormat="false" ht="39.75" hidden="false" customHeight="true" outlineLevel="0" collapsed="false">
      <c r="O64" s="45"/>
      <c r="S64" s="409"/>
      <c r="T64" s="488"/>
      <c r="U64" s="488"/>
      <c r="V64" s="488"/>
      <c r="W64" s="488"/>
      <c r="X64" s="488"/>
      <c r="Y64" s="488"/>
      <c r="Z64" s="488"/>
      <c r="AA64" s="488"/>
      <c r="AB64" s="488"/>
      <c r="AC64" s="488"/>
      <c r="AD64" s="488"/>
      <c r="AE64" s="488"/>
      <c r="AF64" s="488"/>
      <c r="AG64" s="488"/>
      <c r="AH64" s="488"/>
      <c r="AI64" s="488"/>
      <c r="AJ64" s="488"/>
      <c r="AK64" s="488"/>
      <c r="AL64" s="488"/>
      <c r="AM64" s="488"/>
      <c r="AS64" s="42" t="n">
        <v>38</v>
      </c>
    </row>
    <row r="65" customFormat="false" ht="22.5" hidden="true" customHeight="true" outlineLevel="0" collapsed="false">
      <c r="A65" s="45" t="s">
        <v>81</v>
      </c>
      <c r="B65" s="45" t="n">
        <v>0</v>
      </c>
      <c r="C65" s="45" t="n">
        <v>0</v>
      </c>
      <c r="D65" s="45" t="n">
        <v>0</v>
      </c>
      <c r="E65" s="45" t="n">
        <v>0</v>
      </c>
      <c r="F65" s="45" t="n">
        <v>0</v>
      </c>
      <c r="G65" s="45" t="n">
        <v>0</v>
      </c>
      <c r="H65" s="45" t="n">
        <v>0</v>
      </c>
      <c r="I65" s="45" t="n">
        <v>0</v>
      </c>
      <c r="J65" s="45" t="n">
        <v>0</v>
      </c>
      <c r="K65" s="45" t="n">
        <v>0</v>
      </c>
      <c r="L65" s="44" t="n">
        <v>0</v>
      </c>
      <c r="M65" s="51" t="n">
        <v>0</v>
      </c>
      <c r="N65" s="51" t="n">
        <v>0</v>
      </c>
      <c r="O65" s="51" t="n">
        <v>0</v>
      </c>
      <c r="P65" s="50" t="n">
        <v>3</v>
      </c>
      <c r="Q65" s="411" t="n">
        <v>3</v>
      </c>
      <c r="R65" s="411" t="n">
        <v>3</v>
      </c>
      <c r="S65" s="75" t="n">
        <v>12</v>
      </c>
      <c r="T65" s="42" t="n">
        <v>31</v>
      </c>
      <c r="U65" s="42" t="n">
        <v>0</v>
      </c>
      <c r="V65" s="42" t="n">
        <v>0</v>
      </c>
      <c r="W65" s="42" t="n">
        <v>0</v>
      </c>
      <c r="X65" s="42" t="n">
        <v>0</v>
      </c>
      <c r="Y65" s="42" t="n">
        <v>0</v>
      </c>
      <c r="Z65" s="42" t="n">
        <v>0</v>
      </c>
      <c r="AA65" s="42" t="n">
        <v>0</v>
      </c>
      <c r="AB65" s="42" t="n">
        <v>0</v>
      </c>
      <c r="AC65" s="42" t="n">
        <v>0</v>
      </c>
      <c r="AD65" s="42" t="n">
        <v>0</v>
      </c>
      <c r="AE65" s="42" t="n">
        <v>24</v>
      </c>
      <c r="AF65" s="42" t="n">
        <v>0</v>
      </c>
      <c r="AG65" s="42" t="n">
        <v>0</v>
      </c>
      <c r="AH65" s="42" t="n">
        <v>11</v>
      </c>
      <c r="AI65" s="42" t="n">
        <v>3</v>
      </c>
      <c r="AJ65" s="42" t="n">
        <v>11</v>
      </c>
      <c r="AK65" s="42" t="n">
        <v>0</v>
      </c>
      <c r="AL65" s="42" t="n">
        <v>4</v>
      </c>
      <c r="AM65" s="42" t="n">
        <v>115</v>
      </c>
      <c r="AN65" s="47" t="n">
        <v>10</v>
      </c>
      <c r="AO65" s="47" t="n">
        <v>10</v>
      </c>
      <c r="AP65" s="47" t="n">
        <v>10</v>
      </c>
      <c r="AQ65" s="47" t="n">
        <v>10</v>
      </c>
      <c r="AR65" s="47" t="n">
        <v>10</v>
      </c>
      <c r="AS65" s="42" t="n">
        <v>23</v>
      </c>
    </row>
  </sheetData>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true" outlineLevel="0" max="16" min="16" style="50" width="3.71"/>
    <col collapsed="false" customWidth="true" hidden="false" outlineLevel="0" max="18" min="17" style="411" width="3"/>
    <col collapsed="false" customWidth="true" hidden="false" outlineLevel="0" max="19" min="19" style="75" width="12"/>
    <col collapsed="false" customWidth="true" hidden="false" outlineLevel="0" max="20" min="20" style="42" width="31"/>
    <col collapsed="false" customWidth="true" hidden="false" outlineLevel="0" max="21" min="21" style="42" width="0.14"/>
    <col collapsed="false" customWidth="true" hidden="true" outlineLevel="0" max="22" min="22" style="42" width="24.71"/>
    <col collapsed="false" customWidth="true" hidden="true" outlineLevel="0" max="23" min="23" style="42" width="0.14"/>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4"/>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7" width="10"/>
    <col collapsed="false" customWidth="true" hidden="true" outlineLevel="0" max="45" min="45" style="42" width="8.42"/>
  </cols>
  <sheetData>
    <row r="1" customFormat="false" ht="22.5" hidden="true" customHeight="true" outlineLevel="0" collapsed="false">
      <c r="AS1" s="42" t="s">
        <v>14</v>
      </c>
    </row>
    <row r="2" customFormat="false" ht="21" hidden="true" customHeight="true" outlineLevel="0" collapsed="false">
      <c r="A2" s="412"/>
      <c r="B2" s="412"/>
      <c r="C2" s="412"/>
      <c r="D2" s="412"/>
      <c r="E2" s="413" t="n">
        <v>1</v>
      </c>
      <c r="F2" s="412"/>
      <c r="G2" s="412"/>
      <c r="H2" s="412"/>
      <c r="I2" s="412"/>
      <c r="J2" s="412"/>
      <c r="K2" s="412"/>
      <c r="L2" s="414"/>
      <c r="M2" s="40"/>
      <c r="N2" s="40"/>
      <c r="O2" s="40"/>
      <c r="Q2" s="132"/>
      <c r="R2" s="415"/>
      <c r="S2" s="416" t="e">
        <f aca="false">INDEX(PT_DIFFERENTIATION_NUM_NTAR,MATCH(A2,PT_DIFFERENTIATION_NTAR_ID,0))</f>
        <v>#N/A</v>
      </c>
      <c r="T2" s="417" t="s">
        <v>138</v>
      </c>
      <c r="U2" s="418"/>
      <c r="V2" s="419"/>
      <c r="W2" s="419"/>
      <c r="X2" s="419"/>
      <c r="Y2" s="419"/>
      <c r="Z2" s="419"/>
      <c r="AA2" s="419"/>
      <c r="AB2" s="419"/>
      <c r="AC2" s="419"/>
      <c r="AD2" s="420" t="e">
        <f aca="false">INDEX(PT_DIFFERENTIATION_NTAR,MATCH(A2,PT_DIFFERENTIATION_NTAR_ID,0))</f>
        <v>#N/A</v>
      </c>
      <c r="AE2" s="420"/>
      <c r="AF2" s="420"/>
      <c r="AG2" s="420"/>
      <c r="AH2" s="420"/>
      <c r="AI2" s="420"/>
      <c r="AJ2" s="420"/>
      <c r="AK2" s="420"/>
      <c r="AL2" s="420"/>
      <c r="AM2" s="421" t="s">
        <v>409</v>
      </c>
      <c r="AO2" s="118"/>
      <c r="AP2" s="118" t="str">
        <f aca="false">IF(T2="","",T2)</f>
        <v>Наименование тарифа</v>
      </c>
      <c r="AQ2" s="118"/>
      <c r="AR2" s="118"/>
      <c r="AS2" s="42" t="n">
        <v>0</v>
      </c>
    </row>
    <row r="3" customFormat="false" ht="21" hidden="true" customHeight="true" outlineLevel="0" collapsed="false">
      <c r="A3" s="412"/>
      <c r="B3" s="412"/>
      <c r="C3" s="412"/>
      <c r="D3" s="412"/>
      <c r="E3" s="413"/>
      <c r="F3" s="413" t="n">
        <v>1</v>
      </c>
      <c r="G3" s="412"/>
      <c r="H3" s="412"/>
      <c r="I3" s="412"/>
      <c r="J3" s="412"/>
      <c r="K3" s="412"/>
      <c r="L3" s="414"/>
      <c r="M3" s="40"/>
      <c r="N3" s="40"/>
      <c r="O3" s="40"/>
      <c r="P3" s="43"/>
      <c r="Q3" s="422"/>
      <c r="R3" s="423"/>
      <c r="S3" s="416" t="e">
        <f aca="false">INDEX(PT_DIFFERENTIATION_NUM_TER,MATCH(B3,PT_DIFFERENTIATION_TER_ID,0))</f>
        <v>#N/A</v>
      </c>
      <c r="T3" s="424" t="s">
        <v>410</v>
      </c>
      <c r="U3" s="418"/>
      <c r="V3" s="419"/>
      <c r="W3" s="419"/>
      <c r="X3" s="419"/>
      <c r="Y3" s="419"/>
      <c r="Z3" s="419"/>
      <c r="AA3" s="419"/>
      <c r="AB3" s="419"/>
      <c r="AC3" s="419"/>
      <c r="AD3" s="420" t="e">
        <f aca="false">INDEX(PT_DIFFERENTIATION_TER,MATCH(B3,PT_DIFFERENTIATION_TER_ID,0))</f>
        <v>#N/A</v>
      </c>
      <c r="AE3" s="420"/>
      <c r="AF3" s="420"/>
      <c r="AG3" s="420"/>
      <c r="AH3" s="420"/>
      <c r="AI3" s="420"/>
      <c r="AJ3" s="420"/>
      <c r="AK3" s="420"/>
      <c r="AL3" s="420"/>
      <c r="AM3" s="421" t="s">
        <v>411</v>
      </c>
      <c r="AO3" s="118"/>
      <c r="AP3" s="118" t="str">
        <f aca="false">IF(T3="","",T3)</f>
        <v>Территория действия тарифа</v>
      </c>
      <c r="AQ3" s="118"/>
      <c r="AR3" s="118"/>
      <c r="AS3" s="42" t="n">
        <v>0</v>
      </c>
    </row>
    <row r="4" customFormat="false" ht="23.25" hidden="true" customHeight="true" outlineLevel="0" collapsed="false">
      <c r="A4" s="412"/>
      <c r="B4" s="412"/>
      <c r="C4" s="412"/>
      <c r="D4" s="412"/>
      <c r="E4" s="413"/>
      <c r="F4" s="413"/>
      <c r="G4" s="413" t="n">
        <v>1</v>
      </c>
      <c r="H4" s="412"/>
      <c r="I4" s="412"/>
      <c r="J4" s="412"/>
      <c r="K4" s="412"/>
      <c r="L4" s="414"/>
      <c r="M4" s="40"/>
      <c r="N4" s="40"/>
      <c r="O4" s="40"/>
      <c r="P4" s="425"/>
      <c r="Q4" s="422"/>
      <c r="R4" s="423"/>
      <c r="S4" s="416" t="e">
        <f aca="false">INDEX(PT_DIFFERENTIATION_NUM_CS,MATCH(C4,PT_DIFFERENTIATION_CS_ID,0))</f>
        <v>#N/A</v>
      </c>
      <c r="T4" s="426" t="s">
        <v>412</v>
      </c>
      <c r="U4" s="418"/>
      <c r="V4" s="419"/>
      <c r="W4" s="419"/>
      <c r="X4" s="419"/>
      <c r="Y4" s="419"/>
      <c r="Z4" s="419"/>
      <c r="AA4" s="419"/>
      <c r="AB4" s="419"/>
      <c r="AC4" s="419"/>
      <c r="AD4" s="420" t="e">
        <f aca="false">INDEX(PT_DIFFERENTIATION_CS,MATCH(C4,PT_DIFFERENTIATION_CS_ID,0))</f>
        <v>#N/A</v>
      </c>
      <c r="AE4" s="420"/>
      <c r="AF4" s="420"/>
      <c r="AG4" s="420"/>
      <c r="AH4" s="420"/>
      <c r="AI4" s="420"/>
      <c r="AJ4" s="420"/>
      <c r="AK4" s="420"/>
      <c r="AL4" s="420"/>
      <c r="AM4" s="421" t="s">
        <v>413</v>
      </c>
      <c r="AO4" s="118"/>
      <c r="AP4" s="118" t="str">
        <f aca="false">IF(T4="","",T4)</f>
        <v>Наименование системы теплоснабжения</v>
      </c>
      <c r="AQ4" s="118"/>
      <c r="AR4" s="118"/>
      <c r="AS4" s="42" t="n">
        <v>0</v>
      </c>
    </row>
    <row r="5" customFormat="false" ht="21" hidden="true" customHeight="true" outlineLevel="0" collapsed="false">
      <c r="A5" s="412"/>
      <c r="B5" s="412"/>
      <c r="C5" s="412"/>
      <c r="D5" s="412"/>
      <c r="E5" s="413"/>
      <c r="F5" s="413"/>
      <c r="G5" s="413"/>
      <c r="H5" s="413" t="n">
        <v>1</v>
      </c>
      <c r="I5" s="412"/>
      <c r="J5" s="412"/>
      <c r="K5" s="412"/>
      <c r="L5" s="414"/>
      <c r="M5" s="40"/>
      <c r="N5" s="40"/>
      <c r="O5" s="40"/>
      <c r="P5" s="425"/>
      <c r="Q5" s="422"/>
      <c r="R5" s="423"/>
      <c r="S5" s="416" t="e">
        <f aca="false">INDEX(PT_DIFFERENTIATION_NUM_IST_TE,MATCH(D5,PT_DIFFERENTIATION_IST_TE_ID,0))</f>
        <v>#N/A</v>
      </c>
      <c r="T5" s="427" t="s">
        <v>414</v>
      </c>
      <c r="U5" s="418"/>
      <c r="V5" s="419"/>
      <c r="W5" s="419"/>
      <c r="X5" s="419"/>
      <c r="Y5" s="419"/>
      <c r="Z5" s="419"/>
      <c r="AA5" s="419"/>
      <c r="AB5" s="419"/>
      <c r="AC5" s="419"/>
      <c r="AD5" s="420" t="e">
        <f aca="false">INDEX(PT_DIFFERENTIATION_IST_TE,MATCH(D5,PT_DIFFERENTIATION_IST_TE_ID,0))</f>
        <v>#N/A</v>
      </c>
      <c r="AE5" s="420"/>
      <c r="AF5" s="420"/>
      <c r="AG5" s="420"/>
      <c r="AH5" s="420"/>
      <c r="AI5" s="420"/>
      <c r="AJ5" s="420"/>
      <c r="AK5" s="420"/>
      <c r="AL5" s="420"/>
      <c r="AM5" s="421" t="s">
        <v>415</v>
      </c>
      <c r="AO5" s="118"/>
      <c r="AP5" s="118" t="str">
        <f aca="false">IF(T5="","",T5)</f>
        <v>Источник тепловой энергии</v>
      </c>
      <c r="AQ5" s="118"/>
      <c r="AR5" s="118"/>
      <c r="AS5" s="42" t="n">
        <v>0</v>
      </c>
    </row>
    <row r="6" customFormat="false" ht="14.25" hidden="true" customHeight="true" outlineLevel="0" collapsed="false">
      <c r="A6" s="412"/>
      <c r="B6" s="412"/>
      <c r="C6" s="412"/>
      <c r="D6" s="412"/>
      <c r="E6" s="413"/>
      <c r="F6" s="413"/>
      <c r="G6" s="413"/>
      <c r="H6" s="413"/>
      <c r="I6" s="428" t="e">
        <f aca="false">S5&amp;".1"</f>
        <v>#N/A</v>
      </c>
      <c r="J6" s="412"/>
      <c r="K6" s="412"/>
      <c r="L6" s="414" t="s">
        <v>416</v>
      </c>
      <c r="M6" s="45"/>
      <c r="P6" s="121" t="n">
        <v>1</v>
      </c>
      <c r="Q6" s="121"/>
      <c r="R6" s="429"/>
      <c r="S6" s="301"/>
      <c r="T6" s="498"/>
      <c r="U6" s="499"/>
      <c r="V6" s="500"/>
      <c r="W6" s="500"/>
      <c r="X6" s="500"/>
      <c r="Y6" s="500"/>
      <c r="Z6" s="500"/>
      <c r="AA6" s="500"/>
      <c r="AB6" s="500"/>
      <c r="AC6" s="500"/>
      <c r="AD6" s="500"/>
      <c r="AE6" s="500"/>
      <c r="AF6" s="500"/>
      <c r="AG6" s="500"/>
      <c r="AH6" s="500"/>
      <c r="AI6" s="500"/>
      <c r="AJ6" s="500"/>
      <c r="AK6" s="500"/>
      <c r="AL6" s="500"/>
      <c r="AM6" s="501"/>
      <c r="AO6" s="118"/>
      <c r="AP6" s="118" t="str">
        <f aca="false">IF(T6="","",T6)</f>
        <v/>
      </c>
      <c r="AQ6" s="118"/>
      <c r="AR6" s="118"/>
      <c r="AS6" s="42" t="n">
        <v>0</v>
      </c>
    </row>
    <row r="7" customFormat="false" ht="21" hidden="true" customHeight="true" outlineLevel="0" collapsed="false">
      <c r="A7" s="412"/>
      <c r="B7" s="412"/>
      <c r="C7" s="412"/>
      <c r="D7" s="412"/>
      <c r="E7" s="413"/>
      <c r="F7" s="413"/>
      <c r="G7" s="413"/>
      <c r="H7" s="413"/>
      <c r="I7" s="428"/>
      <c r="J7" s="428" t="e">
        <f aca="false">I6&amp;".1"</f>
        <v>#N/A</v>
      </c>
      <c r="K7" s="412"/>
      <c r="L7" s="414" t="s">
        <v>419</v>
      </c>
      <c r="M7" s="45"/>
      <c r="N7" s="45"/>
      <c r="P7" s="121"/>
      <c r="Q7" s="121" t="n">
        <v>1</v>
      </c>
      <c r="R7" s="432"/>
      <c r="S7" s="416" t="e">
        <f aca="false">$J7</f>
        <v>#N/A</v>
      </c>
      <c r="T7" s="433" t="s">
        <v>420</v>
      </c>
      <c r="U7" s="418"/>
      <c r="V7" s="431"/>
      <c r="W7" s="431"/>
      <c r="X7" s="431"/>
      <c r="Y7" s="431"/>
      <c r="Z7" s="431"/>
      <c r="AA7" s="431"/>
      <c r="AB7" s="431"/>
      <c r="AC7" s="431"/>
      <c r="AD7" s="431"/>
      <c r="AE7" s="431"/>
      <c r="AF7" s="431"/>
      <c r="AG7" s="431"/>
      <c r="AH7" s="431"/>
      <c r="AI7" s="431"/>
      <c r="AJ7" s="431"/>
      <c r="AK7" s="431"/>
      <c r="AL7" s="431"/>
      <c r="AM7" s="421" t="s">
        <v>421</v>
      </c>
      <c r="AO7" s="118"/>
      <c r="AP7" s="118" t="str">
        <f aca="false">IF(T7="","",T7)</f>
        <v>Группа потребителей</v>
      </c>
      <c r="AQ7" s="118"/>
      <c r="AR7" s="118"/>
      <c r="AS7" s="42" t="n">
        <v>0</v>
      </c>
    </row>
    <row r="8" customFormat="false" ht="21" hidden="true" customHeight="true" outlineLevel="0" collapsed="false">
      <c r="A8" s="412"/>
      <c r="B8" s="412"/>
      <c r="C8" s="412"/>
      <c r="D8" s="412"/>
      <c r="E8" s="413"/>
      <c r="F8" s="413"/>
      <c r="G8" s="413"/>
      <c r="H8" s="413"/>
      <c r="I8" s="428"/>
      <c r="J8" s="428"/>
      <c r="K8" s="428" t="e">
        <f aca="false">J7&amp;".1"</f>
        <v>#N/A</v>
      </c>
      <c r="L8" s="414" t="s">
        <v>422</v>
      </c>
      <c r="M8" s="45"/>
      <c r="N8" s="45"/>
      <c r="O8" s="45"/>
      <c r="P8" s="121"/>
      <c r="Q8" s="121"/>
      <c r="R8" s="432" t="n">
        <v>1</v>
      </c>
      <c r="S8" s="416" t="e">
        <f aca="false">$K8</f>
        <v>#N/A</v>
      </c>
      <c r="T8" s="434"/>
      <c r="U8" s="418"/>
      <c r="V8" s="435"/>
      <c r="W8" s="436"/>
      <c r="X8" s="435"/>
      <c r="Y8" s="437"/>
      <c r="Z8" s="438"/>
      <c r="AA8" s="204" t="s">
        <v>61</v>
      </c>
      <c r="AB8" s="438"/>
      <c r="AC8" s="204" t="s">
        <v>61</v>
      </c>
      <c r="AD8" s="435"/>
      <c r="AE8" s="436"/>
      <c r="AF8" s="435"/>
      <c r="AG8" s="437"/>
      <c r="AH8" s="438"/>
      <c r="AI8" s="204" t="s">
        <v>61</v>
      </c>
      <c r="AJ8" s="438"/>
      <c r="AK8" s="204" t="s">
        <v>61</v>
      </c>
      <c r="AL8" s="436"/>
      <c r="AM8" s="439" t="s">
        <v>423</v>
      </c>
      <c r="AN8" s="47" t="e">
        <f aca="false">strcheckdate(V9:AL9)</f>
        <v>#NAME?</v>
      </c>
      <c r="AO8" s="118"/>
      <c r="AP8" s="118" t="str">
        <f aca="false">IF(T8="","",T8)</f>
        <v/>
      </c>
      <c r="AQ8" s="118"/>
      <c r="AR8" s="118"/>
      <c r="AS8" s="42" t="n">
        <v>0</v>
      </c>
    </row>
    <row r="9" customFormat="false" ht="0.75" hidden="true" customHeight="true" outlineLevel="0" collapsed="false">
      <c r="A9" s="412"/>
      <c r="B9" s="412"/>
      <c r="C9" s="412"/>
      <c r="D9" s="412"/>
      <c r="E9" s="413"/>
      <c r="F9" s="413"/>
      <c r="G9" s="413"/>
      <c r="H9" s="413"/>
      <c r="I9" s="428"/>
      <c r="J9" s="428"/>
      <c r="K9" s="428"/>
      <c r="L9" s="414"/>
      <c r="M9" s="45"/>
      <c r="N9" s="45"/>
      <c r="O9" s="45"/>
      <c r="P9" s="121"/>
      <c r="Q9" s="121"/>
      <c r="R9" s="432"/>
      <c r="S9" s="393"/>
      <c r="T9" s="418"/>
      <c r="U9" s="418"/>
      <c r="V9" s="436"/>
      <c r="W9" s="436"/>
      <c r="X9" s="436"/>
      <c r="Y9" s="440" t="str">
        <f aca="false">Z8&amp;"-"&amp;AB8</f>
        <v>-</v>
      </c>
      <c r="Z9" s="438"/>
      <c r="AA9" s="204"/>
      <c r="AB9" s="438"/>
      <c r="AC9" s="204"/>
      <c r="AD9" s="436"/>
      <c r="AE9" s="436"/>
      <c r="AF9" s="436"/>
      <c r="AG9" s="440" t="str">
        <f aca="false">AH8&amp;"-"&amp;AJ8</f>
        <v>-</v>
      </c>
      <c r="AH9" s="438"/>
      <c r="AI9" s="204"/>
      <c r="AJ9" s="438"/>
      <c r="AK9" s="204"/>
      <c r="AL9" s="436"/>
      <c r="AM9" s="439"/>
      <c r="AO9" s="118"/>
      <c r="AP9" s="118" t="str">
        <f aca="false">IF(T9="","",T9)</f>
        <v/>
      </c>
      <c r="AQ9" s="118"/>
      <c r="AR9" s="118"/>
      <c r="AS9" s="42" t="n">
        <v>0</v>
      </c>
    </row>
    <row r="10" customFormat="false" ht="15" hidden="true" customHeight="true" outlineLevel="0" collapsed="false">
      <c r="A10" s="412"/>
      <c r="B10" s="412"/>
      <c r="C10" s="412"/>
      <c r="D10" s="412"/>
      <c r="E10" s="413"/>
      <c r="F10" s="413"/>
      <c r="G10" s="413"/>
      <c r="H10" s="413"/>
      <c r="I10" s="428"/>
      <c r="J10" s="428"/>
      <c r="K10" s="412"/>
      <c r="L10" s="414"/>
      <c r="M10" s="45"/>
      <c r="N10" s="45"/>
      <c r="P10" s="121"/>
      <c r="Q10" s="121"/>
      <c r="R10" s="429"/>
      <c r="S10" s="441"/>
      <c r="T10" s="444" t="s">
        <v>424</v>
      </c>
      <c r="U10" s="194"/>
      <c r="V10" s="194"/>
      <c r="W10" s="194"/>
      <c r="X10" s="194"/>
      <c r="Y10" s="194"/>
      <c r="Z10" s="194"/>
      <c r="AA10" s="194"/>
      <c r="AB10" s="194"/>
      <c r="AC10" s="194"/>
      <c r="AD10" s="194"/>
      <c r="AE10" s="194"/>
      <c r="AF10" s="194"/>
      <c r="AG10" s="194"/>
      <c r="AH10" s="194"/>
      <c r="AI10" s="194"/>
      <c r="AJ10" s="194"/>
      <c r="AK10" s="194"/>
      <c r="AL10" s="443"/>
      <c r="AM10" s="439"/>
      <c r="AO10" s="118"/>
      <c r="AP10" s="118" t="str">
        <f aca="false">IF(T10="","",T10)</f>
        <v>Добавить вид теплоносителя (параметры теплоносителя)</v>
      </c>
      <c r="AQ10" s="118"/>
      <c r="AR10" s="118"/>
      <c r="AS10" s="42" t="n">
        <v>0</v>
      </c>
    </row>
    <row r="11" customFormat="false" ht="15" hidden="true" customHeight="true" outlineLevel="0" collapsed="false">
      <c r="A11" s="412"/>
      <c r="B11" s="412"/>
      <c r="C11" s="412"/>
      <c r="D11" s="412"/>
      <c r="E11" s="413"/>
      <c r="F11" s="413"/>
      <c r="G11" s="413"/>
      <c r="H11" s="413"/>
      <c r="I11" s="428"/>
      <c r="J11" s="412"/>
      <c r="K11" s="412"/>
      <c r="L11" s="414"/>
      <c r="M11" s="45"/>
      <c r="P11" s="121"/>
      <c r="Q11" s="121"/>
      <c r="R11" s="429"/>
      <c r="S11" s="441"/>
      <c r="T11" s="448" t="s">
        <v>425</v>
      </c>
      <c r="U11" s="194"/>
      <c r="V11" s="194"/>
      <c r="W11" s="194"/>
      <c r="X11" s="194"/>
      <c r="Y11" s="194"/>
      <c r="Z11" s="194"/>
      <c r="AA11" s="194"/>
      <c r="AB11" s="194"/>
      <c r="AC11" s="445"/>
      <c r="AD11" s="194"/>
      <c r="AE11" s="194"/>
      <c r="AF11" s="194"/>
      <c r="AG11" s="194"/>
      <c r="AH11" s="194"/>
      <c r="AI11" s="194"/>
      <c r="AJ11" s="194"/>
      <c r="AK11" s="445"/>
      <c r="AL11" s="194"/>
      <c r="AM11" s="446"/>
      <c r="AO11" s="118"/>
      <c r="AP11" s="118" t="str">
        <f aca="false">IF(T11="","",T11)</f>
        <v>Добавить группу потребителей</v>
      </c>
      <c r="AQ11" s="118"/>
      <c r="AR11" s="118"/>
      <c r="AS11" s="42" t="n">
        <v>0</v>
      </c>
    </row>
    <row r="12" customFormat="false" ht="14.25" hidden="true" customHeight="true" outlineLevel="0" collapsed="false">
      <c r="A12" s="412"/>
      <c r="B12" s="412"/>
      <c r="C12" s="412"/>
      <c r="D12" s="412"/>
      <c r="E12" s="413"/>
      <c r="F12" s="413"/>
      <c r="G12" s="413"/>
      <c r="H12" s="413"/>
      <c r="I12" s="412"/>
      <c r="J12" s="412"/>
      <c r="K12" s="412"/>
      <c r="L12" s="414"/>
      <c r="M12" s="40"/>
      <c r="N12" s="40"/>
      <c r="O12" s="45"/>
      <c r="P12" s="132"/>
      <c r="Q12" s="447"/>
      <c r="R12" s="415"/>
      <c r="S12" s="502"/>
      <c r="T12" s="503"/>
      <c r="U12" s="504"/>
      <c r="V12" s="504"/>
      <c r="W12" s="504"/>
      <c r="X12" s="504"/>
      <c r="Y12" s="504"/>
      <c r="Z12" s="504"/>
      <c r="AA12" s="504"/>
      <c r="AB12" s="504"/>
      <c r="AC12" s="504"/>
      <c r="AD12" s="504"/>
      <c r="AE12" s="504"/>
      <c r="AF12" s="504"/>
      <c r="AG12" s="504"/>
      <c r="AH12" s="504"/>
      <c r="AI12" s="504"/>
      <c r="AJ12" s="504"/>
      <c r="AK12" s="504"/>
      <c r="AL12" s="504"/>
      <c r="AM12" s="505"/>
      <c r="AO12" s="118"/>
      <c r="AP12" s="118" t="str">
        <f aca="false">IF(T12="","",T12)</f>
        <v/>
      </c>
      <c r="AQ12" s="118"/>
      <c r="AR12" s="118"/>
      <c r="AS12" s="42" t="n">
        <v>0</v>
      </c>
    </row>
    <row r="13" s="47" customFormat="true" ht="0.75" hidden="true" customHeight="true" outlineLevel="0" collapsed="false">
      <c r="A13" s="122"/>
      <c r="B13" s="122"/>
      <c r="C13" s="122"/>
      <c r="D13" s="122"/>
      <c r="E13" s="413"/>
      <c r="F13" s="413"/>
      <c r="G13" s="413"/>
      <c r="H13" s="122"/>
      <c r="I13" s="122"/>
      <c r="J13" s="122"/>
      <c r="K13" s="122"/>
      <c r="L13" s="192"/>
      <c r="M13" s="46"/>
      <c r="N13" s="46"/>
      <c r="P13" s="156"/>
      <c r="Q13" s="449"/>
      <c r="R13" s="156"/>
      <c r="S13" s="450"/>
      <c r="T13" s="451" t="s">
        <v>427</v>
      </c>
      <c r="U13" s="452"/>
      <c r="V13" s="452"/>
      <c r="W13" s="452"/>
      <c r="X13" s="452"/>
      <c r="Y13" s="452"/>
      <c r="Z13" s="452"/>
      <c r="AA13" s="452"/>
      <c r="AB13" s="452"/>
      <c r="AC13" s="452"/>
      <c r="AD13" s="452"/>
      <c r="AE13" s="452"/>
      <c r="AF13" s="452"/>
      <c r="AG13" s="452"/>
      <c r="AH13" s="452"/>
      <c r="AI13" s="452"/>
      <c r="AJ13" s="452"/>
      <c r="AK13" s="452"/>
      <c r="AL13" s="452"/>
      <c r="AM13" s="452"/>
      <c r="AO13" s="118"/>
      <c r="AP13" s="118" t="str">
        <f aca="false">IF(T13="","",T13)</f>
        <v>Добавить источник для дифференциации</v>
      </c>
      <c r="AQ13" s="118"/>
      <c r="AR13" s="118"/>
      <c r="AS13" s="47" t="n">
        <v>0</v>
      </c>
    </row>
    <row r="14" s="47" customFormat="true" ht="0.75" hidden="true" customHeight="true" outlineLevel="0" collapsed="false">
      <c r="A14" s="122"/>
      <c r="B14" s="122"/>
      <c r="C14" s="122"/>
      <c r="D14" s="122"/>
      <c r="E14" s="413"/>
      <c r="F14" s="413"/>
      <c r="G14" s="122"/>
      <c r="H14" s="122"/>
      <c r="I14" s="122"/>
      <c r="J14" s="122"/>
      <c r="K14" s="122"/>
      <c r="L14" s="192"/>
      <c r="M14" s="453"/>
      <c r="N14" s="453"/>
      <c r="P14" s="156"/>
      <c r="Q14" s="449"/>
      <c r="R14" s="156"/>
      <c r="S14" s="454"/>
      <c r="T14" s="455" t="s">
        <v>428</v>
      </c>
      <c r="U14" s="456"/>
      <c r="V14" s="456"/>
      <c r="W14" s="456"/>
      <c r="X14" s="456"/>
      <c r="Y14" s="456"/>
      <c r="Z14" s="456"/>
      <c r="AA14" s="456"/>
      <c r="AB14" s="456"/>
      <c r="AC14" s="456"/>
      <c r="AD14" s="456"/>
      <c r="AE14" s="456"/>
      <c r="AF14" s="456"/>
      <c r="AG14" s="456"/>
      <c r="AH14" s="456"/>
      <c r="AI14" s="456"/>
      <c r="AJ14" s="456"/>
      <c r="AK14" s="456"/>
      <c r="AL14" s="456"/>
      <c r="AM14" s="456"/>
      <c r="AO14" s="118"/>
      <c r="AP14" s="118" t="str">
        <f aca="false">IF(T14="","",T14)</f>
        <v>Добавить централизованную систему для дифференциации</v>
      </c>
      <c r="AQ14" s="118"/>
      <c r="AR14" s="118"/>
      <c r="AS14" s="47" t="n">
        <v>0</v>
      </c>
    </row>
    <row r="15" s="47" customFormat="true" ht="0.75" hidden="true" customHeight="true" outlineLevel="0" collapsed="false">
      <c r="A15" s="122"/>
      <c r="B15" s="122"/>
      <c r="C15" s="122"/>
      <c r="D15" s="122"/>
      <c r="E15" s="413"/>
      <c r="F15" s="122"/>
      <c r="G15" s="122"/>
      <c r="H15" s="122"/>
      <c r="I15" s="122"/>
      <c r="J15" s="122"/>
      <c r="K15" s="122"/>
      <c r="L15" s="192"/>
      <c r="M15" s="453"/>
      <c r="N15" s="453"/>
      <c r="P15" s="156"/>
      <c r="Q15" s="449"/>
      <c r="R15" s="156"/>
      <c r="S15" s="454"/>
      <c r="T15" s="457" t="s">
        <v>429</v>
      </c>
      <c r="U15" s="456"/>
      <c r="V15" s="456"/>
      <c r="W15" s="456"/>
      <c r="X15" s="456"/>
      <c r="Y15" s="456"/>
      <c r="Z15" s="456"/>
      <c r="AA15" s="456"/>
      <c r="AB15" s="456"/>
      <c r="AC15" s="456"/>
      <c r="AD15" s="456"/>
      <c r="AE15" s="456"/>
      <c r="AF15" s="456"/>
      <c r="AG15" s="456"/>
      <c r="AH15" s="456"/>
      <c r="AI15" s="456"/>
      <c r="AJ15" s="456"/>
      <c r="AK15" s="456"/>
      <c r="AL15" s="456"/>
      <c r="AM15" s="456"/>
      <c r="AO15" s="118"/>
      <c r="AP15" s="118" t="str">
        <f aca="false">IF(T15="","",T15)</f>
        <v>Добавить территорию для дифференциации</v>
      </c>
      <c r="AQ15" s="118"/>
      <c r="AR15" s="118"/>
      <c r="AS15" s="47" t="n">
        <v>0</v>
      </c>
    </row>
    <row r="16" customFormat="false" ht="14.25" hidden="true" customHeight="true" outlineLevel="0" collapsed="false">
      <c r="AS16" s="42" t="n">
        <v>0</v>
      </c>
    </row>
    <row r="17" customFormat="false" ht="14.25" hidden="true" customHeight="true" outlineLevel="0" collapsed="false">
      <c r="AD17" s="458"/>
      <c r="AE17" s="458"/>
      <c r="AF17" s="458"/>
      <c r="AG17" s="459"/>
      <c r="AH17" s="460"/>
      <c r="AI17" s="461" t="s">
        <v>61</v>
      </c>
      <c r="AJ17" s="460"/>
      <c r="AK17" s="461" t="s">
        <v>61</v>
      </c>
      <c r="AS17" s="42" t="n">
        <v>0</v>
      </c>
    </row>
    <row r="18" customFormat="false" ht="14.25" hidden="true" customHeight="true" outlineLevel="0" collapsed="false">
      <c r="AD18" s="458"/>
      <c r="AE18" s="458"/>
      <c r="AF18" s="458"/>
      <c r="AG18" s="440" t="str">
        <f aca="false">AH17&amp;"-"&amp;AJ17</f>
        <v>-</v>
      </c>
      <c r="AH18" s="460"/>
      <c r="AI18" s="460"/>
      <c r="AJ18" s="460"/>
      <c r="AK18" s="460"/>
      <c r="AS18" s="42" t="n">
        <v>0</v>
      </c>
    </row>
    <row r="19" customFormat="false" ht="14.25" hidden="true" customHeight="true" outlineLevel="0" collapsed="false">
      <c r="AS19" s="42" t="n">
        <v>0</v>
      </c>
    </row>
    <row r="20" s="45" customFormat="true" ht="22.5" hidden="true" customHeight="true" outlineLevel="0" collapsed="false">
      <c r="L20" s="44"/>
      <c r="M20" s="51"/>
      <c r="N20" s="51"/>
      <c r="O20" s="462" t="s">
        <v>430</v>
      </c>
      <c r="P20" s="51"/>
      <c r="Q20" s="463"/>
      <c r="R20" s="463"/>
      <c r="S20" s="40"/>
      <c r="Z20" s="462"/>
      <c r="AB20" s="462"/>
      <c r="AH20" s="462"/>
      <c r="AJ20" s="462"/>
      <c r="AN20" s="47"/>
      <c r="AO20" s="47"/>
      <c r="AP20" s="47"/>
      <c r="AQ20" s="47"/>
      <c r="AR20" s="47"/>
      <c r="AS20" s="45" t="n">
        <v>0</v>
      </c>
    </row>
    <row r="21" s="45" customFormat="true" ht="14.25" hidden="true" customHeight="true" outlineLevel="0" collapsed="false">
      <c r="L21" s="44"/>
      <c r="M21" s="51"/>
      <c r="N21" s="51"/>
      <c r="O21" s="51"/>
      <c r="P21" s="51"/>
      <c r="Q21" s="463"/>
      <c r="R21" s="463"/>
      <c r="S21" s="40"/>
      <c r="AN21" s="47"/>
      <c r="AO21" s="47"/>
      <c r="AP21" s="47"/>
      <c r="AQ21" s="47"/>
      <c r="AR21" s="47"/>
      <c r="AS21" s="45" t="n">
        <v>0</v>
      </c>
    </row>
    <row r="22" s="45" customFormat="true" ht="14.25" hidden="true" customHeight="true" outlineLevel="0" collapsed="false">
      <c r="L22" s="44"/>
      <c r="M22" s="51"/>
      <c r="N22" s="51"/>
      <c r="O22" s="414" t="s">
        <v>431</v>
      </c>
      <c r="P22" s="51"/>
      <c r="Q22" s="463"/>
      <c r="R22" s="463"/>
      <c r="S22" s="40"/>
      <c r="T22" s="45" t="s">
        <v>432</v>
      </c>
      <c r="AA22" s="140" t="s">
        <v>433</v>
      </c>
      <c r="AC22" s="140" t="s">
        <v>434</v>
      </c>
      <c r="AD22" s="45" t="s">
        <v>432</v>
      </c>
      <c r="AI22" s="140" t="s">
        <v>435</v>
      </c>
      <c r="AK22" s="140" t="s">
        <v>434</v>
      </c>
      <c r="AN22" s="47"/>
      <c r="AO22" s="47"/>
      <c r="AP22" s="47"/>
      <c r="AQ22" s="47"/>
      <c r="AR22" s="47"/>
      <c r="AS22" s="45" t="n">
        <v>0</v>
      </c>
    </row>
    <row r="23" customFormat="false" ht="14.25" hidden="true" customHeight="true" outlineLevel="0" collapsed="false">
      <c r="O23" s="414"/>
      <c r="AS23" s="42" t="n">
        <v>0</v>
      </c>
    </row>
    <row r="24" customFormat="false" ht="14.25" hidden="true" customHeight="true" outlineLevel="0" collapsed="false">
      <c r="O24" s="414"/>
      <c r="AS24" s="42" t="n">
        <v>0</v>
      </c>
    </row>
    <row r="25" customFormat="false" ht="14.25" hidden="false" customHeight="true" outlineLevel="0" collapsed="false">
      <c r="Q25" s="464"/>
      <c r="R25" s="464"/>
      <c r="S25" s="465"/>
      <c r="T25" s="80"/>
      <c r="U25" s="80"/>
      <c r="AS25" s="42" t="n">
        <v>14</v>
      </c>
    </row>
    <row r="26" customFormat="false" ht="63" hidden="false" customHeight="true" outlineLevel="0" collapsed="false">
      <c r="Q26" s="464"/>
      <c r="R26" s="464"/>
      <c r="S26" s="220"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
      <c r="U26" s="220"/>
      <c r="V26" s="220"/>
      <c r="W26" s="220"/>
      <c r="X26" s="220"/>
      <c r="Y26" s="220"/>
      <c r="Z26" s="220"/>
      <c r="AA26" s="220"/>
      <c r="AB26" s="220"/>
      <c r="AC26" s="220"/>
      <c r="AD26" s="220"/>
      <c r="AE26" s="220"/>
      <c r="AF26" s="220"/>
      <c r="AG26" s="220"/>
      <c r="AH26" s="220"/>
      <c r="AI26" s="220"/>
      <c r="AJ26" s="220"/>
      <c r="AK26" s="222"/>
      <c r="AS26" s="42" t="n">
        <v>60</v>
      </c>
    </row>
    <row r="27" customFormat="false" ht="14.25" hidden="false" customHeight="true" outlineLevel="0" collapsed="false">
      <c r="Q27" s="464"/>
      <c r="R27" s="464"/>
      <c r="S27" s="261" t="str">
        <f aca="false">IF(org=0,"Не определено",org)</f>
        <v>ООО "Газпром теплоэнерго Ярославль"</v>
      </c>
      <c r="T27" s="261"/>
      <c r="U27" s="261"/>
      <c r="V27" s="261"/>
      <c r="W27" s="261"/>
      <c r="X27" s="261"/>
      <c r="Y27" s="261"/>
      <c r="Z27" s="261"/>
      <c r="AA27" s="261"/>
      <c r="AB27" s="261"/>
      <c r="AC27" s="261"/>
      <c r="AD27" s="261"/>
      <c r="AE27" s="261"/>
      <c r="AF27" s="261"/>
      <c r="AG27" s="261"/>
      <c r="AH27" s="261"/>
      <c r="AI27" s="261"/>
      <c r="AJ27" s="261"/>
      <c r="AK27" s="222"/>
      <c r="AS27" s="42" t="n">
        <v>14</v>
      </c>
    </row>
    <row r="28" customFormat="false" ht="14.25" hidden="true" customHeight="true" outlineLevel="0" collapsed="false">
      <c r="Q28" s="464"/>
      <c r="R28" s="464"/>
      <c r="S28" s="465"/>
      <c r="T28" s="80"/>
      <c r="U28" s="80"/>
      <c r="V28" s="466"/>
      <c r="W28" s="466"/>
      <c r="X28" s="466"/>
      <c r="Y28" s="466"/>
      <c r="Z28" s="466"/>
      <c r="AA28" s="466"/>
      <c r="AB28" s="466"/>
      <c r="AC28" s="466"/>
      <c r="AD28" s="466"/>
      <c r="AE28" s="466"/>
      <c r="AF28" s="466"/>
      <c r="AG28" s="466"/>
      <c r="AH28" s="466"/>
      <c r="AI28" s="466"/>
      <c r="AJ28" s="466"/>
      <c r="AK28" s="466"/>
      <c r="AS28" s="42" t="n">
        <v>0</v>
      </c>
    </row>
    <row r="29" s="175" customFormat="true" ht="25.5" hidden="true" customHeight="true" outlineLevel="0" collapsed="false">
      <c r="A29" s="140"/>
      <c r="B29" s="140"/>
      <c r="C29" s="140"/>
      <c r="D29" s="140"/>
      <c r="E29" s="140"/>
      <c r="F29" s="140"/>
      <c r="G29" s="140"/>
      <c r="H29" s="140"/>
      <c r="I29" s="140"/>
      <c r="J29" s="140"/>
      <c r="K29" s="140"/>
      <c r="L29" s="414"/>
      <c r="M29" s="140"/>
      <c r="N29" s="140"/>
      <c r="O29" s="140"/>
      <c r="S29" s="467" t="s">
        <v>40</v>
      </c>
      <c r="T29" s="467"/>
      <c r="U29" s="468"/>
      <c r="V29" s="469" t="str">
        <f aca="false">IF(TITLE_NAME_OR_PR_CHANGE="",IF(TITLE_NAME_OR_PR="","",TITLE_NAME_OR_PR),TITLE_NAME_OR_PR_CHANGE)</f>
        <v/>
      </c>
      <c r="W29" s="469"/>
      <c r="X29" s="469"/>
      <c r="Y29" s="469"/>
      <c r="Z29" s="469"/>
      <c r="AA29" s="469"/>
      <c r="AB29" s="469"/>
      <c r="AC29" s="42"/>
      <c r="AD29" s="469" t="str">
        <f aca="false">IF(TITLE_NAME_OR_PR_CHANGE="",IF(TITLE_NAME_OR_PR="","",TITLE_NAME_OR_PR),TITLE_NAME_OR_PR_CHANGE)</f>
        <v/>
      </c>
      <c r="AE29" s="469"/>
      <c r="AF29" s="469"/>
      <c r="AG29" s="469"/>
      <c r="AH29" s="469"/>
      <c r="AI29" s="469"/>
      <c r="AJ29" s="469"/>
      <c r="AK29" s="42"/>
      <c r="AL29" s="42"/>
      <c r="AM29" s="470"/>
      <c r="AN29" s="118"/>
      <c r="AO29" s="118"/>
      <c r="AP29" s="118"/>
      <c r="AQ29" s="118"/>
      <c r="AR29" s="118"/>
      <c r="AS29" s="175" t="n">
        <v>0</v>
      </c>
    </row>
    <row r="30" s="175" customFormat="true" ht="18.75" hidden="true" customHeight="true" outlineLevel="0" collapsed="false">
      <c r="A30" s="140"/>
      <c r="B30" s="140"/>
      <c r="C30" s="140"/>
      <c r="D30" s="140"/>
      <c r="E30" s="140"/>
      <c r="F30" s="140"/>
      <c r="G30" s="140"/>
      <c r="H30" s="140"/>
      <c r="I30" s="140"/>
      <c r="J30" s="140"/>
      <c r="K30" s="140"/>
      <c r="L30" s="414"/>
      <c r="M30" s="140"/>
      <c r="N30" s="140"/>
      <c r="O30" s="140"/>
      <c r="S30" s="467" t="s">
        <v>436</v>
      </c>
      <c r="T30" s="467"/>
      <c r="U30" s="468"/>
      <c r="V30" s="471" t="str">
        <f aca="false">IF(TITLE_DATE_PR_CHANGE="",IF(TITLE_DATE_PR="","",TITLE_DATE_PR),TITLE_DATE_PR_CHANGE)</f>
        <v/>
      </c>
      <c r="W30" s="471"/>
      <c r="X30" s="471"/>
      <c r="Y30" s="471"/>
      <c r="Z30" s="471"/>
      <c r="AA30" s="471"/>
      <c r="AB30" s="471"/>
      <c r="AC30" s="42"/>
      <c r="AD30" s="471" t="str">
        <f aca="false">IF(TITLE_DATE_PR_CHANGE="",IF(TITLE_DATE_PR="","",TITLE_DATE_PR),TITLE_DATE_PR_CHANGE)</f>
        <v/>
      </c>
      <c r="AE30" s="471"/>
      <c r="AF30" s="471"/>
      <c r="AG30" s="471"/>
      <c r="AH30" s="471"/>
      <c r="AI30" s="471"/>
      <c r="AJ30" s="471"/>
      <c r="AK30" s="42"/>
      <c r="AL30" s="42"/>
      <c r="AM30" s="470"/>
      <c r="AN30" s="118"/>
      <c r="AO30" s="118"/>
      <c r="AP30" s="118"/>
      <c r="AQ30" s="118"/>
      <c r="AR30" s="118"/>
      <c r="AS30" s="175" t="n">
        <v>0</v>
      </c>
    </row>
    <row r="31" s="175" customFormat="true" ht="18.75" hidden="true" customHeight="true" outlineLevel="0" collapsed="false">
      <c r="A31" s="140"/>
      <c r="B31" s="140"/>
      <c r="C31" s="140"/>
      <c r="D31" s="140"/>
      <c r="E31" s="140"/>
      <c r="F31" s="140"/>
      <c r="G31" s="140"/>
      <c r="H31" s="140"/>
      <c r="I31" s="140"/>
      <c r="J31" s="140"/>
      <c r="K31" s="140"/>
      <c r="L31" s="414"/>
      <c r="M31" s="140"/>
      <c r="N31" s="140"/>
      <c r="O31" s="140"/>
      <c r="S31" s="467" t="s">
        <v>437</v>
      </c>
      <c r="T31" s="467"/>
      <c r="U31" s="468"/>
      <c r="V31" s="469" t="str">
        <f aca="false">IF(TITLE_NUMBER_PR_CHANGE="",IF(TITLE_NUMBER_PR="","",TITLE_NUMBER_PR),TITLE_NUMBER_PR_CHANGE)</f>
        <v/>
      </c>
      <c r="W31" s="469"/>
      <c r="X31" s="469"/>
      <c r="Y31" s="469"/>
      <c r="Z31" s="469"/>
      <c r="AA31" s="469"/>
      <c r="AB31" s="469"/>
      <c r="AC31" s="42"/>
      <c r="AD31" s="469" t="str">
        <f aca="false">IF(TITLE_NUMBER_PR_CHANGE="",IF(TITLE_NUMBER_PR="","",TITLE_NUMBER_PR),TITLE_NUMBER_PR_CHANGE)</f>
        <v/>
      </c>
      <c r="AE31" s="469"/>
      <c r="AF31" s="469"/>
      <c r="AG31" s="469"/>
      <c r="AH31" s="469"/>
      <c r="AI31" s="469"/>
      <c r="AJ31" s="469"/>
      <c r="AK31" s="42"/>
      <c r="AL31" s="42"/>
      <c r="AM31" s="470"/>
      <c r="AN31" s="118"/>
      <c r="AO31" s="118"/>
      <c r="AP31" s="118"/>
      <c r="AQ31" s="118"/>
      <c r="AR31" s="118"/>
      <c r="AS31" s="175" t="n">
        <v>0</v>
      </c>
    </row>
    <row r="32" s="175" customFormat="true" ht="18.75" hidden="true" customHeight="true" outlineLevel="0" collapsed="false">
      <c r="A32" s="140"/>
      <c r="B32" s="140"/>
      <c r="C32" s="140"/>
      <c r="D32" s="140"/>
      <c r="E32" s="140"/>
      <c r="F32" s="140"/>
      <c r="G32" s="140"/>
      <c r="H32" s="140"/>
      <c r="I32" s="140"/>
      <c r="J32" s="140"/>
      <c r="K32" s="140"/>
      <c r="L32" s="414"/>
      <c r="M32" s="140"/>
      <c r="N32" s="140"/>
      <c r="O32" s="140"/>
      <c r="S32" s="467" t="s">
        <v>41</v>
      </c>
      <c r="T32" s="467"/>
      <c r="U32" s="468"/>
      <c r="V32" s="469" t="str">
        <f aca="false">IF(TITLE_IST_PUB_CHANGE="",IF(TITLE_IST_PUB="","",TITLE_IST_PUB),TITLE_IST_PUB_CHANGE)</f>
        <v/>
      </c>
      <c r="W32" s="469"/>
      <c r="X32" s="469"/>
      <c r="Y32" s="469"/>
      <c r="Z32" s="469"/>
      <c r="AA32" s="469"/>
      <c r="AB32" s="469"/>
      <c r="AC32" s="42"/>
      <c r="AD32" s="469" t="str">
        <f aca="false">IF(TITLE_IST_PUB_CHANGE="",IF(TITLE_IST_PUB="","",TITLE_IST_PUB),TITLE_IST_PUB_CHANGE)</f>
        <v/>
      </c>
      <c r="AE32" s="469"/>
      <c r="AF32" s="469"/>
      <c r="AG32" s="469"/>
      <c r="AH32" s="469"/>
      <c r="AI32" s="469"/>
      <c r="AJ32" s="469"/>
      <c r="AK32" s="42"/>
      <c r="AL32" s="42"/>
      <c r="AM32" s="470"/>
      <c r="AN32" s="118"/>
      <c r="AO32" s="118"/>
      <c r="AP32" s="118"/>
      <c r="AQ32" s="118"/>
      <c r="AR32" s="118"/>
      <c r="AS32" s="175" t="n">
        <v>0</v>
      </c>
    </row>
    <row r="33" customFormat="false" ht="14.25" hidden="true" customHeight="true" outlineLevel="0" collapsed="false">
      <c r="Q33" s="464"/>
      <c r="R33" s="464"/>
      <c r="S33" s="465"/>
      <c r="T33" s="80"/>
      <c r="U33" s="80"/>
      <c r="V33" s="466"/>
      <c r="W33" s="466"/>
      <c r="X33" s="466"/>
      <c r="Y33" s="466"/>
      <c r="Z33" s="466"/>
      <c r="AA33" s="466"/>
      <c r="AB33" s="466"/>
      <c r="AC33" s="466"/>
      <c r="AD33" s="466"/>
      <c r="AE33" s="466"/>
      <c r="AF33" s="466"/>
      <c r="AG33" s="466"/>
      <c r="AH33" s="466"/>
      <c r="AI33" s="466"/>
      <c r="AJ33" s="466"/>
      <c r="AK33" s="466"/>
      <c r="AS33" s="42" t="n">
        <v>0</v>
      </c>
    </row>
    <row r="34" s="175" customFormat="true" ht="18.75" hidden="true" customHeight="true" outlineLevel="0" collapsed="false">
      <c r="A34" s="140"/>
      <c r="B34" s="140"/>
      <c r="C34" s="140"/>
      <c r="D34" s="140"/>
      <c r="E34" s="140"/>
      <c r="F34" s="140"/>
      <c r="G34" s="140"/>
      <c r="H34" s="140"/>
      <c r="I34" s="140"/>
      <c r="J34" s="140"/>
      <c r="K34" s="140"/>
      <c r="L34" s="414"/>
      <c r="M34" s="140"/>
      <c r="N34" s="140"/>
      <c r="O34" s="140"/>
      <c r="S34" s="467" t="s">
        <v>438</v>
      </c>
      <c r="T34" s="467"/>
      <c r="U34" s="468"/>
      <c r="V34" s="471" t="str">
        <f aca="false">IF(TITLE_DATE_PR_CHANGE="",IF(TITLE_DATE_PR="","",TITLE_DATE_PR),TITLE_DATE_PR_CHANGE)</f>
        <v/>
      </c>
      <c r="W34" s="471"/>
      <c r="X34" s="471"/>
      <c r="Y34" s="471"/>
      <c r="Z34" s="471"/>
      <c r="AA34" s="471"/>
      <c r="AB34" s="471"/>
      <c r="AC34" s="42"/>
      <c r="AD34" s="471" t="str">
        <f aca="false">IF(TITLE_DATE_PR_CHANGE="",IF(TITLE_DATE_PR="","",TITLE_DATE_PR),TITLE_DATE_PR_CHANGE)</f>
        <v/>
      </c>
      <c r="AE34" s="471"/>
      <c r="AF34" s="471"/>
      <c r="AG34" s="471"/>
      <c r="AH34" s="471"/>
      <c r="AI34" s="471"/>
      <c r="AJ34" s="471"/>
      <c r="AK34" s="42"/>
      <c r="AL34" s="42"/>
      <c r="AM34" s="470"/>
      <c r="AN34" s="118"/>
      <c r="AO34" s="118"/>
      <c r="AP34" s="118"/>
      <c r="AQ34" s="118"/>
      <c r="AR34" s="118"/>
      <c r="AS34" s="175" t="n">
        <v>0</v>
      </c>
    </row>
    <row r="35" s="175" customFormat="true" ht="18.75" hidden="true" customHeight="true" outlineLevel="0" collapsed="false">
      <c r="A35" s="140"/>
      <c r="B35" s="140"/>
      <c r="C35" s="140"/>
      <c r="D35" s="140"/>
      <c r="E35" s="140"/>
      <c r="F35" s="140"/>
      <c r="G35" s="140"/>
      <c r="H35" s="140"/>
      <c r="I35" s="140"/>
      <c r="J35" s="140"/>
      <c r="K35" s="140"/>
      <c r="L35" s="414"/>
      <c r="M35" s="140"/>
      <c r="N35" s="140"/>
      <c r="O35" s="140"/>
      <c r="S35" s="467" t="s">
        <v>439</v>
      </c>
      <c r="T35" s="467"/>
      <c r="U35" s="468"/>
      <c r="V35" s="469" t="str">
        <f aca="false">IF(TITLE_NUMBER_PR_CHANGE="",IF(TITLE_NUMBER_PR="","",TITLE_NUMBER_PR),TITLE_NUMBER_PR_CHANGE)</f>
        <v/>
      </c>
      <c r="W35" s="469"/>
      <c r="X35" s="469"/>
      <c r="Y35" s="469"/>
      <c r="Z35" s="469"/>
      <c r="AA35" s="469"/>
      <c r="AB35" s="469"/>
      <c r="AC35" s="42"/>
      <c r="AD35" s="469" t="str">
        <f aca="false">IF(TITLE_NUMBER_PR_CHANGE="",IF(TITLE_NUMBER_PR="","",TITLE_NUMBER_PR),TITLE_NUMBER_PR_CHANGE)</f>
        <v/>
      </c>
      <c r="AE35" s="469"/>
      <c r="AF35" s="469"/>
      <c r="AG35" s="469"/>
      <c r="AH35" s="469"/>
      <c r="AI35" s="469"/>
      <c r="AJ35" s="469"/>
      <c r="AK35" s="42"/>
      <c r="AL35" s="42"/>
      <c r="AM35" s="470"/>
      <c r="AN35" s="118"/>
      <c r="AO35" s="118"/>
      <c r="AP35" s="118"/>
      <c r="AQ35" s="118"/>
      <c r="AR35" s="118"/>
      <c r="AS35" s="175" t="n">
        <v>0</v>
      </c>
    </row>
    <row r="36" s="175" customFormat="true" ht="12.8" hidden="false" customHeight="false" outlineLevel="0" collapsed="false">
      <c r="A36" s="140"/>
      <c r="B36" s="140"/>
      <c r="C36" s="140"/>
      <c r="D36" s="140"/>
      <c r="E36" s="140"/>
      <c r="F36" s="140"/>
      <c r="G36" s="140"/>
      <c r="H36" s="140"/>
      <c r="I36" s="140"/>
      <c r="J36" s="140"/>
      <c r="K36" s="140"/>
      <c r="L36" s="414"/>
      <c r="M36" s="140"/>
      <c r="N36" s="140"/>
      <c r="O36" s="140"/>
      <c r="S36" s="42"/>
      <c r="T36" s="42"/>
      <c r="U36" s="128"/>
      <c r="V36" s="42"/>
      <c r="W36" s="42"/>
      <c r="X36" s="42"/>
      <c r="Y36" s="42"/>
      <c r="Z36" s="42"/>
      <c r="AA36" s="42"/>
      <c r="AB36" s="42"/>
      <c r="AC36" s="47" t="s">
        <v>440</v>
      </c>
      <c r="AD36" s="42"/>
      <c r="AE36" s="42"/>
      <c r="AF36" s="42"/>
      <c r="AG36" s="42"/>
      <c r="AH36" s="42"/>
      <c r="AI36" s="42"/>
      <c r="AJ36" s="42"/>
      <c r="AK36" s="47" t="s">
        <v>440</v>
      </c>
      <c r="AN36" s="118"/>
      <c r="AO36" s="118"/>
      <c r="AP36" s="118"/>
      <c r="AQ36" s="118"/>
      <c r="AR36" s="118"/>
      <c r="AS36" s="175" t="n">
        <v>0</v>
      </c>
    </row>
    <row r="37" customFormat="false" ht="14.25" hidden="false" customHeight="true" outlineLevel="0" collapsed="false">
      <c r="Q37" s="464"/>
      <c r="R37" s="464"/>
      <c r="S37" s="465"/>
      <c r="T37" s="80"/>
      <c r="U37" s="472"/>
      <c r="V37" s="473"/>
      <c r="W37" s="473"/>
      <c r="X37" s="473"/>
      <c r="Y37" s="473"/>
      <c r="Z37" s="473"/>
      <c r="AA37" s="473"/>
      <c r="AB37" s="473"/>
      <c r="AC37" s="473"/>
      <c r="AD37" s="473"/>
      <c r="AE37" s="473"/>
      <c r="AF37" s="473"/>
      <c r="AG37" s="473"/>
      <c r="AH37" s="473"/>
      <c r="AI37" s="473"/>
      <c r="AJ37" s="473"/>
      <c r="AK37" s="473"/>
      <c r="AS37" s="42" t="n">
        <v>14</v>
      </c>
    </row>
    <row r="38" customFormat="false" ht="14.25" hidden="false" customHeight="true" outlineLevel="0" collapsed="false">
      <c r="Q38" s="464"/>
      <c r="R38" s="464"/>
      <c r="S38" s="134" t="s">
        <v>313</v>
      </c>
      <c r="T38" s="134"/>
      <c r="U38" s="134"/>
      <c r="V38" s="134"/>
      <c r="W38" s="134"/>
      <c r="X38" s="134"/>
      <c r="Y38" s="134"/>
      <c r="Z38" s="134"/>
      <c r="AA38" s="134"/>
      <c r="AB38" s="134"/>
      <c r="AC38" s="134"/>
      <c r="AD38" s="134"/>
      <c r="AE38" s="134"/>
      <c r="AF38" s="134"/>
      <c r="AG38" s="134"/>
      <c r="AH38" s="134"/>
      <c r="AI38" s="134"/>
      <c r="AJ38" s="134"/>
      <c r="AK38" s="134"/>
      <c r="AL38" s="134"/>
      <c r="AM38" s="134" t="s">
        <v>314</v>
      </c>
      <c r="AS38" s="42" t="n">
        <v>14</v>
      </c>
    </row>
    <row r="39" customFormat="false" ht="14.25" hidden="false" customHeight="true" outlineLevel="0" collapsed="false">
      <c r="Q39" s="464"/>
      <c r="R39" s="464"/>
      <c r="S39" s="474" t="s">
        <v>87</v>
      </c>
      <c r="T39" s="391" t="s">
        <v>441</v>
      </c>
      <c r="U39" s="475"/>
      <c r="V39" s="296" t="s">
        <v>442</v>
      </c>
      <c r="W39" s="296"/>
      <c r="X39" s="296"/>
      <c r="Y39" s="296"/>
      <c r="Z39" s="296"/>
      <c r="AA39" s="296"/>
      <c r="AB39" s="296"/>
      <c r="AC39" s="391" t="s">
        <v>443</v>
      </c>
      <c r="AD39" s="296" t="s">
        <v>442</v>
      </c>
      <c r="AE39" s="296"/>
      <c r="AF39" s="296"/>
      <c r="AG39" s="296"/>
      <c r="AH39" s="296"/>
      <c r="AI39" s="296"/>
      <c r="AJ39" s="296"/>
      <c r="AK39" s="391" t="s">
        <v>444</v>
      </c>
      <c r="AL39" s="476" t="s">
        <v>445</v>
      </c>
      <c r="AM39" s="134"/>
      <c r="AS39" s="42" t="n">
        <v>14</v>
      </c>
    </row>
    <row r="40" customFormat="false" ht="35.25" hidden="false" customHeight="true" outlineLevel="0" collapsed="false">
      <c r="Q40" s="464"/>
      <c r="R40" s="464"/>
      <c r="S40" s="474"/>
      <c r="T40" s="391"/>
      <c r="U40" s="477"/>
      <c r="V40" s="134" t="s">
        <v>446</v>
      </c>
      <c r="W40" s="428"/>
      <c r="X40" s="134" t="s">
        <v>448</v>
      </c>
      <c r="Y40" s="134"/>
      <c r="Z40" s="134" t="s">
        <v>449</v>
      </c>
      <c r="AA40" s="134"/>
      <c r="AB40" s="134"/>
      <c r="AC40" s="391"/>
      <c r="AD40" s="134" t="s">
        <v>463</v>
      </c>
      <c r="AE40" s="428"/>
      <c r="AF40" s="134" t="s">
        <v>448</v>
      </c>
      <c r="AG40" s="134"/>
      <c r="AH40" s="134" t="s">
        <v>449</v>
      </c>
      <c r="AI40" s="134"/>
      <c r="AJ40" s="134"/>
      <c r="AK40" s="391"/>
      <c r="AL40" s="476"/>
      <c r="AM40" s="134"/>
      <c r="AS40" s="42" t="n">
        <v>34</v>
      </c>
    </row>
    <row r="41" customFormat="false" ht="35.25" hidden="false" customHeight="true" outlineLevel="0" collapsed="false">
      <c r="A41" s="140"/>
      <c r="B41" s="140" t="s">
        <v>150</v>
      </c>
      <c r="C41" s="140" t="s">
        <v>151</v>
      </c>
      <c r="D41" s="140" t="s">
        <v>152</v>
      </c>
      <c r="E41" s="414" t="s">
        <v>450</v>
      </c>
      <c r="F41" s="414" t="s">
        <v>451</v>
      </c>
      <c r="G41" s="414" t="s">
        <v>452</v>
      </c>
      <c r="H41" s="414" t="s">
        <v>453</v>
      </c>
      <c r="I41" s="414" t="s">
        <v>454</v>
      </c>
      <c r="J41" s="414" t="s">
        <v>455</v>
      </c>
      <c r="K41" s="414" t="s">
        <v>456</v>
      </c>
      <c r="L41" s="414" t="s">
        <v>431</v>
      </c>
      <c r="Q41" s="464"/>
      <c r="R41" s="464"/>
      <c r="S41" s="474"/>
      <c r="T41" s="391"/>
      <c r="U41" s="478"/>
      <c r="V41" s="134"/>
      <c r="W41" s="428"/>
      <c r="X41" s="185" t="s">
        <v>457</v>
      </c>
      <c r="Y41" s="185" t="s">
        <v>458</v>
      </c>
      <c r="Z41" s="185" t="s">
        <v>459</v>
      </c>
      <c r="AA41" s="185" t="s">
        <v>460</v>
      </c>
      <c r="AB41" s="185"/>
      <c r="AC41" s="391"/>
      <c r="AD41" s="134"/>
      <c r="AE41" s="428"/>
      <c r="AF41" s="185" t="s">
        <v>457</v>
      </c>
      <c r="AG41" s="185" t="s">
        <v>458</v>
      </c>
      <c r="AH41" s="185" t="s">
        <v>459</v>
      </c>
      <c r="AI41" s="185" t="s">
        <v>460</v>
      </c>
      <c r="AJ41" s="185"/>
      <c r="AK41" s="391"/>
      <c r="AL41" s="476"/>
      <c r="AM41" s="134"/>
      <c r="AS41" s="42" t="n">
        <v>34</v>
      </c>
    </row>
    <row r="42" s="120" customFormat="true" ht="11.25" hidden="true" customHeight="true" outlineLevel="0" collapsed="false">
      <c r="A42" s="140"/>
      <c r="B42" s="140"/>
      <c r="C42" s="140"/>
      <c r="D42" s="140"/>
      <c r="E42" s="140"/>
      <c r="F42" s="140"/>
      <c r="G42" s="140"/>
      <c r="H42" s="140"/>
      <c r="I42" s="140"/>
      <c r="J42" s="140"/>
      <c r="K42" s="140"/>
      <c r="L42" s="414"/>
      <c r="M42" s="51"/>
      <c r="N42" s="51"/>
      <c r="O42" s="51"/>
      <c r="P42" s="479"/>
      <c r="Q42" s="480"/>
      <c r="R42" s="481" t="n">
        <v>1</v>
      </c>
      <c r="S42" s="482" t="s">
        <v>120</v>
      </c>
      <c r="T42" s="483" t="s">
        <v>102</v>
      </c>
      <c r="U42" s="484" t="str">
        <f aca="true">OFFSET(U42,0,-1)</f>
        <v>2</v>
      </c>
      <c r="V42" s="485" t="n">
        <f aca="true">OFFSET(V42,0,-1)+1</f>
        <v>3</v>
      </c>
      <c r="W42" s="485"/>
      <c r="X42" s="485" t="n">
        <f aca="true">OFFSET(X42,0,-1)+1</f>
        <v>1</v>
      </c>
      <c r="Y42" s="485" t="n">
        <f aca="true">OFFSET(Y42,0,-1)+1</f>
        <v>2</v>
      </c>
      <c r="Z42" s="485" t="n">
        <f aca="true">OFFSET(Z42,0,-1)+1</f>
        <v>3</v>
      </c>
      <c r="AA42" s="485" t="n">
        <f aca="true">OFFSET(AA42,0,-1)+1</f>
        <v>4</v>
      </c>
      <c r="AB42" s="485"/>
      <c r="AC42" s="485" t="n">
        <f aca="true">OFFSET(AC42,0,-2)+1</f>
        <v>5</v>
      </c>
      <c r="AD42" s="485" t="n">
        <f aca="true">OFFSET(AD42,0,-1)+1</f>
        <v>6</v>
      </c>
      <c r="AE42" s="485"/>
      <c r="AF42" s="485" t="n">
        <f aca="true">OFFSET(AF42,0,-1)+1</f>
        <v>1</v>
      </c>
      <c r="AG42" s="485" t="n">
        <f aca="true">OFFSET(AG42,0,-1)+1</f>
        <v>2</v>
      </c>
      <c r="AH42" s="485" t="n">
        <f aca="true">OFFSET(AH42,0,-1)+1</f>
        <v>3</v>
      </c>
      <c r="AI42" s="485" t="n">
        <f aca="true">OFFSET(AI42,0,-1)+1</f>
        <v>4</v>
      </c>
      <c r="AJ42" s="485"/>
      <c r="AK42" s="485" t="n">
        <f aca="true">OFFSET(AK42,0,-2)+1</f>
        <v>5</v>
      </c>
      <c r="AL42" s="484" t="n">
        <f aca="true">OFFSET(AL42,0,-1)</f>
        <v>5</v>
      </c>
      <c r="AM42" s="485" t="n">
        <f aca="true">OFFSET(AM42,0,-1)+1</f>
        <v>6</v>
      </c>
      <c r="AN42" s="47"/>
      <c r="AO42" s="47"/>
      <c r="AP42" s="47"/>
      <c r="AQ42" s="47"/>
      <c r="AR42" s="47"/>
      <c r="AS42" s="120" t="n">
        <v>0</v>
      </c>
    </row>
    <row r="43" customFormat="false" ht="21.75" hidden="false" customHeight="true" outlineLevel="0" collapsed="false">
      <c r="A43" s="412" t="s">
        <v>183</v>
      </c>
      <c r="B43" s="412"/>
      <c r="C43" s="412"/>
      <c r="D43" s="412"/>
      <c r="E43" s="413" t="n">
        <v>1</v>
      </c>
      <c r="F43" s="412"/>
      <c r="G43" s="412"/>
      <c r="H43" s="412"/>
      <c r="I43" s="412"/>
      <c r="J43" s="412"/>
      <c r="K43" s="412"/>
      <c r="L43" s="414"/>
      <c r="M43" s="40"/>
      <c r="N43" s="40"/>
      <c r="O43" s="40"/>
      <c r="Q43" s="132"/>
      <c r="R43" s="415"/>
      <c r="S43" s="416" t="n">
        <f aca="false">INDEX(PT_DIFFERENTIATION_NUM_NTAR,MATCH(A43,PT_DIFFERENTIATION_NTAR_ID,0))</f>
        <v>0</v>
      </c>
      <c r="T43" s="417" t="s">
        <v>138</v>
      </c>
      <c r="U43" s="418"/>
      <c r="V43" s="419"/>
      <c r="W43" s="419"/>
      <c r="X43" s="419"/>
      <c r="Y43" s="419"/>
      <c r="Z43" s="419"/>
      <c r="AA43" s="419"/>
      <c r="AB43" s="419"/>
      <c r="AC43" s="419"/>
      <c r="AD43" s="420" t="str">
        <f aca="false">INDEX(PT_DIFFERENTIATION_NTAR,MATCH(A43,PT_DIFFERENTIATION_NTAR_ID,0))</f>
        <v/>
      </c>
      <c r="AE43" s="420"/>
      <c r="AF43" s="420"/>
      <c r="AG43" s="420"/>
      <c r="AH43" s="420"/>
      <c r="AI43" s="420"/>
      <c r="AJ43" s="420"/>
      <c r="AK43" s="420"/>
      <c r="AL43" s="420"/>
      <c r="AM43" s="421"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8"/>
      <c r="AP43" s="118" t="str">
        <f aca="false">IF(T43="","",T43)</f>
        <v>Наименование тарифа</v>
      </c>
      <c r="AQ43" s="118"/>
      <c r="AR43" s="118"/>
      <c r="AS43" s="42" t="n">
        <v>21</v>
      </c>
    </row>
    <row r="44" customFormat="false" ht="21.75" hidden="false" customHeight="true" outlineLevel="0" collapsed="false">
      <c r="A44" s="412" t="s">
        <v>183</v>
      </c>
      <c r="B44" s="412" t="s">
        <v>184</v>
      </c>
      <c r="C44" s="412"/>
      <c r="D44" s="412"/>
      <c r="E44" s="413"/>
      <c r="F44" s="413" t="n">
        <v>1</v>
      </c>
      <c r="G44" s="412"/>
      <c r="H44" s="412"/>
      <c r="I44" s="412"/>
      <c r="J44" s="412"/>
      <c r="K44" s="412"/>
      <c r="L44" s="414"/>
      <c r="M44" s="40"/>
      <c r="N44" s="40"/>
      <c r="O44" s="40"/>
      <c r="P44" s="43"/>
      <c r="Q44" s="422"/>
      <c r="R44" s="423"/>
      <c r="S44" s="416" t="str">
        <f aca="false">INDEX(PT_DIFFERENTIATION_NUM_TER,MATCH(B44,PT_DIFFERENTIATION_TER_ID,0))</f>
        <v>.</v>
      </c>
      <c r="T44" s="424" t="s">
        <v>410</v>
      </c>
      <c r="U44" s="418"/>
      <c r="V44" s="419"/>
      <c r="W44" s="419"/>
      <c r="X44" s="419"/>
      <c r="Y44" s="419"/>
      <c r="Z44" s="419"/>
      <c r="AA44" s="419"/>
      <c r="AB44" s="419"/>
      <c r="AC44" s="419"/>
      <c r="AD44" s="420" t="str">
        <f aca="false">INDEX(PT_DIFFERENTIATION_TER,MATCH(B44,PT_DIFFERENTIATION_TER_ID,0))</f>
        <v/>
      </c>
      <c r="AE44" s="420"/>
      <c r="AF44" s="420"/>
      <c r="AG44" s="420"/>
      <c r="AH44" s="420"/>
      <c r="AI44" s="420"/>
      <c r="AJ44" s="420"/>
      <c r="AK44" s="420"/>
      <c r="AL44" s="420"/>
      <c r="AM44" s="421" t="s">
        <v>411</v>
      </c>
      <c r="AO44" s="118"/>
      <c r="AP44" s="118" t="str">
        <f aca="false">IF(T44="","",T44)</f>
        <v>Территория действия тарифа</v>
      </c>
      <c r="AQ44" s="118"/>
      <c r="AR44" s="118"/>
      <c r="AS44" s="42" t="n">
        <v>21</v>
      </c>
    </row>
    <row r="45" customFormat="false" ht="24" hidden="false" customHeight="true" outlineLevel="0" collapsed="false">
      <c r="A45" s="412" t="s">
        <v>183</v>
      </c>
      <c r="B45" s="412" t="s">
        <v>184</v>
      </c>
      <c r="C45" s="412" t="s">
        <v>185</v>
      </c>
      <c r="D45" s="412"/>
      <c r="E45" s="413"/>
      <c r="F45" s="413"/>
      <c r="G45" s="413" t="n">
        <v>1</v>
      </c>
      <c r="H45" s="412"/>
      <c r="I45" s="412"/>
      <c r="J45" s="412"/>
      <c r="K45" s="412"/>
      <c r="L45" s="414"/>
      <c r="M45" s="40"/>
      <c r="N45" s="40"/>
      <c r="O45" s="40"/>
      <c r="P45" s="425"/>
      <c r="Q45" s="422"/>
      <c r="R45" s="423"/>
      <c r="S45" s="416" t="str">
        <f aca="false">INDEX(PT_DIFFERENTIATION_NUM_CS,MATCH(C45,PT_DIFFERENTIATION_CS_ID,0))</f>
        <v>..</v>
      </c>
      <c r="T45" s="426" t="s">
        <v>412</v>
      </c>
      <c r="U45" s="418"/>
      <c r="V45" s="419"/>
      <c r="W45" s="419"/>
      <c r="X45" s="419"/>
      <c r="Y45" s="419"/>
      <c r="Z45" s="419"/>
      <c r="AA45" s="419"/>
      <c r="AB45" s="419"/>
      <c r="AC45" s="419"/>
      <c r="AD45" s="420" t="str">
        <f aca="false">INDEX(PT_DIFFERENTIATION_CS,MATCH(C45,PT_DIFFERENTIATION_CS_ID,0))</f>
        <v/>
      </c>
      <c r="AE45" s="420"/>
      <c r="AF45" s="420"/>
      <c r="AG45" s="420"/>
      <c r="AH45" s="420"/>
      <c r="AI45" s="420"/>
      <c r="AJ45" s="420"/>
      <c r="AK45" s="420"/>
      <c r="AL45" s="420"/>
      <c r="AM45" s="421" t="s">
        <v>413</v>
      </c>
      <c r="AO45" s="118"/>
      <c r="AP45" s="118" t="str">
        <f aca="false">IF(T45="","",T45)</f>
        <v>Наименование системы теплоснабжения</v>
      </c>
      <c r="AQ45" s="118"/>
      <c r="AR45" s="118"/>
      <c r="AS45" s="42" t="n">
        <v>23</v>
      </c>
    </row>
    <row r="46" customFormat="false" ht="21.75" hidden="false" customHeight="true" outlineLevel="0" collapsed="false">
      <c r="A46" s="412" t="s">
        <v>183</v>
      </c>
      <c r="B46" s="412" t="s">
        <v>184</v>
      </c>
      <c r="C46" s="412" t="s">
        <v>185</v>
      </c>
      <c r="D46" s="412" t="s">
        <v>186</v>
      </c>
      <c r="E46" s="413"/>
      <c r="F46" s="413"/>
      <c r="G46" s="413"/>
      <c r="H46" s="413" t="n">
        <v>1</v>
      </c>
      <c r="I46" s="412"/>
      <c r="J46" s="412"/>
      <c r="K46" s="412"/>
      <c r="L46" s="414"/>
      <c r="M46" s="40"/>
      <c r="N46" s="40"/>
      <c r="O46" s="40"/>
      <c r="P46" s="425"/>
      <c r="Q46" s="422"/>
      <c r="R46" s="423"/>
      <c r="S46" s="416" t="str">
        <f aca="false">INDEX(PT_DIFFERENTIATION_NUM_IST_TE,MATCH(D46,PT_DIFFERENTIATION_IST_TE_ID,0))</f>
        <v>...</v>
      </c>
      <c r="T46" s="427" t="s">
        <v>414</v>
      </c>
      <c r="U46" s="418"/>
      <c r="V46" s="419"/>
      <c r="W46" s="419"/>
      <c r="X46" s="419"/>
      <c r="Y46" s="419"/>
      <c r="Z46" s="419"/>
      <c r="AA46" s="419"/>
      <c r="AB46" s="419"/>
      <c r="AC46" s="419"/>
      <c r="AD46" s="420" t="str">
        <f aca="false">INDEX(PT_DIFFERENTIATION_IST_TE,MATCH(D46,PT_DIFFERENTIATION_IST_TE_ID,0))</f>
        <v/>
      </c>
      <c r="AE46" s="420"/>
      <c r="AF46" s="420"/>
      <c r="AG46" s="420"/>
      <c r="AH46" s="420"/>
      <c r="AI46" s="420"/>
      <c r="AJ46" s="420"/>
      <c r="AK46" s="420"/>
      <c r="AL46" s="420"/>
      <c r="AM46" s="421" t="s">
        <v>415</v>
      </c>
      <c r="AO46" s="118"/>
      <c r="AP46" s="118" t="str">
        <f aca="false">IF(T46="","",T46)</f>
        <v>Источник тепловой энергии</v>
      </c>
      <c r="AQ46" s="118"/>
      <c r="AR46" s="118"/>
      <c r="AS46" s="42" t="n">
        <v>21</v>
      </c>
    </row>
    <row r="47" s="47" customFormat="true" ht="12.8" hidden="false" customHeight="false" outlineLevel="0" collapsed="false">
      <c r="A47" s="122" t="s">
        <v>183</v>
      </c>
      <c r="B47" s="122" t="s">
        <v>184</v>
      </c>
      <c r="C47" s="122" t="s">
        <v>185</v>
      </c>
      <c r="D47" s="122" t="s">
        <v>186</v>
      </c>
      <c r="E47" s="413"/>
      <c r="F47" s="413"/>
      <c r="G47" s="413"/>
      <c r="H47" s="413"/>
      <c r="I47" s="428" t="str">
        <f aca="false">S46&amp;".1"</f>
        <v>....1</v>
      </c>
      <c r="J47" s="122"/>
      <c r="K47" s="122"/>
      <c r="L47" s="192" t="s">
        <v>416</v>
      </c>
      <c r="M47" s="506"/>
      <c r="N47" s="506"/>
      <c r="O47" s="506"/>
      <c r="P47" s="121" t="n">
        <v>1</v>
      </c>
      <c r="Q47" s="121"/>
      <c r="R47" s="429"/>
      <c r="S47" s="301"/>
      <c r="T47" s="498"/>
      <c r="U47" s="499"/>
      <c r="V47" s="500"/>
      <c r="W47" s="500"/>
      <c r="X47" s="500"/>
      <c r="Y47" s="500"/>
      <c r="Z47" s="500"/>
      <c r="AA47" s="500"/>
      <c r="AB47" s="500"/>
      <c r="AC47" s="500"/>
      <c r="AD47" s="500"/>
      <c r="AE47" s="500"/>
      <c r="AF47" s="500"/>
      <c r="AG47" s="500"/>
      <c r="AH47" s="500"/>
      <c r="AI47" s="500"/>
      <c r="AJ47" s="500"/>
      <c r="AK47" s="500"/>
      <c r="AL47" s="500"/>
      <c r="AM47" s="501"/>
      <c r="AO47" s="118"/>
      <c r="AP47" s="118" t="str">
        <f aca="false">IF(T47="","",T47)</f>
        <v/>
      </c>
      <c r="AQ47" s="118"/>
      <c r="AR47" s="118"/>
      <c r="AS47" s="47" t="n">
        <v>0</v>
      </c>
    </row>
    <row r="48" customFormat="false" ht="21.75" hidden="false" customHeight="true" outlineLevel="0" collapsed="false">
      <c r="A48" s="412" t="s">
        <v>183</v>
      </c>
      <c r="B48" s="412" t="s">
        <v>184</v>
      </c>
      <c r="C48" s="412" t="s">
        <v>185</v>
      </c>
      <c r="D48" s="412" t="s">
        <v>186</v>
      </c>
      <c r="E48" s="413"/>
      <c r="F48" s="413"/>
      <c r="G48" s="413"/>
      <c r="H48" s="413"/>
      <c r="I48" s="428"/>
      <c r="J48" s="428" t="str">
        <f aca="false">S46&amp;".1"</f>
        <v>....1</v>
      </c>
      <c r="K48" s="412"/>
      <c r="L48" s="414" t="s">
        <v>419</v>
      </c>
      <c r="P48" s="121"/>
      <c r="Q48" s="121" t="n">
        <v>1</v>
      </c>
      <c r="R48" s="432"/>
      <c r="S48" s="416" t="str">
        <f aca="false">$J48</f>
        <v>....1</v>
      </c>
      <c r="T48" s="433" t="s">
        <v>420</v>
      </c>
      <c r="U48" s="418"/>
      <c r="V48" s="431"/>
      <c r="W48" s="431"/>
      <c r="X48" s="431"/>
      <c r="Y48" s="431"/>
      <c r="Z48" s="431"/>
      <c r="AA48" s="431"/>
      <c r="AB48" s="431"/>
      <c r="AC48" s="431"/>
      <c r="AD48" s="431"/>
      <c r="AE48" s="431"/>
      <c r="AF48" s="431"/>
      <c r="AG48" s="431"/>
      <c r="AH48" s="431"/>
      <c r="AI48" s="431"/>
      <c r="AJ48" s="431"/>
      <c r="AK48" s="431"/>
      <c r="AL48" s="431"/>
      <c r="AM48" s="421" t="s">
        <v>421</v>
      </c>
      <c r="AO48" s="118"/>
      <c r="AP48" s="118" t="str">
        <f aca="false">IF(T48="","",T48)</f>
        <v>Группа потребителей</v>
      </c>
      <c r="AQ48" s="118"/>
      <c r="AR48" s="118"/>
      <c r="AS48" s="42" t="n">
        <v>21</v>
      </c>
    </row>
    <row r="49" customFormat="false" ht="21.75" hidden="false" customHeight="true" outlineLevel="0" collapsed="false">
      <c r="A49" s="412" t="s">
        <v>183</v>
      </c>
      <c r="B49" s="412" t="s">
        <v>184</v>
      </c>
      <c r="C49" s="412" t="s">
        <v>185</v>
      </c>
      <c r="D49" s="412" t="s">
        <v>186</v>
      </c>
      <c r="E49" s="413"/>
      <c r="F49" s="413"/>
      <c r="G49" s="413"/>
      <c r="H49" s="413"/>
      <c r="I49" s="428"/>
      <c r="J49" s="428"/>
      <c r="K49" s="428" t="str">
        <f aca="false">J48&amp;".1"</f>
        <v>....1.1</v>
      </c>
      <c r="L49" s="414" t="s">
        <v>422</v>
      </c>
      <c r="P49" s="121"/>
      <c r="Q49" s="121"/>
      <c r="R49" s="432" t="n">
        <v>1</v>
      </c>
      <c r="S49" s="416" t="str">
        <f aca="false">$K49</f>
        <v>....1.1</v>
      </c>
      <c r="T49" s="434"/>
      <c r="U49" s="418"/>
      <c r="V49" s="435"/>
      <c r="W49" s="436"/>
      <c r="X49" s="435"/>
      <c r="Y49" s="437"/>
      <c r="Z49" s="438"/>
      <c r="AA49" s="204" t="s">
        <v>61</v>
      </c>
      <c r="AB49" s="438"/>
      <c r="AC49" s="204" t="s">
        <v>61</v>
      </c>
      <c r="AD49" s="435"/>
      <c r="AE49" s="436"/>
      <c r="AF49" s="435"/>
      <c r="AG49" s="437"/>
      <c r="AH49" s="438"/>
      <c r="AI49" s="204" t="s">
        <v>61</v>
      </c>
      <c r="AJ49" s="438"/>
      <c r="AK49" s="204" t="s">
        <v>61</v>
      </c>
      <c r="AL49" s="486"/>
      <c r="AM49" s="439" t="s">
        <v>464</v>
      </c>
      <c r="AN49" s="47" t="e">
        <f aca="false">strcheckdate(V50:AL50)</f>
        <v>#NAME?</v>
      </c>
      <c r="AO49" s="118"/>
      <c r="AP49" s="118" t="str">
        <f aca="false">IF(T49="","",T49)</f>
        <v/>
      </c>
      <c r="AQ49" s="118"/>
      <c r="AR49" s="118"/>
      <c r="AS49" s="42" t="n">
        <v>21</v>
      </c>
    </row>
    <row r="50" customFormat="false" ht="0.75" hidden="false" customHeight="true" outlineLevel="0" collapsed="false">
      <c r="A50" s="412" t="s">
        <v>183</v>
      </c>
      <c r="B50" s="412" t="s">
        <v>184</v>
      </c>
      <c r="C50" s="412" t="s">
        <v>185</v>
      </c>
      <c r="D50" s="412" t="s">
        <v>186</v>
      </c>
      <c r="E50" s="413"/>
      <c r="F50" s="413"/>
      <c r="G50" s="413"/>
      <c r="H50" s="413"/>
      <c r="I50" s="428"/>
      <c r="J50" s="428"/>
      <c r="K50" s="428"/>
      <c r="L50" s="414"/>
      <c r="P50" s="121"/>
      <c r="Q50" s="121"/>
      <c r="R50" s="432"/>
      <c r="S50" s="393"/>
      <c r="T50" s="418"/>
      <c r="U50" s="418"/>
      <c r="V50" s="436"/>
      <c r="W50" s="436"/>
      <c r="X50" s="436"/>
      <c r="Y50" s="440" t="str">
        <f aca="false">Z49&amp;"-"&amp;AB49</f>
        <v>-</v>
      </c>
      <c r="Z50" s="438"/>
      <c r="AA50" s="204"/>
      <c r="AB50" s="438"/>
      <c r="AC50" s="204"/>
      <c r="AD50" s="436"/>
      <c r="AE50" s="436"/>
      <c r="AF50" s="436"/>
      <c r="AG50" s="440" t="str">
        <f aca="false">AH49&amp;"-"&amp;AJ49</f>
        <v>-</v>
      </c>
      <c r="AH50" s="438"/>
      <c r="AI50" s="204"/>
      <c r="AJ50" s="438"/>
      <c r="AK50" s="204"/>
      <c r="AL50" s="487"/>
      <c r="AM50" s="439"/>
      <c r="AO50" s="118"/>
      <c r="AP50" s="118" t="str">
        <f aca="false">IF(T50="","",T50)</f>
        <v/>
      </c>
      <c r="AQ50" s="118"/>
      <c r="AR50" s="118"/>
      <c r="AS50" s="42" t="n">
        <v>1</v>
      </c>
    </row>
    <row r="51" customFormat="false" ht="11.25" hidden="false" customHeight="true" outlineLevel="0" collapsed="false">
      <c r="A51" s="412" t="s">
        <v>183</v>
      </c>
      <c r="B51" s="412" t="s">
        <v>184</v>
      </c>
      <c r="C51" s="412" t="s">
        <v>185</v>
      </c>
      <c r="D51" s="412" t="s">
        <v>186</v>
      </c>
      <c r="E51" s="413"/>
      <c r="F51" s="413"/>
      <c r="G51" s="413"/>
      <c r="H51" s="413"/>
      <c r="I51" s="428"/>
      <c r="J51" s="428"/>
      <c r="K51" s="412"/>
      <c r="L51" s="414"/>
      <c r="P51" s="121"/>
      <c r="Q51" s="121"/>
      <c r="R51" s="429"/>
      <c r="S51" s="441"/>
      <c r="T51" s="444" t="s">
        <v>424</v>
      </c>
      <c r="U51" s="194"/>
      <c r="V51" s="194"/>
      <c r="W51" s="194"/>
      <c r="X51" s="194"/>
      <c r="Y51" s="194"/>
      <c r="Z51" s="194"/>
      <c r="AA51" s="194"/>
      <c r="AB51" s="194"/>
      <c r="AC51" s="194"/>
      <c r="AD51" s="194"/>
      <c r="AE51" s="194"/>
      <c r="AF51" s="194"/>
      <c r="AG51" s="194"/>
      <c r="AH51" s="194"/>
      <c r="AI51" s="194"/>
      <c r="AJ51" s="194"/>
      <c r="AK51" s="194"/>
      <c r="AL51" s="443"/>
      <c r="AM51" s="439"/>
      <c r="AO51" s="118"/>
      <c r="AP51" s="118" t="str">
        <f aca="false">IF(T51="","",T51)</f>
        <v>Добавить вид теплоносителя (параметры теплоносителя)</v>
      </c>
      <c r="AQ51" s="118"/>
      <c r="AR51" s="118"/>
      <c r="AS51" s="42" t="n">
        <v>11</v>
      </c>
    </row>
    <row r="52" customFormat="false" ht="11.25" hidden="false" customHeight="true" outlineLevel="0" collapsed="false">
      <c r="A52" s="412" t="s">
        <v>183</v>
      </c>
      <c r="B52" s="412" t="s">
        <v>184</v>
      </c>
      <c r="C52" s="412" t="s">
        <v>185</v>
      </c>
      <c r="D52" s="412" t="s">
        <v>186</v>
      </c>
      <c r="E52" s="413"/>
      <c r="F52" s="413"/>
      <c r="G52" s="413"/>
      <c r="H52" s="413"/>
      <c r="I52" s="428"/>
      <c r="J52" s="412"/>
      <c r="K52" s="412"/>
      <c r="L52" s="414"/>
      <c r="P52" s="121"/>
      <c r="Q52" s="121"/>
      <c r="R52" s="429"/>
      <c r="S52" s="441"/>
      <c r="T52" s="448" t="s">
        <v>425</v>
      </c>
      <c r="U52" s="194"/>
      <c r="V52" s="194"/>
      <c r="W52" s="194"/>
      <c r="X52" s="194"/>
      <c r="Y52" s="194"/>
      <c r="Z52" s="194"/>
      <c r="AA52" s="194"/>
      <c r="AB52" s="194"/>
      <c r="AC52" s="445"/>
      <c r="AD52" s="194"/>
      <c r="AE52" s="194"/>
      <c r="AF52" s="194"/>
      <c r="AG52" s="194"/>
      <c r="AH52" s="194"/>
      <c r="AI52" s="194"/>
      <c r="AJ52" s="194"/>
      <c r="AK52" s="445"/>
      <c r="AL52" s="194"/>
      <c r="AM52" s="446"/>
      <c r="AO52" s="118"/>
      <c r="AP52" s="118" t="str">
        <f aca="false">IF(T52="","",T52)</f>
        <v>Добавить группу потребителей</v>
      </c>
      <c r="AQ52" s="118"/>
      <c r="AR52" s="118"/>
      <c r="AS52" s="42" t="n">
        <v>11</v>
      </c>
    </row>
    <row r="53" customFormat="false" ht="12.8" hidden="false" customHeight="false" outlineLevel="0" collapsed="false">
      <c r="A53" s="412" t="s">
        <v>183</v>
      </c>
      <c r="B53" s="412" t="s">
        <v>184</v>
      </c>
      <c r="C53" s="412" t="s">
        <v>185</v>
      </c>
      <c r="D53" s="412" t="s">
        <v>186</v>
      </c>
      <c r="E53" s="413"/>
      <c r="F53" s="413"/>
      <c r="G53" s="413"/>
      <c r="H53" s="413"/>
      <c r="I53" s="412"/>
      <c r="J53" s="412"/>
      <c r="K53" s="412"/>
      <c r="L53" s="414"/>
      <c r="M53" s="40"/>
      <c r="N53" s="40"/>
      <c r="O53" s="45"/>
      <c r="P53" s="132"/>
      <c r="Q53" s="447"/>
      <c r="R53" s="415"/>
      <c r="S53" s="502"/>
      <c r="T53" s="503"/>
      <c r="U53" s="504"/>
      <c r="V53" s="504"/>
      <c r="W53" s="504"/>
      <c r="X53" s="504"/>
      <c r="Y53" s="504"/>
      <c r="Z53" s="504"/>
      <c r="AA53" s="504"/>
      <c r="AB53" s="504"/>
      <c r="AC53" s="504"/>
      <c r="AD53" s="504"/>
      <c r="AE53" s="504"/>
      <c r="AF53" s="504"/>
      <c r="AG53" s="504"/>
      <c r="AH53" s="504"/>
      <c r="AI53" s="504"/>
      <c r="AJ53" s="504"/>
      <c r="AK53" s="504"/>
      <c r="AL53" s="504"/>
      <c r="AM53" s="505"/>
      <c r="AO53" s="118"/>
      <c r="AP53" s="118" t="str">
        <f aca="false">IF(T53="","",T53)</f>
        <v/>
      </c>
      <c r="AQ53" s="118"/>
      <c r="AR53" s="118"/>
      <c r="AS53" s="42" t="n">
        <v>0</v>
      </c>
    </row>
    <row r="54" s="47" customFormat="true" ht="0.75" hidden="false" customHeight="true" outlineLevel="0" collapsed="false">
      <c r="A54" s="122" t="s">
        <v>183</v>
      </c>
      <c r="B54" s="122" t="s">
        <v>184</v>
      </c>
      <c r="C54" s="122" t="s">
        <v>185</v>
      </c>
      <c r="D54" s="122"/>
      <c r="E54" s="413"/>
      <c r="F54" s="413"/>
      <c r="G54" s="413"/>
      <c r="H54" s="122"/>
      <c r="I54" s="122"/>
      <c r="J54" s="122"/>
      <c r="K54" s="122"/>
      <c r="L54" s="192"/>
      <c r="M54" s="46"/>
      <c r="N54" s="46"/>
      <c r="P54" s="156"/>
      <c r="Q54" s="449"/>
      <c r="R54" s="156"/>
      <c r="S54" s="454"/>
      <c r="T54" s="457" t="s">
        <v>427</v>
      </c>
      <c r="U54" s="456"/>
      <c r="V54" s="456"/>
      <c r="W54" s="456"/>
      <c r="X54" s="456"/>
      <c r="Y54" s="456"/>
      <c r="Z54" s="456"/>
      <c r="AA54" s="456"/>
      <c r="AB54" s="456"/>
      <c r="AC54" s="456"/>
      <c r="AD54" s="456"/>
      <c r="AE54" s="456"/>
      <c r="AF54" s="456"/>
      <c r="AG54" s="456"/>
      <c r="AH54" s="456"/>
      <c r="AI54" s="456"/>
      <c r="AJ54" s="456"/>
      <c r="AK54" s="456"/>
      <c r="AL54" s="456"/>
      <c r="AM54" s="456"/>
      <c r="AO54" s="118"/>
      <c r="AP54" s="118" t="str">
        <f aca="false">IF(T54="","",T54)</f>
        <v>Добавить источник для дифференциации</v>
      </c>
      <c r="AQ54" s="118"/>
      <c r="AR54" s="118"/>
      <c r="AS54" s="47" t="n">
        <v>1</v>
      </c>
    </row>
    <row r="55" s="47" customFormat="true" ht="0.75" hidden="false" customHeight="true" outlineLevel="0" collapsed="false">
      <c r="A55" s="122" t="s">
        <v>183</v>
      </c>
      <c r="B55" s="122" t="s">
        <v>184</v>
      </c>
      <c r="C55" s="122"/>
      <c r="D55" s="122"/>
      <c r="E55" s="413"/>
      <c r="F55" s="413"/>
      <c r="G55" s="122"/>
      <c r="H55" s="122"/>
      <c r="I55" s="122"/>
      <c r="J55" s="122"/>
      <c r="K55" s="122"/>
      <c r="L55" s="192"/>
      <c r="M55" s="453"/>
      <c r="N55" s="453"/>
      <c r="P55" s="156"/>
      <c r="Q55" s="449"/>
      <c r="R55" s="156"/>
      <c r="S55" s="454"/>
      <c r="T55" s="457" t="s">
        <v>428</v>
      </c>
      <c r="U55" s="456"/>
      <c r="V55" s="456"/>
      <c r="W55" s="456"/>
      <c r="X55" s="456"/>
      <c r="Y55" s="456"/>
      <c r="Z55" s="456"/>
      <c r="AA55" s="456"/>
      <c r="AB55" s="456"/>
      <c r="AC55" s="456"/>
      <c r="AD55" s="456"/>
      <c r="AE55" s="456"/>
      <c r="AF55" s="456"/>
      <c r="AG55" s="456"/>
      <c r="AH55" s="456"/>
      <c r="AI55" s="456"/>
      <c r="AJ55" s="456"/>
      <c r="AK55" s="456"/>
      <c r="AL55" s="456"/>
      <c r="AM55" s="456"/>
      <c r="AO55" s="118"/>
      <c r="AP55" s="118" t="str">
        <f aca="false">IF(T55="","",T55)</f>
        <v>Добавить централизованную систему для дифференциации</v>
      </c>
      <c r="AQ55" s="118"/>
      <c r="AR55" s="118"/>
      <c r="AS55" s="47" t="n">
        <v>1</v>
      </c>
    </row>
    <row r="56" s="47" customFormat="true" ht="0.75" hidden="false" customHeight="true" outlineLevel="0" collapsed="false">
      <c r="A56" s="122" t="s">
        <v>183</v>
      </c>
      <c r="B56" s="122"/>
      <c r="C56" s="122"/>
      <c r="D56" s="122"/>
      <c r="E56" s="413"/>
      <c r="F56" s="122"/>
      <c r="G56" s="122"/>
      <c r="H56" s="122"/>
      <c r="I56" s="122"/>
      <c r="J56" s="122"/>
      <c r="K56" s="122"/>
      <c r="L56" s="192"/>
      <c r="M56" s="453"/>
      <c r="N56" s="453"/>
      <c r="P56" s="156"/>
      <c r="Q56" s="449"/>
      <c r="R56" s="156"/>
      <c r="S56" s="454"/>
      <c r="T56" s="457" t="s">
        <v>429</v>
      </c>
      <c r="U56" s="456"/>
      <c r="V56" s="456"/>
      <c r="W56" s="456"/>
      <c r="X56" s="456"/>
      <c r="Y56" s="456"/>
      <c r="Z56" s="456"/>
      <c r="AA56" s="456"/>
      <c r="AB56" s="456"/>
      <c r="AC56" s="456"/>
      <c r="AD56" s="456"/>
      <c r="AE56" s="456"/>
      <c r="AF56" s="456"/>
      <c r="AG56" s="456"/>
      <c r="AH56" s="456"/>
      <c r="AI56" s="456"/>
      <c r="AJ56" s="456"/>
      <c r="AK56" s="456"/>
      <c r="AL56" s="456"/>
      <c r="AM56" s="456"/>
      <c r="AO56" s="118"/>
      <c r="AP56" s="118" t="str">
        <f aca="false">IF(T56="","",T56)</f>
        <v>Добавить территорию для дифференциации</v>
      </c>
      <c r="AQ56" s="118"/>
      <c r="AR56" s="118"/>
      <c r="AS56" s="47" t="n">
        <v>1</v>
      </c>
    </row>
    <row r="57" s="47" customFormat="true" ht="0.75" hidden="false" customHeight="true" outlineLevel="0" collapsed="false">
      <c r="A57" s="122"/>
      <c r="B57" s="122"/>
      <c r="C57" s="122"/>
      <c r="D57" s="122"/>
      <c r="E57" s="122"/>
      <c r="F57" s="122"/>
      <c r="G57" s="122"/>
      <c r="H57" s="122"/>
      <c r="I57" s="122"/>
      <c r="J57" s="122"/>
      <c r="K57" s="122"/>
      <c r="L57" s="192"/>
      <c r="M57" s="453"/>
      <c r="N57" s="453"/>
      <c r="P57" s="156"/>
      <c r="Q57" s="449"/>
      <c r="R57" s="156"/>
      <c r="S57" s="454"/>
      <c r="T57" s="457" t="s">
        <v>461</v>
      </c>
      <c r="U57" s="456"/>
      <c r="V57" s="456"/>
      <c r="W57" s="456"/>
      <c r="X57" s="456"/>
      <c r="Y57" s="456"/>
      <c r="Z57" s="456"/>
      <c r="AA57" s="456"/>
      <c r="AB57" s="456"/>
      <c r="AC57" s="456"/>
      <c r="AD57" s="456"/>
      <c r="AE57" s="456"/>
      <c r="AF57" s="456"/>
      <c r="AG57" s="456"/>
      <c r="AH57" s="456"/>
      <c r="AI57" s="456"/>
      <c r="AJ57" s="456"/>
      <c r="AK57" s="456"/>
      <c r="AL57" s="456"/>
      <c r="AM57" s="456"/>
      <c r="AO57" s="118"/>
      <c r="AP57" s="118" t="str">
        <f aca="false">IF(T57="","",T57)</f>
        <v>Добавить наименование тарифа</v>
      </c>
      <c r="AQ57" s="118"/>
      <c r="AR57" s="118"/>
      <c r="AS57" s="47"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19.5" hidden="false" customHeight="true" outlineLevel="0" collapsed="false">
      <c r="O59" s="45"/>
      <c r="S59" s="409"/>
      <c r="T59" s="488"/>
      <c r="U59" s="488"/>
      <c r="V59" s="488"/>
      <c r="W59" s="488"/>
      <c r="X59" s="488"/>
      <c r="Y59" s="488"/>
      <c r="Z59" s="488"/>
      <c r="AA59" s="488"/>
      <c r="AB59" s="488"/>
      <c r="AC59" s="488"/>
      <c r="AD59" s="488"/>
      <c r="AE59" s="488"/>
      <c r="AF59" s="488"/>
      <c r="AG59" s="488"/>
      <c r="AH59" s="488"/>
      <c r="AI59" s="488"/>
      <c r="AJ59" s="488"/>
      <c r="AK59" s="488"/>
      <c r="AL59" s="488"/>
      <c r="AM59" s="488"/>
      <c r="AS59" s="42" t="n">
        <v>19</v>
      </c>
    </row>
    <row r="60" customFormat="false" ht="29.25" hidden="false" customHeight="true" outlineLevel="0" collapsed="false">
      <c r="O60" s="45"/>
      <c r="T60" s="488"/>
      <c r="U60" s="488"/>
      <c r="V60" s="488"/>
      <c r="W60" s="488"/>
      <c r="X60" s="488"/>
      <c r="Y60" s="488"/>
      <c r="Z60" s="488"/>
      <c r="AA60" s="488"/>
      <c r="AB60" s="488"/>
      <c r="AC60" s="488"/>
      <c r="AD60" s="488"/>
      <c r="AE60" s="488"/>
      <c r="AF60" s="488"/>
      <c r="AG60" s="488"/>
      <c r="AH60" s="488"/>
      <c r="AI60" s="488"/>
      <c r="AJ60" s="488"/>
      <c r="AK60" s="488"/>
      <c r="AL60" s="488"/>
      <c r="AM60" s="488"/>
      <c r="AS60" s="42" t="n">
        <v>28</v>
      </c>
    </row>
    <row r="61" customFormat="false" ht="42" hidden="false" customHeight="true" outlineLevel="0" collapsed="false">
      <c r="O61" s="45"/>
      <c r="T61" s="488"/>
      <c r="U61" s="488"/>
      <c r="V61" s="488"/>
      <c r="W61" s="488"/>
      <c r="X61" s="488"/>
      <c r="Y61" s="488"/>
      <c r="Z61" s="488"/>
      <c r="AA61" s="488"/>
      <c r="AB61" s="488"/>
      <c r="AC61" s="488"/>
      <c r="AD61" s="488"/>
      <c r="AE61" s="488"/>
      <c r="AF61" s="488"/>
      <c r="AG61" s="488"/>
      <c r="AH61" s="488"/>
      <c r="AI61" s="488"/>
      <c r="AJ61" s="488"/>
      <c r="AK61" s="488"/>
      <c r="AL61" s="488"/>
      <c r="AM61" s="488"/>
      <c r="AS61" s="42" t="n">
        <v>40</v>
      </c>
    </row>
    <row r="62" customFormat="false" ht="14.25" hidden="false" customHeight="true" outlineLevel="0" collapsed="false">
      <c r="O62" s="45"/>
      <c r="AS62" s="42" t="n">
        <v>14</v>
      </c>
    </row>
    <row r="63" customFormat="false" ht="21" hidden="false" customHeight="true" outlineLevel="0" collapsed="false">
      <c r="O63" s="45"/>
      <c r="S63" s="409"/>
      <c r="T63" s="250"/>
      <c r="U63" s="250"/>
      <c r="V63" s="250"/>
      <c r="W63" s="250"/>
      <c r="X63" s="250"/>
      <c r="Y63" s="250"/>
      <c r="Z63" s="250"/>
      <c r="AA63" s="250"/>
      <c r="AB63" s="250"/>
      <c r="AC63" s="250"/>
      <c r="AD63" s="250"/>
      <c r="AE63" s="250"/>
      <c r="AF63" s="250"/>
      <c r="AG63" s="250"/>
      <c r="AH63" s="250"/>
      <c r="AI63" s="250"/>
      <c r="AJ63" s="250"/>
      <c r="AK63" s="250"/>
      <c r="AL63" s="250"/>
      <c r="AM63" s="250"/>
      <c r="AS63" s="42" t="n">
        <v>20</v>
      </c>
    </row>
    <row r="64" customFormat="false" ht="29.25" hidden="false" customHeight="true" outlineLevel="0" collapsed="false">
      <c r="O64" s="45"/>
      <c r="T64" s="488"/>
      <c r="U64" s="488"/>
      <c r="V64" s="488"/>
      <c r="W64" s="488"/>
      <c r="X64" s="488"/>
      <c r="Y64" s="488"/>
      <c r="Z64" s="488"/>
      <c r="AA64" s="488"/>
      <c r="AB64" s="488"/>
      <c r="AC64" s="488"/>
      <c r="AD64" s="488"/>
      <c r="AE64" s="488"/>
      <c r="AF64" s="488"/>
      <c r="AG64" s="488"/>
      <c r="AH64" s="488"/>
      <c r="AI64" s="488"/>
      <c r="AJ64" s="488"/>
      <c r="AK64" s="488"/>
      <c r="AL64" s="488"/>
      <c r="AM64" s="488"/>
      <c r="AS64" s="42" t="n">
        <v>28</v>
      </c>
    </row>
    <row r="65" customFormat="false" ht="35.25" hidden="false" customHeight="true" outlineLevel="0" collapsed="false">
      <c r="T65" s="488"/>
      <c r="U65" s="488"/>
      <c r="V65" s="488"/>
      <c r="W65" s="488"/>
      <c r="X65" s="488"/>
      <c r="Y65" s="488"/>
      <c r="Z65" s="488"/>
      <c r="AA65" s="488"/>
      <c r="AB65" s="488"/>
      <c r="AC65" s="488"/>
      <c r="AD65" s="488"/>
      <c r="AE65" s="488"/>
      <c r="AF65" s="488"/>
      <c r="AG65" s="488"/>
      <c r="AH65" s="488"/>
      <c r="AI65" s="488"/>
      <c r="AJ65" s="488"/>
      <c r="AK65" s="488"/>
      <c r="AL65" s="488"/>
      <c r="AM65" s="488"/>
      <c r="AS65" s="42" t="n">
        <v>34</v>
      </c>
    </row>
    <row r="66" customFormat="false" ht="22.5" hidden="true" customHeight="true" outlineLevel="0" collapsed="false">
      <c r="A66" s="45" t="s">
        <v>81</v>
      </c>
      <c r="B66" s="45" t="n">
        <v>0</v>
      </c>
      <c r="C66" s="45" t="n">
        <v>0</v>
      </c>
      <c r="D66" s="45" t="n">
        <v>0</v>
      </c>
      <c r="E66" s="45" t="n">
        <v>0</v>
      </c>
      <c r="F66" s="45" t="n">
        <v>0</v>
      </c>
      <c r="G66" s="45" t="n">
        <v>0</v>
      </c>
      <c r="H66" s="45" t="n">
        <v>0</v>
      </c>
      <c r="I66" s="45" t="n">
        <v>0</v>
      </c>
      <c r="J66" s="45" t="n">
        <v>0</v>
      </c>
      <c r="K66" s="45" t="n">
        <v>0</v>
      </c>
      <c r="L66" s="44" t="n">
        <v>0</v>
      </c>
      <c r="M66" s="51" t="n">
        <v>0</v>
      </c>
      <c r="N66" s="51" t="n">
        <v>0</v>
      </c>
      <c r="O66" s="51" t="n">
        <v>0</v>
      </c>
      <c r="P66" s="50" t="n">
        <v>0</v>
      </c>
      <c r="Q66" s="411" t="n">
        <v>3</v>
      </c>
      <c r="R66" s="411" t="n">
        <v>3</v>
      </c>
      <c r="S66" s="75"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7" t="n">
        <v>10</v>
      </c>
      <c r="AO66" s="47" t="n">
        <v>10</v>
      </c>
      <c r="AP66" s="47" t="n">
        <v>10</v>
      </c>
      <c r="AQ66" s="47" t="n">
        <v>10</v>
      </c>
      <c r="AR66" s="47"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true" outlineLevel="0" max="16" min="16" style="50" width="3.71"/>
    <col collapsed="false" customWidth="true" hidden="false" outlineLevel="0" max="18" min="17" style="411" width="3"/>
    <col collapsed="false" customWidth="true" hidden="false" outlineLevel="0" max="19" min="19" style="75" width="12"/>
    <col collapsed="false" customWidth="true" hidden="false" outlineLevel="0" max="20" min="20" style="42" width="31"/>
    <col collapsed="false" customWidth="true" hidden="false" outlineLevel="0" max="21" min="21" style="42" width="0.14"/>
    <col collapsed="false" customWidth="true" hidden="true" outlineLevel="0" max="22" min="22" style="42" width="24.71"/>
    <col collapsed="false" customWidth="true" hidden="true" outlineLevel="0" max="23" min="23" style="42" width="0.14"/>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4"/>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7" width="10"/>
    <col collapsed="false" customWidth="false" hidden="true" outlineLevel="0" max="45" min="45" style="42" width="10.57"/>
  </cols>
  <sheetData>
    <row r="1" customFormat="false" ht="22.5" hidden="true" customHeight="true" outlineLevel="0" collapsed="false">
      <c r="A1" s="507"/>
      <c r="AS1" s="42" t="s">
        <v>14</v>
      </c>
    </row>
    <row r="2" customFormat="false" ht="21" hidden="true" customHeight="true" outlineLevel="0" collapsed="false">
      <c r="A2" s="412"/>
      <c r="B2" s="412"/>
      <c r="C2" s="412"/>
      <c r="D2" s="412"/>
      <c r="E2" s="413" t="n">
        <v>1</v>
      </c>
      <c r="F2" s="412"/>
      <c r="G2" s="412"/>
      <c r="H2" s="412"/>
      <c r="I2" s="412"/>
      <c r="J2" s="412"/>
      <c r="K2" s="412"/>
      <c r="L2" s="414"/>
      <c r="M2" s="40"/>
      <c r="N2" s="40"/>
      <c r="O2" s="40"/>
      <c r="Q2" s="132"/>
      <c r="R2" s="415"/>
      <c r="S2" s="416" t="e">
        <f aca="false">INDEX(PT_DIFFERENTIATION_NUM_NTAR,MATCH(A2,PT_DIFFERENTIATION_NTAR_ID,0))</f>
        <v>#N/A</v>
      </c>
      <c r="T2" s="417" t="s">
        <v>138</v>
      </c>
      <c r="U2" s="418"/>
      <c r="V2" s="419"/>
      <c r="W2" s="419"/>
      <c r="X2" s="419"/>
      <c r="Y2" s="419"/>
      <c r="Z2" s="419"/>
      <c r="AA2" s="419"/>
      <c r="AB2" s="419"/>
      <c r="AC2" s="419"/>
      <c r="AD2" s="420" t="e">
        <f aca="false">INDEX(PT_DIFFERENTIATION_NTAR,MATCH(A2,PT_DIFFERENTIATION_NTAR_ID,0))</f>
        <v>#N/A</v>
      </c>
      <c r="AE2" s="420"/>
      <c r="AF2" s="420"/>
      <c r="AG2" s="420"/>
      <c r="AH2" s="420"/>
      <c r="AI2" s="420"/>
      <c r="AJ2" s="420"/>
      <c r="AK2" s="420"/>
      <c r="AL2" s="420"/>
      <c r="AM2" s="421" t="s">
        <v>409</v>
      </c>
      <c r="AO2" s="118"/>
      <c r="AP2" s="118" t="str">
        <f aca="false">IF(T2="","",T2)</f>
        <v>Наименование тарифа</v>
      </c>
      <c r="AQ2" s="118"/>
      <c r="AR2" s="118"/>
      <c r="AS2" s="42" t="n">
        <v>0</v>
      </c>
    </row>
    <row r="3" customFormat="false" ht="21" hidden="true" customHeight="true" outlineLevel="0" collapsed="false">
      <c r="A3" s="412"/>
      <c r="B3" s="412"/>
      <c r="C3" s="412"/>
      <c r="D3" s="412"/>
      <c r="E3" s="413"/>
      <c r="F3" s="413" t="n">
        <v>1</v>
      </c>
      <c r="G3" s="412"/>
      <c r="H3" s="412"/>
      <c r="I3" s="412"/>
      <c r="J3" s="412"/>
      <c r="K3" s="412"/>
      <c r="L3" s="414"/>
      <c r="M3" s="40"/>
      <c r="N3" s="40"/>
      <c r="O3" s="40"/>
      <c r="P3" s="43"/>
      <c r="Q3" s="422"/>
      <c r="R3" s="423"/>
      <c r="S3" s="416" t="e">
        <f aca="false">INDEX(PT_DIFFERENTIATION_NUM_TER,MATCH(B3,PT_DIFFERENTIATION_TER_ID,0))</f>
        <v>#N/A</v>
      </c>
      <c r="T3" s="424" t="s">
        <v>410</v>
      </c>
      <c r="U3" s="418"/>
      <c r="V3" s="419"/>
      <c r="W3" s="419"/>
      <c r="X3" s="419"/>
      <c r="Y3" s="419"/>
      <c r="Z3" s="419"/>
      <c r="AA3" s="419"/>
      <c r="AB3" s="419"/>
      <c r="AC3" s="419"/>
      <c r="AD3" s="420" t="e">
        <f aca="false">INDEX(PT_DIFFERENTIATION_TER,MATCH(B3,PT_DIFFERENTIATION_TER_ID,0))</f>
        <v>#N/A</v>
      </c>
      <c r="AE3" s="420"/>
      <c r="AF3" s="420"/>
      <c r="AG3" s="420"/>
      <c r="AH3" s="420"/>
      <c r="AI3" s="420"/>
      <c r="AJ3" s="420"/>
      <c r="AK3" s="420"/>
      <c r="AL3" s="420"/>
      <c r="AM3" s="421" t="s">
        <v>411</v>
      </c>
      <c r="AO3" s="118"/>
      <c r="AP3" s="118" t="str">
        <f aca="false">IF(T3="","",T3)</f>
        <v>Территория действия тарифа</v>
      </c>
      <c r="AQ3" s="118"/>
      <c r="AR3" s="118"/>
      <c r="AS3" s="42" t="n">
        <v>0</v>
      </c>
    </row>
    <row r="4" customFormat="false" ht="23.25" hidden="true" customHeight="true" outlineLevel="0" collapsed="false">
      <c r="A4" s="412"/>
      <c r="B4" s="412"/>
      <c r="C4" s="412"/>
      <c r="D4" s="412"/>
      <c r="E4" s="413"/>
      <c r="F4" s="413"/>
      <c r="G4" s="413" t="n">
        <v>1</v>
      </c>
      <c r="H4" s="412"/>
      <c r="I4" s="412"/>
      <c r="J4" s="412"/>
      <c r="K4" s="412"/>
      <c r="L4" s="414"/>
      <c r="M4" s="40"/>
      <c r="N4" s="40"/>
      <c r="O4" s="40"/>
      <c r="P4" s="425"/>
      <c r="Q4" s="422"/>
      <c r="R4" s="423"/>
      <c r="S4" s="508" t="e">
        <f aca="false">INDEX(PT_DIFFERENTIATION_NUM_CS,MATCH(C4,PT_DIFFERENTIATION_CS_ID,0))</f>
        <v>#N/A</v>
      </c>
      <c r="T4" s="509" t="s">
        <v>412</v>
      </c>
      <c r="U4" s="510"/>
      <c r="V4" s="511"/>
      <c r="W4" s="511"/>
      <c r="X4" s="511"/>
      <c r="Y4" s="511"/>
      <c r="Z4" s="511"/>
      <c r="AA4" s="511"/>
      <c r="AB4" s="511"/>
      <c r="AC4" s="511"/>
      <c r="AD4" s="512" t="e">
        <f aca="false">INDEX(PT_DIFFERENTIATION_CS,MATCH(C4,PT_DIFFERENTIATION_CS_ID,0))</f>
        <v>#N/A</v>
      </c>
      <c r="AE4" s="512"/>
      <c r="AF4" s="512"/>
      <c r="AG4" s="512"/>
      <c r="AH4" s="512"/>
      <c r="AI4" s="512"/>
      <c r="AJ4" s="512"/>
      <c r="AK4" s="512"/>
      <c r="AL4" s="512"/>
      <c r="AM4" s="421" t="s">
        <v>413</v>
      </c>
      <c r="AO4" s="118"/>
      <c r="AP4" s="118" t="str">
        <f aca="false">IF(T4="","",T4)</f>
        <v>Наименование системы теплоснабжения</v>
      </c>
      <c r="AQ4" s="118"/>
      <c r="AR4" s="118"/>
      <c r="AS4" s="42" t="n">
        <v>0</v>
      </c>
    </row>
    <row r="5" customFormat="false" ht="21" hidden="true" customHeight="true" outlineLevel="0" collapsed="false">
      <c r="A5" s="412"/>
      <c r="B5" s="412"/>
      <c r="C5" s="412"/>
      <c r="D5" s="412"/>
      <c r="E5" s="413"/>
      <c r="F5" s="413"/>
      <c r="G5" s="413"/>
      <c r="H5" s="413" t="n">
        <v>1</v>
      </c>
      <c r="I5" s="412"/>
      <c r="J5" s="412"/>
      <c r="K5" s="412"/>
      <c r="L5" s="414"/>
      <c r="M5" s="40"/>
      <c r="N5" s="40"/>
      <c r="O5" s="40"/>
      <c r="P5" s="425"/>
      <c r="Q5" s="422"/>
      <c r="R5" s="42"/>
      <c r="S5" s="416" t="e">
        <f aca="false">INDEX(PT_DIFFERENTIATION_NUM_IST_TE,MATCH(D5,PT_DIFFERENTIATION_IST_TE_ID,0))</f>
        <v>#N/A</v>
      </c>
      <c r="T5" s="427" t="s">
        <v>414</v>
      </c>
      <c r="U5" s="418"/>
      <c r="V5" s="419"/>
      <c r="W5" s="419"/>
      <c r="X5" s="419"/>
      <c r="Y5" s="419"/>
      <c r="Z5" s="419"/>
      <c r="AA5" s="419"/>
      <c r="AB5" s="419"/>
      <c r="AC5" s="419"/>
      <c r="AD5" s="420" t="e">
        <f aca="false">INDEX(PT_DIFFERENTIATION_IST_TE,MATCH(D5,PT_DIFFERENTIATION_IST_TE_ID,0))</f>
        <v>#N/A</v>
      </c>
      <c r="AE5" s="420"/>
      <c r="AF5" s="420"/>
      <c r="AG5" s="420"/>
      <c r="AH5" s="420"/>
      <c r="AI5" s="420"/>
      <c r="AJ5" s="420"/>
      <c r="AK5" s="420"/>
      <c r="AL5" s="420"/>
      <c r="AM5" s="513" t="s">
        <v>415</v>
      </c>
      <c r="AO5" s="118"/>
      <c r="AP5" s="118" t="str">
        <f aca="false">IF(T5="","",T5)</f>
        <v>Источник тепловой энергии</v>
      </c>
      <c r="AQ5" s="118"/>
      <c r="AR5" s="118"/>
      <c r="AS5" s="42" t="n">
        <v>0</v>
      </c>
    </row>
    <row r="6" customFormat="false" ht="0.75" hidden="true" customHeight="true" outlineLevel="0" collapsed="false">
      <c r="A6" s="412"/>
      <c r="B6" s="412"/>
      <c r="C6" s="412"/>
      <c r="D6" s="412"/>
      <c r="E6" s="413"/>
      <c r="F6" s="413"/>
      <c r="G6" s="413"/>
      <c r="H6" s="413"/>
      <c r="I6" s="428" t="e">
        <f aca="false">S5&amp;".1"</f>
        <v>#N/A</v>
      </c>
      <c r="J6" s="412"/>
      <c r="K6" s="412"/>
      <c r="L6" s="414" t="s">
        <v>416</v>
      </c>
      <c r="M6" s="45"/>
      <c r="P6" s="121" t="n">
        <v>1</v>
      </c>
      <c r="Q6" s="121"/>
      <c r="R6" s="121"/>
      <c r="S6" s="301"/>
      <c r="T6" s="498"/>
      <c r="U6" s="499"/>
      <c r="V6" s="500"/>
      <c r="W6" s="500"/>
      <c r="X6" s="500"/>
      <c r="Y6" s="500"/>
      <c r="Z6" s="500"/>
      <c r="AA6" s="500"/>
      <c r="AB6" s="500"/>
      <c r="AC6" s="500"/>
      <c r="AD6" s="500"/>
      <c r="AE6" s="500"/>
      <c r="AF6" s="500"/>
      <c r="AG6" s="500"/>
      <c r="AH6" s="500"/>
      <c r="AI6" s="500"/>
      <c r="AJ6" s="500"/>
      <c r="AK6" s="500"/>
      <c r="AL6" s="500"/>
      <c r="AM6" s="514"/>
      <c r="AO6" s="118"/>
      <c r="AP6" s="118" t="str">
        <f aca="false">IF(T6="","",T6)</f>
        <v/>
      </c>
      <c r="AQ6" s="118"/>
      <c r="AR6" s="118"/>
      <c r="AS6" s="42" t="n">
        <v>0</v>
      </c>
    </row>
    <row r="7" customFormat="false" ht="84" hidden="true" customHeight="true" outlineLevel="0" collapsed="false">
      <c r="A7" s="412"/>
      <c r="B7" s="412"/>
      <c r="C7" s="412"/>
      <c r="D7" s="412"/>
      <c r="E7" s="413"/>
      <c r="F7" s="413"/>
      <c r="G7" s="413"/>
      <c r="H7" s="413"/>
      <c r="I7" s="428"/>
      <c r="J7" s="428" t="e">
        <f aca="false">I6&amp;".1"</f>
        <v>#N/A</v>
      </c>
      <c r="K7" s="412"/>
      <c r="L7" s="414" t="s">
        <v>419</v>
      </c>
      <c r="M7" s="45"/>
      <c r="N7" s="45"/>
      <c r="P7" s="121"/>
      <c r="Q7" s="121" t="n">
        <v>1</v>
      </c>
      <c r="R7" s="47"/>
      <c r="S7" s="416" t="e">
        <f aca="false">$J7</f>
        <v>#N/A</v>
      </c>
      <c r="T7" s="433" t="s">
        <v>420</v>
      </c>
      <c r="U7" s="418"/>
      <c r="V7" s="431"/>
      <c r="W7" s="431"/>
      <c r="X7" s="431"/>
      <c r="Y7" s="431"/>
      <c r="Z7" s="431"/>
      <c r="AA7" s="431"/>
      <c r="AB7" s="431"/>
      <c r="AC7" s="431"/>
      <c r="AD7" s="431"/>
      <c r="AE7" s="431"/>
      <c r="AF7" s="431"/>
      <c r="AG7" s="431"/>
      <c r="AH7" s="431"/>
      <c r="AI7" s="431"/>
      <c r="AJ7" s="431"/>
      <c r="AK7" s="431"/>
      <c r="AL7" s="431"/>
      <c r="AM7" s="513" t="s">
        <v>421</v>
      </c>
      <c r="AO7" s="118"/>
      <c r="AP7" s="118" t="str">
        <f aca="false">IF(T7="","",T7)</f>
        <v>Группа потребителей</v>
      </c>
      <c r="AQ7" s="118"/>
      <c r="AR7" s="118"/>
      <c r="AS7" s="42" t="n">
        <v>0</v>
      </c>
    </row>
    <row r="8" customFormat="false" ht="11.25" hidden="true" customHeight="true" outlineLevel="0" collapsed="false">
      <c r="A8" s="412"/>
      <c r="B8" s="412"/>
      <c r="C8" s="412"/>
      <c r="D8" s="412"/>
      <c r="E8" s="413"/>
      <c r="F8" s="413"/>
      <c r="G8" s="413"/>
      <c r="H8" s="413"/>
      <c r="I8" s="428"/>
      <c r="J8" s="428"/>
      <c r="K8" s="428" t="e">
        <f aca="false">J7&amp;".1"</f>
        <v>#N/A</v>
      </c>
      <c r="L8" s="414" t="s">
        <v>422</v>
      </c>
      <c r="M8" s="45"/>
      <c r="N8" s="45"/>
      <c r="O8" s="45"/>
      <c r="P8" s="121"/>
      <c r="Q8" s="121"/>
      <c r="R8" s="432" t="n">
        <v>1</v>
      </c>
      <c r="S8" s="515" t="e">
        <f aca="false">$K8</f>
        <v>#N/A</v>
      </c>
      <c r="T8" s="516"/>
      <c r="U8" s="517"/>
      <c r="V8" s="518"/>
      <c r="W8" s="487"/>
      <c r="X8" s="518"/>
      <c r="Y8" s="519"/>
      <c r="Z8" s="520"/>
      <c r="AA8" s="200" t="s">
        <v>61</v>
      </c>
      <c r="AB8" s="520"/>
      <c r="AC8" s="200" t="s">
        <v>61</v>
      </c>
      <c r="AD8" s="518"/>
      <c r="AE8" s="487"/>
      <c r="AF8" s="518"/>
      <c r="AG8" s="519"/>
      <c r="AH8" s="520"/>
      <c r="AI8" s="200" t="s">
        <v>61</v>
      </c>
      <c r="AJ8" s="520"/>
      <c r="AK8" s="200" t="s">
        <v>61</v>
      </c>
      <c r="AL8" s="487"/>
      <c r="AM8" s="439" t="s">
        <v>423</v>
      </c>
      <c r="AN8" s="47" t="e">
        <f aca="false">strcheckdate(V9:AL9)</f>
        <v>#NAME?</v>
      </c>
      <c r="AO8" s="118"/>
      <c r="AP8" s="118" t="str">
        <f aca="false">IF(T8="","",T8)</f>
        <v/>
      </c>
      <c r="AQ8" s="118"/>
      <c r="AR8" s="118"/>
      <c r="AS8" s="42" t="n">
        <v>0</v>
      </c>
    </row>
    <row r="9" customFormat="false" ht="0.75" hidden="true" customHeight="true" outlineLevel="0" collapsed="false">
      <c r="A9" s="412"/>
      <c r="B9" s="412"/>
      <c r="C9" s="412"/>
      <c r="D9" s="412"/>
      <c r="E9" s="413"/>
      <c r="F9" s="413"/>
      <c r="G9" s="413"/>
      <c r="H9" s="413"/>
      <c r="I9" s="428"/>
      <c r="J9" s="428"/>
      <c r="K9" s="428"/>
      <c r="L9" s="414"/>
      <c r="M9" s="45"/>
      <c r="N9" s="45"/>
      <c r="O9" s="45"/>
      <c r="P9" s="121"/>
      <c r="Q9" s="121"/>
      <c r="R9" s="432"/>
      <c r="S9" s="393"/>
      <c r="T9" s="418"/>
      <c r="U9" s="418"/>
      <c r="V9" s="436"/>
      <c r="W9" s="436"/>
      <c r="X9" s="436"/>
      <c r="Y9" s="440" t="str">
        <f aca="false">Z8&amp;"-"&amp;AB8</f>
        <v>-</v>
      </c>
      <c r="Z9" s="520"/>
      <c r="AA9" s="200"/>
      <c r="AB9" s="520"/>
      <c r="AC9" s="200"/>
      <c r="AD9" s="436"/>
      <c r="AE9" s="436"/>
      <c r="AF9" s="436"/>
      <c r="AG9" s="440" t="str">
        <f aca="false">AH8&amp;"-"&amp;AJ8</f>
        <v>-</v>
      </c>
      <c r="AH9" s="520"/>
      <c r="AI9" s="200"/>
      <c r="AJ9" s="520"/>
      <c r="AK9" s="200"/>
      <c r="AL9" s="436"/>
      <c r="AM9" s="439"/>
      <c r="AO9" s="118"/>
      <c r="AP9" s="118" t="str">
        <f aca="false">IF(T9="","",T9)</f>
        <v/>
      </c>
      <c r="AQ9" s="118"/>
      <c r="AR9" s="118"/>
      <c r="AS9" s="42" t="n">
        <v>0</v>
      </c>
    </row>
    <row r="10" customFormat="false" ht="11.25" hidden="true" customHeight="true" outlineLevel="0" collapsed="false">
      <c r="A10" s="412"/>
      <c r="B10" s="412"/>
      <c r="C10" s="412"/>
      <c r="D10" s="412"/>
      <c r="E10" s="413"/>
      <c r="F10" s="413"/>
      <c r="G10" s="413"/>
      <c r="H10" s="413"/>
      <c r="I10" s="428"/>
      <c r="J10" s="428"/>
      <c r="K10" s="412"/>
      <c r="L10" s="414"/>
      <c r="M10" s="45"/>
      <c r="N10" s="45"/>
      <c r="P10" s="121"/>
      <c r="Q10" s="121"/>
      <c r="R10" s="429"/>
      <c r="S10" s="441"/>
      <c r="T10" s="444" t="s">
        <v>424</v>
      </c>
      <c r="U10" s="194"/>
      <c r="V10" s="194"/>
      <c r="W10" s="194"/>
      <c r="X10" s="194"/>
      <c r="Y10" s="194"/>
      <c r="Z10" s="194"/>
      <c r="AA10" s="194"/>
      <c r="AB10" s="194"/>
      <c r="AC10" s="194"/>
      <c r="AD10" s="194"/>
      <c r="AE10" s="194"/>
      <c r="AF10" s="194"/>
      <c r="AG10" s="194"/>
      <c r="AH10" s="194"/>
      <c r="AI10" s="194"/>
      <c r="AJ10" s="194"/>
      <c r="AK10" s="194"/>
      <c r="AL10" s="443"/>
      <c r="AM10" s="439"/>
      <c r="AO10" s="118"/>
      <c r="AP10" s="118" t="str">
        <f aca="false">IF(T10="","",T10)</f>
        <v>Добавить вид теплоносителя (параметры теплоносителя)</v>
      </c>
      <c r="AQ10" s="118"/>
      <c r="AR10" s="118"/>
      <c r="AS10" s="42" t="n">
        <v>0</v>
      </c>
    </row>
    <row r="11" customFormat="false" ht="11.25" hidden="true" customHeight="true" outlineLevel="0" collapsed="false">
      <c r="A11" s="412"/>
      <c r="B11" s="412"/>
      <c r="C11" s="412"/>
      <c r="D11" s="412"/>
      <c r="E11" s="413"/>
      <c r="F11" s="413"/>
      <c r="G11" s="413"/>
      <c r="H11" s="413"/>
      <c r="I11" s="428"/>
      <c r="J11" s="412"/>
      <c r="K11" s="412"/>
      <c r="L11" s="414"/>
      <c r="M11" s="45"/>
      <c r="P11" s="121"/>
      <c r="Q11" s="121"/>
      <c r="R11" s="429"/>
      <c r="S11" s="441"/>
      <c r="T11" s="448" t="s">
        <v>425</v>
      </c>
      <c r="U11" s="194"/>
      <c r="V11" s="194"/>
      <c r="W11" s="194"/>
      <c r="X11" s="194"/>
      <c r="Y11" s="194"/>
      <c r="Z11" s="194"/>
      <c r="AA11" s="194"/>
      <c r="AB11" s="194"/>
      <c r="AC11" s="445"/>
      <c r="AD11" s="194"/>
      <c r="AE11" s="194"/>
      <c r="AF11" s="194"/>
      <c r="AG11" s="194"/>
      <c r="AH11" s="194"/>
      <c r="AI11" s="194"/>
      <c r="AJ11" s="194"/>
      <c r="AK11" s="445"/>
      <c r="AL11" s="194"/>
      <c r="AM11" s="446"/>
      <c r="AO11" s="118"/>
      <c r="AP11" s="118" t="str">
        <f aca="false">IF(T11="","",T11)</f>
        <v>Добавить группу потребителей</v>
      </c>
      <c r="AQ11" s="118"/>
      <c r="AR11" s="118"/>
      <c r="AS11" s="42" t="n">
        <v>0</v>
      </c>
    </row>
    <row r="12" customFormat="false" ht="0.75" hidden="true" customHeight="true" outlineLevel="0" collapsed="false">
      <c r="A12" s="412"/>
      <c r="B12" s="412"/>
      <c r="C12" s="412"/>
      <c r="D12" s="412"/>
      <c r="E12" s="413"/>
      <c r="F12" s="413"/>
      <c r="G12" s="413"/>
      <c r="H12" s="413"/>
      <c r="I12" s="412"/>
      <c r="J12" s="412"/>
      <c r="K12" s="412"/>
      <c r="L12" s="414"/>
      <c r="M12" s="40"/>
      <c r="N12" s="40"/>
      <c r="O12" s="45"/>
      <c r="P12" s="132"/>
      <c r="Q12" s="447"/>
      <c r="R12" s="415"/>
      <c r="S12" s="502"/>
      <c r="T12" s="503"/>
      <c r="U12" s="504"/>
      <c r="V12" s="504"/>
      <c r="W12" s="504"/>
      <c r="X12" s="504"/>
      <c r="Y12" s="504"/>
      <c r="Z12" s="504"/>
      <c r="AA12" s="504"/>
      <c r="AB12" s="504"/>
      <c r="AC12" s="504"/>
      <c r="AD12" s="504"/>
      <c r="AE12" s="504"/>
      <c r="AF12" s="504"/>
      <c r="AG12" s="504"/>
      <c r="AH12" s="504"/>
      <c r="AI12" s="504"/>
      <c r="AJ12" s="504"/>
      <c r="AK12" s="504"/>
      <c r="AL12" s="504"/>
      <c r="AM12" s="505"/>
      <c r="AO12" s="118"/>
      <c r="AP12" s="118" t="str">
        <f aca="false">IF(T12="","",T12)</f>
        <v/>
      </c>
      <c r="AQ12" s="118"/>
      <c r="AR12" s="118"/>
      <c r="AS12" s="42" t="n">
        <v>0</v>
      </c>
    </row>
    <row r="13" s="47" customFormat="true" ht="0.75" hidden="true" customHeight="true" outlineLevel="0" collapsed="false">
      <c r="A13" s="122"/>
      <c r="B13" s="122"/>
      <c r="C13" s="122"/>
      <c r="D13" s="122"/>
      <c r="E13" s="413"/>
      <c r="F13" s="413"/>
      <c r="G13" s="413"/>
      <c r="H13" s="122"/>
      <c r="I13" s="122"/>
      <c r="J13" s="122"/>
      <c r="K13" s="122"/>
      <c r="L13" s="192"/>
      <c r="M13" s="46"/>
      <c r="N13" s="46"/>
      <c r="P13" s="156"/>
      <c r="Q13" s="449"/>
      <c r="R13" s="156"/>
      <c r="S13" s="450"/>
      <c r="T13" s="451" t="s">
        <v>427</v>
      </c>
      <c r="U13" s="452"/>
      <c r="V13" s="452"/>
      <c r="W13" s="452"/>
      <c r="X13" s="452"/>
      <c r="Y13" s="452"/>
      <c r="Z13" s="452"/>
      <c r="AA13" s="452"/>
      <c r="AB13" s="452"/>
      <c r="AC13" s="452"/>
      <c r="AD13" s="452"/>
      <c r="AE13" s="452"/>
      <c r="AF13" s="452"/>
      <c r="AG13" s="452"/>
      <c r="AH13" s="452"/>
      <c r="AI13" s="452"/>
      <c r="AJ13" s="452"/>
      <c r="AK13" s="452"/>
      <c r="AL13" s="452"/>
      <c r="AM13" s="452"/>
      <c r="AO13" s="118"/>
      <c r="AP13" s="118" t="str">
        <f aca="false">IF(T13="","",T13)</f>
        <v>Добавить источник для дифференциации</v>
      </c>
      <c r="AQ13" s="118"/>
      <c r="AR13" s="118"/>
      <c r="AS13" s="47" t="n">
        <v>0</v>
      </c>
    </row>
    <row r="14" s="47" customFormat="true" ht="0.75" hidden="true" customHeight="true" outlineLevel="0" collapsed="false">
      <c r="A14" s="122"/>
      <c r="B14" s="122"/>
      <c r="C14" s="122"/>
      <c r="D14" s="122"/>
      <c r="E14" s="413"/>
      <c r="F14" s="413"/>
      <c r="G14" s="122"/>
      <c r="H14" s="122"/>
      <c r="I14" s="122"/>
      <c r="J14" s="122"/>
      <c r="K14" s="122"/>
      <c r="L14" s="192"/>
      <c r="M14" s="453"/>
      <c r="N14" s="453"/>
      <c r="P14" s="156"/>
      <c r="Q14" s="449"/>
      <c r="R14" s="156"/>
      <c r="S14" s="454"/>
      <c r="T14" s="455" t="s">
        <v>428</v>
      </c>
      <c r="U14" s="456"/>
      <c r="V14" s="456"/>
      <c r="W14" s="456"/>
      <c r="X14" s="456"/>
      <c r="Y14" s="456"/>
      <c r="Z14" s="456"/>
      <c r="AA14" s="456"/>
      <c r="AB14" s="456"/>
      <c r="AC14" s="456"/>
      <c r="AD14" s="456"/>
      <c r="AE14" s="456"/>
      <c r="AF14" s="456"/>
      <c r="AG14" s="456"/>
      <c r="AH14" s="456"/>
      <c r="AI14" s="456"/>
      <c r="AJ14" s="456"/>
      <c r="AK14" s="456"/>
      <c r="AL14" s="456"/>
      <c r="AM14" s="456"/>
      <c r="AO14" s="118"/>
      <c r="AP14" s="118" t="str">
        <f aca="false">IF(T14="","",T14)</f>
        <v>Добавить централизованную систему для дифференциации</v>
      </c>
      <c r="AQ14" s="118"/>
      <c r="AR14" s="118"/>
      <c r="AS14" s="47" t="n">
        <v>0</v>
      </c>
    </row>
    <row r="15" s="47" customFormat="true" ht="0.75" hidden="true" customHeight="true" outlineLevel="0" collapsed="false">
      <c r="A15" s="122"/>
      <c r="B15" s="122"/>
      <c r="C15" s="122"/>
      <c r="D15" s="122"/>
      <c r="E15" s="413"/>
      <c r="F15" s="122"/>
      <c r="G15" s="122"/>
      <c r="H15" s="122"/>
      <c r="I15" s="122"/>
      <c r="J15" s="122"/>
      <c r="K15" s="122"/>
      <c r="L15" s="192"/>
      <c r="M15" s="453"/>
      <c r="N15" s="453"/>
      <c r="P15" s="156"/>
      <c r="Q15" s="449"/>
      <c r="R15" s="156"/>
      <c r="S15" s="454"/>
      <c r="T15" s="457" t="s">
        <v>429</v>
      </c>
      <c r="U15" s="456"/>
      <c r="V15" s="456"/>
      <c r="W15" s="456"/>
      <c r="X15" s="456"/>
      <c r="Y15" s="456"/>
      <c r="Z15" s="456"/>
      <c r="AA15" s="456"/>
      <c r="AB15" s="456"/>
      <c r="AC15" s="456"/>
      <c r="AD15" s="456"/>
      <c r="AE15" s="456"/>
      <c r="AF15" s="456"/>
      <c r="AG15" s="456"/>
      <c r="AH15" s="456"/>
      <c r="AI15" s="456"/>
      <c r="AJ15" s="456"/>
      <c r="AK15" s="456"/>
      <c r="AL15" s="456"/>
      <c r="AM15" s="456"/>
      <c r="AO15" s="118"/>
      <c r="AP15" s="118" t="str">
        <f aca="false">IF(T15="","",T15)</f>
        <v>Добавить территорию для дифференциации</v>
      </c>
      <c r="AQ15" s="118"/>
      <c r="AR15" s="118"/>
      <c r="AS15" s="47" t="n">
        <v>0</v>
      </c>
    </row>
    <row r="16" customFormat="false" ht="14.25" hidden="true" customHeight="true" outlineLevel="0" collapsed="false">
      <c r="AS16" s="42" t="n">
        <v>0</v>
      </c>
    </row>
    <row r="17" customFormat="false" ht="14.25" hidden="true" customHeight="true" outlineLevel="0" collapsed="false">
      <c r="AD17" s="458"/>
      <c r="AE17" s="458"/>
      <c r="AF17" s="458"/>
      <c r="AG17" s="459"/>
      <c r="AH17" s="460"/>
      <c r="AI17" s="461" t="s">
        <v>61</v>
      </c>
      <c r="AJ17" s="460"/>
      <c r="AK17" s="461" t="s">
        <v>61</v>
      </c>
      <c r="AS17" s="42" t="n">
        <v>0</v>
      </c>
    </row>
    <row r="18" customFormat="false" ht="14.25" hidden="true" customHeight="true" outlineLevel="0" collapsed="false">
      <c r="AD18" s="458"/>
      <c r="AE18" s="458"/>
      <c r="AF18" s="458"/>
      <c r="AG18" s="440" t="str">
        <f aca="false">AH17&amp;"-"&amp;AJ17</f>
        <v>-</v>
      </c>
      <c r="AH18" s="460"/>
      <c r="AI18" s="460"/>
      <c r="AJ18" s="460"/>
      <c r="AK18" s="460"/>
      <c r="AS18" s="42" t="n">
        <v>0</v>
      </c>
    </row>
    <row r="19" customFormat="false" ht="14.25" hidden="true" customHeight="true" outlineLevel="0" collapsed="false">
      <c r="AS19" s="42" t="n">
        <v>0</v>
      </c>
    </row>
    <row r="20" s="45" customFormat="true" ht="22.5" hidden="true" customHeight="true" outlineLevel="0" collapsed="false">
      <c r="L20" s="44"/>
      <c r="M20" s="51"/>
      <c r="N20" s="51"/>
      <c r="O20" s="462" t="s">
        <v>430</v>
      </c>
      <c r="P20" s="51"/>
      <c r="Q20" s="463"/>
      <c r="R20" s="463"/>
      <c r="S20" s="40"/>
      <c r="Z20" s="462"/>
      <c r="AB20" s="462"/>
      <c r="AH20" s="462"/>
      <c r="AJ20" s="462"/>
      <c r="AN20" s="47"/>
      <c r="AO20" s="47"/>
      <c r="AP20" s="47"/>
      <c r="AQ20" s="47"/>
      <c r="AR20" s="47"/>
      <c r="AS20" s="45" t="n">
        <v>0</v>
      </c>
    </row>
    <row r="21" s="45" customFormat="true" ht="14.25" hidden="true" customHeight="true" outlineLevel="0" collapsed="false">
      <c r="L21" s="44"/>
      <c r="M21" s="51"/>
      <c r="N21" s="51"/>
      <c r="O21" s="51"/>
      <c r="P21" s="51"/>
      <c r="Q21" s="463"/>
      <c r="R21" s="463"/>
      <c r="S21" s="40"/>
      <c r="AN21" s="47"/>
      <c r="AO21" s="47"/>
      <c r="AP21" s="47"/>
      <c r="AQ21" s="47"/>
      <c r="AR21" s="47"/>
      <c r="AS21" s="45" t="n">
        <v>0</v>
      </c>
    </row>
    <row r="22" s="45" customFormat="true" ht="14.25" hidden="true" customHeight="true" outlineLevel="0" collapsed="false">
      <c r="L22" s="44"/>
      <c r="M22" s="51"/>
      <c r="N22" s="51"/>
      <c r="O22" s="414" t="s">
        <v>431</v>
      </c>
      <c r="P22" s="51"/>
      <c r="Q22" s="463"/>
      <c r="R22" s="463"/>
      <c r="S22" s="40"/>
      <c r="T22" s="45" t="s">
        <v>432</v>
      </c>
      <c r="AA22" s="140" t="s">
        <v>433</v>
      </c>
      <c r="AC22" s="140" t="s">
        <v>434</v>
      </c>
      <c r="AD22" s="45" t="s">
        <v>432</v>
      </c>
      <c r="AI22" s="140" t="s">
        <v>435</v>
      </c>
      <c r="AK22" s="140" t="s">
        <v>434</v>
      </c>
      <c r="AN22" s="47"/>
      <c r="AO22" s="47"/>
      <c r="AP22" s="47"/>
      <c r="AQ22" s="47"/>
      <c r="AR22" s="47"/>
      <c r="AS22" s="45" t="n">
        <v>0</v>
      </c>
    </row>
    <row r="23" customFormat="false" ht="14.25" hidden="true" customHeight="true" outlineLevel="0" collapsed="false">
      <c r="O23" s="414"/>
      <c r="AS23" s="42" t="n">
        <v>0</v>
      </c>
    </row>
    <row r="24" customFormat="false" ht="14.25" hidden="true" customHeight="true" outlineLevel="0" collapsed="false">
      <c r="O24" s="414"/>
      <c r="AS24" s="42" t="n">
        <v>0</v>
      </c>
    </row>
    <row r="25" customFormat="false" ht="14.25" hidden="false" customHeight="true" outlineLevel="0" collapsed="false">
      <c r="Q25" s="464"/>
      <c r="R25" s="464"/>
      <c r="S25" s="465"/>
      <c r="T25" s="80"/>
      <c r="U25" s="80"/>
      <c r="AS25" s="42" t="n">
        <v>14</v>
      </c>
    </row>
    <row r="26" customFormat="false" ht="54.75" hidden="false" customHeight="true" outlineLevel="0" collapsed="false">
      <c r="Q26" s="464"/>
      <c r="R26" s="464"/>
      <c r="S26" s="176"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6"/>
      <c r="U26" s="176"/>
      <c r="V26" s="176"/>
      <c r="W26" s="176"/>
      <c r="X26" s="176"/>
      <c r="Y26" s="176"/>
      <c r="Z26" s="176"/>
      <c r="AA26" s="176"/>
      <c r="AB26" s="176"/>
      <c r="AC26" s="176"/>
      <c r="AD26" s="176"/>
      <c r="AE26" s="176"/>
      <c r="AF26" s="176"/>
      <c r="AG26" s="176"/>
      <c r="AH26" s="176"/>
      <c r="AI26" s="176"/>
      <c r="AJ26" s="176"/>
      <c r="AK26" s="222"/>
      <c r="AS26" s="42" t="n">
        <v>52</v>
      </c>
    </row>
    <row r="27" customFormat="false" ht="14.25" hidden="false" customHeight="true" outlineLevel="0" collapsed="false">
      <c r="Q27" s="464"/>
      <c r="R27" s="464"/>
      <c r="S27" s="261" t="str">
        <f aca="false">IF(org=0,"Не определено",org)</f>
        <v>ООО "Газпром теплоэнерго Ярославль"</v>
      </c>
      <c r="T27" s="261"/>
      <c r="U27" s="261"/>
      <c r="V27" s="261"/>
      <c r="W27" s="261"/>
      <c r="X27" s="261"/>
      <c r="Y27" s="261"/>
      <c r="Z27" s="261"/>
      <c r="AA27" s="261"/>
      <c r="AB27" s="261"/>
      <c r="AC27" s="261"/>
      <c r="AD27" s="261"/>
      <c r="AE27" s="261"/>
      <c r="AF27" s="261"/>
      <c r="AG27" s="261"/>
      <c r="AH27" s="261"/>
      <c r="AI27" s="261"/>
      <c r="AJ27" s="261"/>
      <c r="AK27" s="222"/>
      <c r="AS27" s="42" t="n">
        <v>14</v>
      </c>
    </row>
    <row r="28" customFormat="false" ht="14.25" hidden="true" customHeight="true" outlineLevel="0" collapsed="false">
      <c r="Q28" s="464"/>
      <c r="R28" s="464"/>
      <c r="S28" s="465"/>
      <c r="T28" s="80"/>
      <c r="U28" s="80"/>
      <c r="V28" s="466"/>
      <c r="W28" s="466"/>
      <c r="X28" s="466"/>
      <c r="Y28" s="466"/>
      <c r="Z28" s="466"/>
      <c r="AA28" s="466"/>
      <c r="AB28" s="466"/>
      <c r="AC28" s="466"/>
      <c r="AD28" s="466"/>
      <c r="AE28" s="466"/>
      <c r="AF28" s="466"/>
      <c r="AG28" s="466"/>
      <c r="AH28" s="466"/>
      <c r="AI28" s="466"/>
      <c r="AJ28" s="466"/>
      <c r="AK28" s="466"/>
      <c r="AS28" s="42" t="n">
        <v>0</v>
      </c>
    </row>
    <row r="29" s="175" customFormat="true" ht="25.5" hidden="true" customHeight="true" outlineLevel="0" collapsed="false">
      <c r="A29" s="140"/>
      <c r="B29" s="140"/>
      <c r="C29" s="140"/>
      <c r="D29" s="140"/>
      <c r="E29" s="140"/>
      <c r="F29" s="140"/>
      <c r="G29" s="140"/>
      <c r="H29" s="140"/>
      <c r="I29" s="140"/>
      <c r="J29" s="140"/>
      <c r="K29" s="140"/>
      <c r="L29" s="414"/>
      <c r="M29" s="140"/>
      <c r="N29" s="140"/>
      <c r="O29" s="140"/>
      <c r="S29" s="467" t="s">
        <v>40</v>
      </c>
      <c r="T29" s="467"/>
      <c r="U29" s="468"/>
      <c r="V29" s="469" t="str">
        <f aca="false">IF(TITLE_NAME_OR_PR_CHANGE="",IF(TITLE_NAME_OR_PR="","",TITLE_NAME_OR_PR),TITLE_NAME_OR_PR_CHANGE)</f>
        <v/>
      </c>
      <c r="W29" s="469"/>
      <c r="X29" s="469"/>
      <c r="Y29" s="469"/>
      <c r="Z29" s="469"/>
      <c r="AA29" s="469"/>
      <c r="AB29" s="469"/>
      <c r="AC29" s="42"/>
      <c r="AD29" s="469" t="str">
        <f aca="false">IF(TITLE_NAME_OR_PR_CHANGE="",IF(TITLE_NAME_OR_PR="","",TITLE_NAME_OR_PR),TITLE_NAME_OR_PR_CHANGE)</f>
        <v/>
      </c>
      <c r="AE29" s="469"/>
      <c r="AF29" s="469"/>
      <c r="AG29" s="469"/>
      <c r="AH29" s="469"/>
      <c r="AI29" s="469"/>
      <c r="AJ29" s="469"/>
      <c r="AK29" s="42"/>
      <c r="AL29" s="42"/>
      <c r="AM29" s="470"/>
      <c r="AN29" s="118"/>
      <c r="AO29" s="118"/>
      <c r="AP29" s="118"/>
      <c r="AQ29" s="118"/>
      <c r="AR29" s="118"/>
      <c r="AS29" s="175" t="n">
        <v>0</v>
      </c>
    </row>
    <row r="30" s="175" customFormat="true" ht="18.75" hidden="true" customHeight="true" outlineLevel="0" collapsed="false">
      <c r="A30" s="140"/>
      <c r="B30" s="140"/>
      <c r="C30" s="140"/>
      <c r="D30" s="140"/>
      <c r="E30" s="140"/>
      <c r="F30" s="140"/>
      <c r="G30" s="140"/>
      <c r="H30" s="140"/>
      <c r="I30" s="140"/>
      <c r="J30" s="140"/>
      <c r="K30" s="140"/>
      <c r="L30" s="414"/>
      <c r="M30" s="140"/>
      <c r="N30" s="140"/>
      <c r="O30" s="140"/>
      <c r="S30" s="467" t="s">
        <v>436</v>
      </c>
      <c r="T30" s="467"/>
      <c r="U30" s="468"/>
      <c r="V30" s="471" t="str">
        <f aca="false">IF(TITLE_DATE_PR_CHANGE="",IF(TITLE_DATE_PR="","",TITLE_DATE_PR),TITLE_DATE_PR_CHANGE)</f>
        <v/>
      </c>
      <c r="W30" s="471"/>
      <c r="X30" s="471"/>
      <c r="Y30" s="471"/>
      <c r="Z30" s="471"/>
      <c r="AA30" s="471"/>
      <c r="AB30" s="471"/>
      <c r="AC30" s="42"/>
      <c r="AD30" s="471" t="str">
        <f aca="false">IF(TITLE_DATE_PR_CHANGE="",IF(TITLE_DATE_PR="","",TITLE_DATE_PR),TITLE_DATE_PR_CHANGE)</f>
        <v/>
      </c>
      <c r="AE30" s="471"/>
      <c r="AF30" s="471"/>
      <c r="AG30" s="471"/>
      <c r="AH30" s="471"/>
      <c r="AI30" s="471"/>
      <c r="AJ30" s="471"/>
      <c r="AK30" s="42"/>
      <c r="AL30" s="42"/>
      <c r="AM30" s="470"/>
      <c r="AN30" s="118"/>
      <c r="AO30" s="118"/>
      <c r="AP30" s="118"/>
      <c r="AQ30" s="118"/>
      <c r="AR30" s="118"/>
      <c r="AS30" s="175" t="n">
        <v>0</v>
      </c>
    </row>
    <row r="31" s="175" customFormat="true" ht="18.75" hidden="true" customHeight="true" outlineLevel="0" collapsed="false">
      <c r="A31" s="140"/>
      <c r="B31" s="140"/>
      <c r="C31" s="140"/>
      <c r="D31" s="140"/>
      <c r="E31" s="140"/>
      <c r="F31" s="140"/>
      <c r="G31" s="140"/>
      <c r="H31" s="140"/>
      <c r="I31" s="140"/>
      <c r="J31" s="140"/>
      <c r="K31" s="140"/>
      <c r="L31" s="414"/>
      <c r="M31" s="140"/>
      <c r="N31" s="140"/>
      <c r="O31" s="140"/>
      <c r="S31" s="467" t="s">
        <v>437</v>
      </c>
      <c r="T31" s="467"/>
      <c r="U31" s="468"/>
      <c r="V31" s="469" t="str">
        <f aca="false">IF(TITLE_NUMBER_PR_CHANGE="",IF(TITLE_NUMBER_PR="","",TITLE_NUMBER_PR),TITLE_NUMBER_PR_CHANGE)</f>
        <v/>
      </c>
      <c r="W31" s="469"/>
      <c r="X31" s="469"/>
      <c r="Y31" s="469"/>
      <c r="Z31" s="469"/>
      <c r="AA31" s="469"/>
      <c r="AB31" s="469"/>
      <c r="AC31" s="42"/>
      <c r="AD31" s="469" t="str">
        <f aca="false">IF(TITLE_NUMBER_PR_CHANGE="",IF(TITLE_NUMBER_PR="","",TITLE_NUMBER_PR),TITLE_NUMBER_PR_CHANGE)</f>
        <v/>
      </c>
      <c r="AE31" s="469"/>
      <c r="AF31" s="469"/>
      <c r="AG31" s="469"/>
      <c r="AH31" s="469"/>
      <c r="AI31" s="469"/>
      <c r="AJ31" s="469"/>
      <c r="AK31" s="42"/>
      <c r="AL31" s="42"/>
      <c r="AM31" s="470"/>
      <c r="AN31" s="118"/>
      <c r="AO31" s="118"/>
      <c r="AP31" s="118"/>
      <c r="AQ31" s="118"/>
      <c r="AR31" s="118"/>
      <c r="AS31" s="175" t="n">
        <v>0</v>
      </c>
    </row>
    <row r="32" s="175" customFormat="true" ht="18.75" hidden="true" customHeight="true" outlineLevel="0" collapsed="false">
      <c r="A32" s="140"/>
      <c r="B32" s="140"/>
      <c r="C32" s="140"/>
      <c r="D32" s="140"/>
      <c r="E32" s="140"/>
      <c r="F32" s="140"/>
      <c r="G32" s="140"/>
      <c r="H32" s="140"/>
      <c r="I32" s="140"/>
      <c r="J32" s="140"/>
      <c r="K32" s="140"/>
      <c r="L32" s="414"/>
      <c r="M32" s="140"/>
      <c r="N32" s="140"/>
      <c r="O32" s="140"/>
      <c r="S32" s="467" t="s">
        <v>41</v>
      </c>
      <c r="T32" s="467"/>
      <c r="U32" s="468"/>
      <c r="V32" s="469" t="str">
        <f aca="false">IF(TITLE_IST_PUB_CHANGE="",IF(TITLE_IST_PUB="","",TITLE_IST_PUB),TITLE_IST_PUB_CHANGE)</f>
        <v/>
      </c>
      <c r="W32" s="469"/>
      <c r="X32" s="469"/>
      <c r="Y32" s="469"/>
      <c r="Z32" s="469"/>
      <c r="AA32" s="469"/>
      <c r="AB32" s="469"/>
      <c r="AC32" s="42"/>
      <c r="AD32" s="469" t="str">
        <f aca="false">IF(TITLE_IST_PUB_CHANGE="",IF(TITLE_IST_PUB="","",TITLE_IST_PUB),TITLE_IST_PUB_CHANGE)</f>
        <v/>
      </c>
      <c r="AE32" s="469"/>
      <c r="AF32" s="469"/>
      <c r="AG32" s="469"/>
      <c r="AH32" s="469"/>
      <c r="AI32" s="469"/>
      <c r="AJ32" s="469"/>
      <c r="AK32" s="42"/>
      <c r="AL32" s="42"/>
      <c r="AM32" s="470"/>
      <c r="AN32" s="118"/>
      <c r="AO32" s="118"/>
      <c r="AP32" s="118"/>
      <c r="AQ32" s="118"/>
      <c r="AR32" s="118"/>
      <c r="AS32" s="175" t="n">
        <v>0</v>
      </c>
    </row>
    <row r="33" customFormat="false" ht="14.25" hidden="true" customHeight="true" outlineLevel="0" collapsed="false">
      <c r="Q33" s="464"/>
      <c r="R33" s="464"/>
      <c r="S33" s="465"/>
      <c r="T33" s="80"/>
      <c r="U33" s="80"/>
      <c r="V33" s="466"/>
      <c r="W33" s="466"/>
      <c r="X33" s="466"/>
      <c r="Y33" s="466"/>
      <c r="Z33" s="466"/>
      <c r="AA33" s="466"/>
      <c r="AB33" s="466"/>
      <c r="AC33" s="466"/>
      <c r="AD33" s="466"/>
      <c r="AE33" s="466"/>
      <c r="AF33" s="466"/>
      <c r="AG33" s="466"/>
      <c r="AH33" s="466"/>
      <c r="AI33" s="466"/>
      <c r="AJ33" s="466"/>
      <c r="AK33" s="466"/>
      <c r="AS33" s="42" t="n">
        <v>0</v>
      </c>
    </row>
    <row r="34" s="175" customFormat="true" ht="18.75" hidden="true" customHeight="true" outlineLevel="0" collapsed="false">
      <c r="A34" s="140"/>
      <c r="B34" s="140"/>
      <c r="C34" s="140"/>
      <c r="D34" s="140"/>
      <c r="E34" s="140"/>
      <c r="F34" s="140"/>
      <c r="G34" s="140"/>
      <c r="H34" s="140"/>
      <c r="I34" s="140"/>
      <c r="J34" s="140"/>
      <c r="K34" s="140"/>
      <c r="L34" s="414"/>
      <c r="M34" s="140"/>
      <c r="N34" s="140"/>
      <c r="O34" s="140"/>
      <c r="S34" s="467" t="s">
        <v>438</v>
      </c>
      <c r="T34" s="467"/>
      <c r="U34" s="468"/>
      <c r="V34" s="471" t="str">
        <f aca="false">IF(TITLE_DATE_PR_CHANGE="",IF(TITLE_DATE_PR="","",TITLE_DATE_PR),TITLE_DATE_PR_CHANGE)</f>
        <v/>
      </c>
      <c r="W34" s="471"/>
      <c r="X34" s="471"/>
      <c r="Y34" s="471"/>
      <c r="Z34" s="471"/>
      <c r="AA34" s="471"/>
      <c r="AB34" s="471"/>
      <c r="AC34" s="42"/>
      <c r="AD34" s="471" t="str">
        <f aca="false">IF(TITLE_DATE_PR_CHANGE="",IF(TITLE_DATE_PR="","",TITLE_DATE_PR),TITLE_DATE_PR_CHANGE)</f>
        <v/>
      </c>
      <c r="AE34" s="471"/>
      <c r="AF34" s="471"/>
      <c r="AG34" s="471"/>
      <c r="AH34" s="471"/>
      <c r="AI34" s="471"/>
      <c r="AJ34" s="471"/>
      <c r="AK34" s="42"/>
      <c r="AL34" s="42"/>
      <c r="AM34" s="470"/>
      <c r="AN34" s="118"/>
      <c r="AO34" s="118"/>
      <c r="AP34" s="118"/>
      <c r="AQ34" s="118"/>
      <c r="AR34" s="118"/>
      <c r="AS34" s="175" t="n">
        <v>0</v>
      </c>
    </row>
    <row r="35" s="175" customFormat="true" ht="18.75" hidden="true" customHeight="true" outlineLevel="0" collapsed="false">
      <c r="A35" s="140"/>
      <c r="B35" s="140"/>
      <c r="C35" s="140"/>
      <c r="D35" s="140"/>
      <c r="E35" s="140"/>
      <c r="F35" s="140"/>
      <c r="G35" s="140"/>
      <c r="H35" s="140"/>
      <c r="I35" s="140"/>
      <c r="J35" s="140"/>
      <c r="K35" s="140"/>
      <c r="L35" s="414"/>
      <c r="M35" s="140"/>
      <c r="N35" s="140"/>
      <c r="O35" s="140"/>
      <c r="S35" s="467" t="s">
        <v>439</v>
      </c>
      <c r="T35" s="467"/>
      <c r="U35" s="468"/>
      <c r="V35" s="469" t="str">
        <f aca="false">IF(TITLE_NUMBER_PR_CHANGE="",IF(TITLE_NUMBER_PR="","",TITLE_NUMBER_PR),TITLE_NUMBER_PR_CHANGE)</f>
        <v/>
      </c>
      <c r="W35" s="469"/>
      <c r="X35" s="469"/>
      <c r="Y35" s="469"/>
      <c r="Z35" s="469"/>
      <c r="AA35" s="469"/>
      <c r="AB35" s="469"/>
      <c r="AC35" s="42"/>
      <c r="AD35" s="469" t="str">
        <f aca="false">IF(TITLE_NUMBER_PR_CHANGE="",IF(TITLE_NUMBER_PR="","",TITLE_NUMBER_PR),TITLE_NUMBER_PR_CHANGE)</f>
        <v/>
      </c>
      <c r="AE35" s="469"/>
      <c r="AF35" s="469"/>
      <c r="AG35" s="469"/>
      <c r="AH35" s="469"/>
      <c r="AI35" s="469"/>
      <c r="AJ35" s="469"/>
      <c r="AK35" s="42"/>
      <c r="AL35" s="42"/>
      <c r="AM35" s="470"/>
      <c r="AN35" s="118"/>
      <c r="AO35" s="118"/>
      <c r="AP35" s="118"/>
      <c r="AQ35" s="118"/>
      <c r="AR35" s="118"/>
      <c r="AS35" s="175" t="n">
        <v>0</v>
      </c>
    </row>
    <row r="36" s="175" customFormat="true" ht="12.8" hidden="false" customHeight="false" outlineLevel="0" collapsed="false">
      <c r="A36" s="140"/>
      <c r="B36" s="140"/>
      <c r="C36" s="140"/>
      <c r="D36" s="140"/>
      <c r="E36" s="140"/>
      <c r="F36" s="140"/>
      <c r="G36" s="140"/>
      <c r="H36" s="140"/>
      <c r="I36" s="140"/>
      <c r="J36" s="140"/>
      <c r="K36" s="140"/>
      <c r="L36" s="414"/>
      <c r="M36" s="140"/>
      <c r="N36" s="140"/>
      <c r="O36" s="140"/>
      <c r="S36" s="42"/>
      <c r="T36" s="42"/>
      <c r="U36" s="128"/>
      <c r="V36" s="42"/>
      <c r="W36" s="42"/>
      <c r="X36" s="42"/>
      <c r="Y36" s="42"/>
      <c r="Z36" s="42"/>
      <c r="AA36" s="42"/>
      <c r="AB36" s="42"/>
      <c r="AC36" s="47" t="s">
        <v>440</v>
      </c>
      <c r="AD36" s="42"/>
      <c r="AE36" s="42"/>
      <c r="AF36" s="42"/>
      <c r="AG36" s="42"/>
      <c r="AH36" s="42"/>
      <c r="AI36" s="42"/>
      <c r="AJ36" s="42"/>
      <c r="AK36" s="47" t="s">
        <v>440</v>
      </c>
      <c r="AN36" s="118"/>
      <c r="AO36" s="118"/>
      <c r="AP36" s="118"/>
      <c r="AQ36" s="118"/>
      <c r="AR36" s="118"/>
      <c r="AS36" s="175" t="n">
        <v>0</v>
      </c>
    </row>
    <row r="37" customFormat="false" ht="14.25" hidden="false" customHeight="true" outlineLevel="0" collapsed="false">
      <c r="Q37" s="464"/>
      <c r="R37" s="464"/>
      <c r="S37" s="465"/>
      <c r="T37" s="80"/>
      <c r="U37" s="472"/>
      <c r="V37" s="473"/>
      <c r="W37" s="473"/>
      <c r="X37" s="473"/>
      <c r="Y37" s="473"/>
      <c r="Z37" s="473"/>
      <c r="AA37" s="473"/>
      <c r="AB37" s="473"/>
      <c r="AC37" s="473"/>
      <c r="AD37" s="473"/>
      <c r="AE37" s="473"/>
      <c r="AF37" s="473"/>
      <c r="AG37" s="473"/>
      <c r="AH37" s="473"/>
      <c r="AI37" s="473"/>
      <c r="AJ37" s="473"/>
      <c r="AK37" s="473"/>
      <c r="AS37" s="42" t="n">
        <v>14</v>
      </c>
    </row>
    <row r="38" customFormat="false" ht="14.25" hidden="false" customHeight="true" outlineLevel="0" collapsed="false">
      <c r="Q38" s="464"/>
      <c r="R38" s="464"/>
      <c r="S38" s="134" t="s">
        <v>313</v>
      </c>
      <c r="T38" s="134"/>
      <c r="U38" s="134"/>
      <c r="V38" s="134"/>
      <c r="W38" s="134"/>
      <c r="X38" s="134"/>
      <c r="Y38" s="134"/>
      <c r="Z38" s="134"/>
      <c r="AA38" s="134"/>
      <c r="AB38" s="134"/>
      <c r="AC38" s="134"/>
      <c r="AD38" s="134"/>
      <c r="AE38" s="134"/>
      <c r="AF38" s="134"/>
      <c r="AG38" s="134"/>
      <c r="AH38" s="134"/>
      <c r="AI38" s="134"/>
      <c r="AJ38" s="134"/>
      <c r="AK38" s="134"/>
      <c r="AL38" s="134"/>
      <c r="AM38" s="134" t="s">
        <v>314</v>
      </c>
      <c r="AS38" s="42" t="n">
        <v>14</v>
      </c>
    </row>
    <row r="39" customFormat="false" ht="14.25" hidden="false" customHeight="true" outlineLevel="0" collapsed="false">
      <c r="Q39" s="464"/>
      <c r="R39" s="464"/>
      <c r="S39" s="474" t="s">
        <v>87</v>
      </c>
      <c r="T39" s="391" t="s">
        <v>441</v>
      </c>
      <c r="U39" s="475"/>
      <c r="V39" s="296" t="s">
        <v>442</v>
      </c>
      <c r="W39" s="296"/>
      <c r="X39" s="296"/>
      <c r="Y39" s="296"/>
      <c r="Z39" s="296"/>
      <c r="AA39" s="296"/>
      <c r="AB39" s="296"/>
      <c r="AC39" s="391" t="s">
        <v>443</v>
      </c>
      <c r="AD39" s="296" t="s">
        <v>442</v>
      </c>
      <c r="AE39" s="296"/>
      <c r="AF39" s="296"/>
      <c r="AG39" s="296"/>
      <c r="AH39" s="296"/>
      <c r="AI39" s="296"/>
      <c r="AJ39" s="296"/>
      <c r="AK39" s="391" t="s">
        <v>444</v>
      </c>
      <c r="AL39" s="476" t="s">
        <v>445</v>
      </c>
      <c r="AM39" s="134"/>
      <c r="AS39" s="42" t="n">
        <v>14</v>
      </c>
    </row>
    <row r="40" customFormat="false" ht="35.25" hidden="false" customHeight="true" outlineLevel="0" collapsed="false">
      <c r="Q40" s="464"/>
      <c r="R40" s="464"/>
      <c r="S40" s="474"/>
      <c r="T40" s="391"/>
      <c r="U40" s="477"/>
      <c r="V40" s="134" t="s">
        <v>446</v>
      </c>
      <c r="W40" s="428"/>
      <c r="X40" s="134" t="s">
        <v>448</v>
      </c>
      <c r="Y40" s="134"/>
      <c r="Z40" s="134" t="s">
        <v>449</v>
      </c>
      <c r="AA40" s="134"/>
      <c r="AB40" s="134"/>
      <c r="AC40" s="391"/>
      <c r="AD40" s="134" t="s">
        <v>463</v>
      </c>
      <c r="AE40" s="428"/>
      <c r="AF40" s="134" t="s">
        <v>448</v>
      </c>
      <c r="AG40" s="134"/>
      <c r="AH40" s="134" t="s">
        <v>449</v>
      </c>
      <c r="AI40" s="134"/>
      <c r="AJ40" s="134"/>
      <c r="AK40" s="391"/>
      <c r="AL40" s="476"/>
      <c r="AM40" s="134"/>
      <c r="AS40" s="42" t="n">
        <v>34</v>
      </c>
    </row>
    <row r="41" customFormat="false" ht="35.25" hidden="false" customHeight="true" outlineLevel="0" collapsed="false">
      <c r="A41" s="140"/>
      <c r="B41" s="140" t="s">
        <v>150</v>
      </c>
      <c r="C41" s="140" t="s">
        <v>151</v>
      </c>
      <c r="D41" s="140" t="s">
        <v>152</v>
      </c>
      <c r="E41" s="414" t="s">
        <v>450</v>
      </c>
      <c r="F41" s="414" t="s">
        <v>451</v>
      </c>
      <c r="G41" s="414" t="s">
        <v>452</v>
      </c>
      <c r="H41" s="414" t="s">
        <v>453</v>
      </c>
      <c r="I41" s="414" t="s">
        <v>454</v>
      </c>
      <c r="J41" s="414" t="s">
        <v>455</v>
      </c>
      <c r="K41" s="414" t="s">
        <v>456</v>
      </c>
      <c r="L41" s="414" t="s">
        <v>431</v>
      </c>
      <c r="Q41" s="464"/>
      <c r="R41" s="464"/>
      <c r="S41" s="474"/>
      <c r="T41" s="391"/>
      <c r="U41" s="478"/>
      <c r="V41" s="134"/>
      <c r="W41" s="428"/>
      <c r="X41" s="185" t="s">
        <v>457</v>
      </c>
      <c r="Y41" s="185" t="s">
        <v>458</v>
      </c>
      <c r="Z41" s="185" t="s">
        <v>459</v>
      </c>
      <c r="AA41" s="185" t="s">
        <v>460</v>
      </c>
      <c r="AB41" s="185"/>
      <c r="AC41" s="391"/>
      <c r="AD41" s="134"/>
      <c r="AE41" s="428"/>
      <c r="AF41" s="185" t="s">
        <v>457</v>
      </c>
      <c r="AG41" s="185" t="s">
        <v>458</v>
      </c>
      <c r="AH41" s="185" t="s">
        <v>459</v>
      </c>
      <c r="AI41" s="185" t="s">
        <v>460</v>
      </c>
      <c r="AJ41" s="185"/>
      <c r="AK41" s="391"/>
      <c r="AL41" s="476"/>
      <c r="AM41" s="134"/>
      <c r="AS41" s="42" t="n">
        <v>34</v>
      </c>
    </row>
    <row r="42" s="120" customFormat="true" ht="11.25" hidden="true" customHeight="true" outlineLevel="0" collapsed="false">
      <c r="A42" s="140"/>
      <c r="B42" s="140"/>
      <c r="C42" s="140"/>
      <c r="D42" s="140"/>
      <c r="E42" s="140"/>
      <c r="F42" s="140"/>
      <c r="G42" s="140"/>
      <c r="H42" s="140"/>
      <c r="I42" s="140"/>
      <c r="J42" s="140"/>
      <c r="K42" s="140"/>
      <c r="L42" s="414"/>
      <c r="M42" s="51"/>
      <c r="N42" s="51"/>
      <c r="O42" s="51"/>
      <c r="P42" s="479"/>
      <c r="Q42" s="480"/>
      <c r="R42" s="481" t="n">
        <v>1</v>
      </c>
      <c r="S42" s="482" t="s">
        <v>120</v>
      </c>
      <c r="T42" s="483" t="s">
        <v>102</v>
      </c>
      <c r="U42" s="484" t="str">
        <f aca="true">OFFSET(U42,0,-1)</f>
        <v>2</v>
      </c>
      <c r="V42" s="485" t="n">
        <f aca="true">OFFSET(V42,0,-1)+1</f>
        <v>3</v>
      </c>
      <c r="W42" s="485"/>
      <c r="X42" s="485" t="n">
        <f aca="true">OFFSET(X42,0,-1)+1</f>
        <v>1</v>
      </c>
      <c r="Y42" s="485" t="n">
        <f aca="true">OFFSET(Y42,0,-1)+1</f>
        <v>2</v>
      </c>
      <c r="Z42" s="485" t="n">
        <f aca="true">OFFSET(Z42,0,-1)+1</f>
        <v>3</v>
      </c>
      <c r="AA42" s="485" t="n">
        <f aca="true">OFFSET(AA42,0,-1)+1</f>
        <v>4</v>
      </c>
      <c r="AB42" s="485"/>
      <c r="AC42" s="485" t="n">
        <f aca="true">OFFSET(AC42,0,-2)+1</f>
        <v>5</v>
      </c>
      <c r="AD42" s="485" t="n">
        <f aca="true">OFFSET(AD42,0,-1)+1</f>
        <v>6</v>
      </c>
      <c r="AE42" s="485"/>
      <c r="AF42" s="485" t="n">
        <f aca="true">OFFSET(AF42,0,-1)+1</f>
        <v>1</v>
      </c>
      <c r="AG42" s="485" t="n">
        <f aca="true">OFFSET(AG42,0,-1)+1</f>
        <v>2</v>
      </c>
      <c r="AH42" s="485" t="n">
        <f aca="true">OFFSET(AH42,0,-1)+1</f>
        <v>3</v>
      </c>
      <c r="AI42" s="485" t="n">
        <f aca="true">OFFSET(AI42,0,-1)+1</f>
        <v>4</v>
      </c>
      <c r="AJ42" s="485"/>
      <c r="AK42" s="485" t="n">
        <f aca="true">OFFSET(AK42,0,-2)+1</f>
        <v>5</v>
      </c>
      <c r="AL42" s="484" t="n">
        <f aca="true">OFFSET(AL42,0,-1)</f>
        <v>5</v>
      </c>
      <c r="AM42" s="485" t="n">
        <f aca="true">OFFSET(AM42,0,-1)+1</f>
        <v>6</v>
      </c>
      <c r="AN42" s="47"/>
      <c r="AO42" s="47"/>
      <c r="AP42" s="47"/>
      <c r="AQ42" s="47"/>
      <c r="AR42" s="47"/>
      <c r="AS42" s="120" t="n">
        <v>0</v>
      </c>
    </row>
    <row r="43" customFormat="false" ht="21.75" hidden="false" customHeight="true" outlineLevel="0" collapsed="false">
      <c r="A43" s="412" t="s">
        <v>195</v>
      </c>
      <c r="B43" s="412"/>
      <c r="C43" s="412"/>
      <c r="D43" s="412"/>
      <c r="E43" s="413" t="n">
        <v>1</v>
      </c>
      <c r="F43" s="412"/>
      <c r="G43" s="412"/>
      <c r="H43" s="412"/>
      <c r="I43" s="412"/>
      <c r="J43" s="412"/>
      <c r="K43" s="412"/>
      <c r="L43" s="414"/>
      <c r="M43" s="40"/>
      <c r="N43" s="40"/>
      <c r="O43" s="40"/>
      <c r="Q43" s="132"/>
      <c r="R43" s="415"/>
      <c r="S43" s="416" t="n">
        <f aca="false">INDEX(PT_DIFFERENTIATION_NUM_NTAR,MATCH(A43,PT_DIFFERENTIATION_NTAR_ID,0))</f>
        <v>0</v>
      </c>
      <c r="T43" s="417" t="s">
        <v>138</v>
      </c>
      <c r="U43" s="418"/>
      <c r="V43" s="419"/>
      <c r="W43" s="419"/>
      <c r="X43" s="419"/>
      <c r="Y43" s="419"/>
      <c r="Z43" s="419"/>
      <c r="AA43" s="419"/>
      <c r="AB43" s="419"/>
      <c r="AC43" s="419"/>
      <c r="AD43" s="420" t="str">
        <f aca="false">INDEX(PT_DIFFERENTIATION_NTAR,MATCH(A43,PT_DIFFERENTIATION_NTAR_ID,0))</f>
        <v/>
      </c>
      <c r="AE43" s="420"/>
      <c r="AF43" s="420"/>
      <c r="AG43" s="420"/>
      <c r="AH43" s="420"/>
      <c r="AI43" s="420"/>
      <c r="AJ43" s="420"/>
      <c r="AK43" s="420"/>
      <c r="AL43" s="420"/>
      <c r="AM43" s="421"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8"/>
      <c r="AP43" s="118" t="str">
        <f aca="false">IF(T43="","",T43)</f>
        <v>Наименование тарифа</v>
      </c>
      <c r="AQ43" s="118"/>
      <c r="AR43" s="118"/>
      <c r="AS43" s="42" t="n">
        <v>21</v>
      </c>
    </row>
    <row r="44" customFormat="false" ht="21.75" hidden="false" customHeight="true" outlineLevel="0" collapsed="false">
      <c r="A44" s="412" t="s">
        <v>195</v>
      </c>
      <c r="B44" s="412" t="s">
        <v>196</v>
      </c>
      <c r="C44" s="412"/>
      <c r="D44" s="412"/>
      <c r="E44" s="413"/>
      <c r="F44" s="413" t="n">
        <v>1</v>
      </c>
      <c r="G44" s="412"/>
      <c r="H44" s="412"/>
      <c r="I44" s="412"/>
      <c r="J44" s="412"/>
      <c r="K44" s="412"/>
      <c r="L44" s="414"/>
      <c r="M44" s="40"/>
      <c r="N44" s="40"/>
      <c r="O44" s="40"/>
      <c r="P44" s="43"/>
      <c r="Q44" s="422"/>
      <c r="R44" s="423"/>
      <c r="S44" s="416" t="str">
        <f aca="false">INDEX(PT_DIFFERENTIATION_NUM_TER,MATCH(B44,PT_DIFFERENTIATION_TER_ID,0))</f>
        <v>.</v>
      </c>
      <c r="T44" s="424" t="s">
        <v>410</v>
      </c>
      <c r="U44" s="418"/>
      <c r="V44" s="419"/>
      <c r="W44" s="419"/>
      <c r="X44" s="419"/>
      <c r="Y44" s="419"/>
      <c r="Z44" s="419"/>
      <c r="AA44" s="419"/>
      <c r="AB44" s="419"/>
      <c r="AC44" s="419"/>
      <c r="AD44" s="420" t="str">
        <f aca="false">INDEX(PT_DIFFERENTIATION_TER,MATCH(B44,PT_DIFFERENTIATION_TER_ID,0))</f>
        <v/>
      </c>
      <c r="AE44" s="420"/>
      <c r="AF44" s="420"/>
      <c r="AG44" s="420"/>
      <c r="AH44" s="420"/>
      <c r="AI44" s="420"/>
      <c r="AJ44" s="420"/>
      <c r="AK44" s="420"/>
      <c r="AL44" s="420"/>
      <c r="AM44" s="421" t="s">
        <v>411</v>
      </c>
      <c r="AO44" s="118"/>
      <c r="AP44" s="118" t="str">
        <f aca="false">IF(T44="","",T44)</f>
        <v>Территория действия тарифа</v>
      </c>
      <c r="AQ44" s="118"/>
      <c r="AR44" s="118"/>
      <c r="AS44" s="42" t="n">
        <v>21</v>
      </c>
    </row>
    <row r="45" customFormat="false" ht="24" hidden="false" customHeight="true" outlineLevel="0" collapsed="false">
      <c r="A45" s="412" t="s">
        <v>195</v>
      </c>
      <c r="B45" s="412" t="s">
        <v>196</v>
      </c>
      <c r="C45" s="412" t="s">
        <v>197</v>
      </c>
      <c r="D45" s="412"/>
      <c r="E45" s="413"/>
      <c r="F45" s="413"/>
      <c r="G45" s="413" t="n">
        <v>1</v>
      </c>
      <c r="H45" s="412"/>
      <c r="I45" s="412"/>
      <c r="J45" s="412"/>
      <c r="K45" s="412"/>
      <c r="L45" s="414"/>
      <c r="M45" s="40"/>
      <c r="N45" s="40"/>
      <c r="O45" s="40"/>
      <c r="P45" s="425"/>
      <c r="Q45" s="422"/>
      <c r="R45" s="423"/>
      <c r="S45" s="416" t="str">
        <f aca="false">INDEX(PT_DIFFERENTIATION_NUM_CS,MATCH(C45,PT_DIFFERENTIATION_CS_ID,0))</f>
        <v>..</v>
      </c>
      <c r="T45" s="426" t="s">
        <v>412</v>
      </c>
      <c r="U45" s="418"/>
      <c r="V45" s="419"/>
      <c r="W45" s="419"/>
      <c r="X45" s="419"/>
      <c r="Y45" s="419"/>
      <c r="Z45" s="419"/>
      <c r="AA45" s="419"/>
      <c r="AB45" s="419"/>
      <c r="AC45" s="419"/>
      <c r="AD45" s="420" t="str">
        <f aca="false">INDEX(PT_DIFFERENTIATION_CS,MATCH(C45,PT_DIFFERENTIATION_CS_ID,0))</f>
        <v/>
      </c>
      <c r="AE45" s="420"/>
      <c r="AF45" s="420"/>
      <c r="AG45" s="420"/>
      <c r="AH45" s="420"/>
      <c r="AI45" s="420"/>
      <c r="AJ45" s="420"/>
      <c r="AK45" s="420"/>
      <c r="AL45" s="420"/>
      <c r="AM45" s="421" t="s">
        <v>413</v>
      </c>
      <c r="AO45" s="118"/>
      <c r="AP45" s="118" t="str">
        <f aca="false">IF(T45="","",T45)</f>
        <v>Наименование системы теплоснабжения</v>
      </c>
      <c r="AQ45" s="118"/>
      <c r="AR45" s="118"/>
      <c r="AS45" s="42" t="n">
        <v>23</v>
      </c>
    </row>
    <row r="46" customFormat="false" ht="21.75" hidden="false" customHeight="true" outlineLevel="0" collapsed="false">
      <c r="A46" s="412" t="s">
        <v>195</v>
      </c>
      <c r="B46" s="412" t="s">
        <v>196</v>
      </c>
      <c r="C46" s="412" t="s">
        <v>197</v>
      </c>
      <c r="D46" s="412" t="s">
        <v>198</v>
      </c>
      <c r="E46" s="413"/>
      <c r="F46" s="413"/>
      <c r="G46" s="413"/>
      <c r="H46" s="413" t="n">
        <v>1</v>
      </c>
      <c r="I46" s="412"/>
      <c r="J46" s="412"/>
      <c r="K46" s="412"/>
      <c r="L46" s="414"/>
      <c r="M46" s="40"/>
      <c r="N46" s="40"/>
      <c r="O46" s="40"/>
      <c r="P46" s="425"/>
      <c r="Q46" s="422"/>
      <c r="R46" s="423"/>
      <c r="S46" s="416" t="str">
        <f aca="false">INDEX(PT_DIFFERENTIATION_NUM_IST_TE,MATCH(D46,PT_DIFFERENTIATION_IST_TE_ID,0))</f>
        <v>...</v>
      </c>
      <c r="T46" s="427" t="s">
        <v>414</v>
      </c>
      <c r="U46" s="418"/>
      <c r="V46" s="419"/>
      <c r="W46" s="419"/>
      <c r="X46" s="419"/>
      <c r="Y46" s="419"/>
      <c r="Z46" s="419"/>
      <c r="AA46" s="419"/>
      <c r="AB46" s="419"/>
      <c r="AC46" s="419"/>
      <c r="AD46" s="420" t="str">
        <f aca="false">INDEX(PT_DIFFERENTIATION_IST_TE,MATCH(D46,PT_DIFFERENTIATION_IST_TE_ID,0))</f>
        <v/>
      </c>
      <c r="AE46" s="420"/>
      <c r="AF46" s="420"/>
      <c r="AG46" s="420"/>
      <c r="AH46" s="420"/>
      <c r="AI46" s="420"/>
      <c r="AJ46" s="420"/>
      <c r="AK46" s="420"/>
      <c r="AL46" s="420"/>
      <c r="AM46" s="421" t="s">
        <v>415</v>
      </c>
      <c r="AO46" s="118"/>
      <c r="AP46" s="118" t="str">
        <f aca="false">IF(T46="","",T46)</f>
        <v>Источник тепловой энергии</v>
      </c>
      <c r="AQ46" s="118"/>
      <c r="AR46" s="118"/>
      <c r="AS46" s="42" t="n">
        <v>21</v>
      </c>
    </row>
    <row r="47" s="47" customFormat="true" ht="12.8" hidden="false" customHeight="false" outlineLevel="0" collapsed="false">
      <c r="A47" s="122" t="s">
        <v>195</v>
      </c>
      <c r="B47" s="122" t="s">
        <v>196</v>
      </c>
      <c r="C47" s="122" t="s">
        <v>197</v>
      </c>
      <c r="D47" s="122" t="s">
        <v>198</v>
      </c>
      <c r="E47" s="413"/>
      <c r="F47" s="413"/>
      <c r="G47" s="413"/>
      <c r="H47" s="413"/>
      <c r="I47" s="428" t="str">
        <f aca="false">S46&amp;".1"</f>
        <v>....1</v>
      </c>
      <c r="J47" s="122"/>
      <c r="K47" s="122"/>
      <c r="L47" s="192" t="s">
        <v>416</v>
      </c>
      <c r="M47" s="506"/>
      <c r="N47" s="506"/>
      <c r="O47" s="506"/>
      <c r="P47" s="121" t="n">
        <v>1</v>
      </c>
      <c r="Q47" s="121"/>
      <c r="R47" s="429"/>
      <c r="S47" s="301"/>
      <c r="T47" s="498"/>
      <c r="U47" s="499"/>
      <c r="V47" s="500"/>
      <c r="W47" s="500"/>
      <c r="X47" s="500"/>
      <c r="Y47" s="500"/>
      <c r="Z47" s="500"/>
      <c r="AA47" s="500"/>
      <c r="AB47" s="500"/>
      <c r="AC47" s="500"/>
      <c r="AD47" s="500"/>
      <c r="AE47" s="500"/>
      <c r="AF47" s="500"/>
      <c r="AG47" s="500"/>
      <c r="AH47" s="500"/>
      <c r="AI47" s="500"/>
      <c r="AJ47" s="500"/>
      <c r="AK47" s="500"/>
      <c r="AL47" s="500"/>
      <c r="AM47" s="501"/>
      <c r="AO47" s="118"/>
      <c r="AP47" s="118" t="str">
        <f aca="false">IF(T47="","",T47)</f>
        <v/>
      </c>
      <c r="AQ47" s="118"/>
      <c r="AR47" s="118"/>
      <c r="AS47" s="47" t="n">
        <v>0</v>
      </c>
    </row>
    <row r="48" customFormat="false" ht="21.75" hidden="false" customHeight="true" outlineLevel="0" collapsed="false">
      <c r="A48" s="412" t="s">
        <v>195</v>
      </c>
      <c r="B48" s="412" t="s">
        <v>196</v>
      </c>
      <c r="C48" s="412" t="s">
        <v>197</v>
      </c>
      <c r="D48" s="412" t="s">
        <v>198</v>
      </c>
      <c r="E48" s="413"/>
      <c r="F48" s="413"/>
      <c r="G48" s="413"/>
      <c r="H48" s="413"/>
      <c r="I48" s="428"/>
      <c r="J48" s="428" t="str">
        <f aca="false">S46&amp;".1"</f>
        <v>....1</v>
      </c>
      <c r="K48" s="412"/>
      <c r="L48" s="414" t="s">
        <v>419</v>
      </c>
      <c r="P48" s="121"/>
      <c r="Q48" s="121" t="n">
        <v>1</v>
      </c>
      <c r="R48" s="432"/>
      <c r="S48" s="416" t="str">
        <f aca="false">$J48</f>
        <v>....1</v>
      </c>
      <c r="T48" s="433" t="s">
        <v>420</v>
      </c>
      <c r="U48" s="418"/>
      <c r="V48" s="431"/>
      <c r="W48" s="431"/>
      <c r="X48" s="431"/>
      <c r="Y48" s="431"/>
      <c r="Z48" s="431"/>
      <c r="AA48" s="431"/>
      <c r="AB48" s="431"/>
      <c r="AC48" s="431"/>
      <c r="AD48" s="431"/>
      <c r="AE48" s="431"/>
      <c r="AF48" s="431"/>
      <c r="AG48" s="431"/>
      <c r="AH48" s="431"/>
      <c r="AI48" s="431"/>
      <c r="AJ48" s="431"/>
      <c r="AK48" s="431"/>
      <c r="AL48" s="431"/>
      <c r="AM48" s="421" t="s">
        <v>421</v>
      </c>
      <c r="AO48" s="118"/>
      <c r="AP48" s="118" t="str">
        <f aca="false">IF(T48="","",T48)</f>
        <v>Группа потребителей</v>
      </c>
      <c r="AQ48" s="118"/>
      <c r="AR48" s="118"/>
      <c r="AS48" s="42" t="n">
        <v>21</v>
      </c>
    </row>
    <row r="49" customFormat="false" ht="21.75" hidden="false" customHeight="true" outlineLevel="0" collapsed="false">
      <c r="A49" s="412" t="s">
        <v>195</v>
      </c>
      <c r="B49" s="412" t="s">
        <v>196</v>
      </c>
      <c r="C49" s="412" t="s">
        <v>197</v>
      </c>
      <c r="D49" s="412" t="s">
        <v>198</v>
      </c>
      <c r="E49" s="413"/>
      <c r="F49" s="413"/>
      <c r="G49" s="413"/>
      <c r="H49" s="413"/>
      <c r="I49" s="428"/>
      <c r="J49" s="428"/>
      <c r="K49" s="428" t="str">
        <f aca="false">J48&amp;".1"</f>
        <v>....1.1</v>
      </c>
      <c r="L49" s="414" t="s">
        <v>422</v>
      </c>
      <c r="P49" s="121"/>
      <c r="Q49" s="121"/>
      <c r="R49" s="432" t="n">
        <v>1</v>
      </c>
      <c r="S49" s="416" t="str">
        <f aca="false">$K49</f>
        <v>....1.1</v>
      </c>
      <c r="T49" s="434"/>
      <c r="U49" s="418"/>
      <c r="V49" s="435"/>
      <c r="W49" s="436"/>
      <c r="X49" s="435"/>
      <c r="Y49" s="437"/>
      <c r="Z49" s="438"/>
      <c r="AA49" s="204" t="s">
        <v>61</v>
      </c>
      <c r="AB49" s="438"/>
      <c r="AC49" s="204" t="s">
        <v>61</v>
      </c>
      <c r="AD49" s="435"/>
      <c r="AE49" s="436"/>
      <c r="AF49" s="435"/>
      <c r="AG49" s="437"/>
      <c r="AH49" s="438"/>
      <c r="AI49" s="204" t="s">
        <v>61</v>
      </c>
      <c r="AJ49" s="438"/>
      <c r="AK49" s="204" t="s">
        <v>61</v>
      </c>
      <c r="AL49" s="486"/>
      <c r="AM49" s="439" t="s">
        <v>464</v>
      </c>
      <c r="AN49" s="47" t="e">
        <f aca="false">strcheckdate(V50:AL50)</f>
        <v>#NAME?</v>
      </c>
      <c r="AO49" s="118"/>
      <c r="AP49" s="118" t="str">
        <f aca="false">IF(T49="","",T49)</f>
        <v/>
      </c>
      <c r="AQ49" s="118"/>
      <c r="AR49" s="118"/>
      <c r="AS49" s="42" t="n">
        <v>21</v>
      </c>
    </row>
    <row r="50" customFormat="false" ht="0.75" hidden="false" customHeight="true" outlineLevel="0" collapsed="false">
      <c r="A50" s="412" t="s">
        <v>195</v>
      </c>
      <c r="B50" s="412" t="s">
        <v>196</v>
      </c>
      <c r="C50" s="412" t="s">
        <v>197</v>
      </c>
      <c r="D50" s="412" t="s">
        <v>198</v>
      </c>
      <c r="E50" s="413"/>
      <c r="F50" s="413"/>
      <c r="G50" s="413"/>
      <c r="H50" s="413"/>
      <c r="I50" s="428"/>
      <c r="J50" s="428"/>
      <c r="K50" s="428"/>
      <c r="L50" s="414"/>
      <c r="P50" s="121"/>
      <c r="Q50" s="121"/>
      <c r="R50" s="432"/>
      <c r="S50" s="393"/>
      <c r="T50" s="418"/>
      <c r="U50" s="418"/>
      <c r="V50" s="436"/>
      <c r="W50" s="436"/>
      <c r="X50" s="436"/>
      <c r="Y50" s="440" t="str">
        <f aca="false">Z49&amp;"-"&amp;AB49</f>
        <v>-</v>
      </c>
      <c r="Z50" s="438"/>
      <c r="AA50" s="204"/>
      <c r="AB50" s="438"/>
      <c r="AC50" s="204"/>
      <c r="AD50" s="436"/>
      <c r="AE50" s="436"/>
      <c r="AF50" s="436"/>
      <c r="AG50" s="440" t="str">
        <f aca="false">AH49&amp;"-"&amp;AJ49</f>
        <v>-</v>
      </c>
      <c r="AH50" s="438"/>
      <c r="AI50" s="204"/>
      <c r="AJ50" s="438"/>
      <c r="AK50" s="204"/>
      <c r="AL50" s="487"/>
      <c r="AM50" s="439"/>
      <c r="AO50" s="118"/>
      <c r="AP50" s="118" t="str">
        <f aca="false">IF(T50="","",T50)</f>
        <v/>
      </c>
      <c r="AQ50" s="118"/>
      <c r="AR50" s="118"/>
      <c r="AS50" s="42" t="n">
        <v>1</v>
      </c>
    </row>
    <row r="51" customFormat="false" ht="11.25" hidden="false" customHeight="true" outlineLevel="0" collapsed="false">
      <c r="A51" s="412" t="s">
        <v>195</v>
      </c>
      <c r="B51" s="412" t="s">
        <v>196</v>
      </c>
      <c r="C51" s="412" t="s">
        <v>197</v>
      </c>
      <c r="D51" s="412" t="s">
        <v>198</v>
      </c>
      <c r="E51" s="413"/>
      <c r="F51" s="413"/>
      <c r="G51" s="413"/>
      <c r="H51" s="413"/>
      <c r="I51" s="428"/>
      <c r="J51" s="428"/>
      <c r="K51" s="412"/>
      <c r="L51" s="414"/>
      <c r="P51" s="121"/>
      <c r="Q51" s="121"/>
      <c r="R51" s="429"/>
      <c r="S51" s="441"/>
      <c r="T51" s="444" t="s">
        <v>424</v>
      </c>
      <c r="U51" s="194"/>
      <c r="V51" s="194"/>
      <c r="W51" s="194"/>
      <c r="X51" s="194"/>
      <c r="Y51" s="194"/>
      <c r="Z51" s="194"/>
      <c r="AA51" s="194"/>
      <c r="AB51" s="194"/>
      <c r="AC51" s="194"/>
      <c r="AD51" s="194"/>
      <c r="AE51" s="194"/>
      <c r="AF51" s="194"/>
      <c r="AG51" s="194"/>
      <c r="AH51" s="194"/>
      <c r="AI51" s="194"/>
      <c r="AJ51" s="194"/>
      <c r="AK51" s="194"/>
      <c r="AL51" s="443"/>
      <c r="AM51" s="439"/>
      <c r="AO51" s="118"/>
      <c r="AP51" s="118" t="str">
        <f aca="false">IF(T51="","",T51)</f>
        <v>Добавить вид теплоносителя (параметры теплоносителя)</v>
      </c>
      <c r="AQ51" s="118"/>
      <c r="AR51" s="118"/>
      <c r="AS51" s="42" t="n">
        <v>11</v>
      </c>
    </row>
    <row r="52" customFormat="false" ht="11.25" hidden="false" customHeight="true" outlineLevel="0" collapsed="false">
      <c r="A52" s="412" t="s">
        <v>195</v>
      </c>
      <c r="B52" s="412" t="s">
        <v>196</v>
      </c>
      <c r="C52" s="412" t="s">
        <v>197</v>
      </c>
      <c r="D52" s="412" t="s">
        <v>198</v>
      </c>
      <c r="E52" s="413"/>
      <c r="F52" s="413"/>
      <c r="G52" s="413"/>
      <c r="H52" s="413"/>
      <c r="I52" s="428"/>
      <c r="J52" s="412"/>
      <c r="K52" s="412"/>
      <c r="L52" s="414"/>
      <c r="P52" s="121"/>
      <c r="Q52" s="121"/>
      <c r="R52" s="429"/>
      <c r="S52" s="441"/>
      <c r="T52" s="448" t="s">
        <v>425</v>
      </c>
      <c r="U52" s="194"/>
      <c r="V52" s="194"/>
      <c r="W52" s="194"/>
      <c r="X52" s="194"/>
      <c r="Y52" s="194"/>
      <c r="Z52" s="194"/>
      <c r="AA52" s="194"/>
      <c r="AB52" s="194"/>
      <c r="AC52" s="445"/>
      <c r="AD52" s="194"/>
      <c r="AE52" s="194"/>
      <c r="AF52" s="194"/>
      <c r="AG52" s="194"/>
      <c r="AH52" s="194"/>
      <c r="AI52" s="194"/>
      <c r="AJ52" s="194"/>
      <c r="AK52" s="445"/>
      <c r="AL52" s="194"/>
      <c r="AM52" s="446"/>
      <c r="AO52" s="118"/>
      <c r="AP52" s="118" t="str">
        <f aca="false">IF(T52="","",T52)</f>
        <v>Добавить группу потребителей</v>
      </c>
      <c r="AQ52" s="118"/>
      <c r="AR52" s="118"/>
      <c r="AS52" s="42" t="n">
        <v>11</v>
      </c>
    </row>
    <row r="53" customFormat="false" ht="12.8" hidden="false" customHeight="false" outlineLevel="0" collapsed="false">
      <c r="A53" s="412" t="s">
        <v>195</v>
      </c>
      <c r="B53" s="412" t="s">
        <v>196</v>
      </c>
      <c r="C53" s="412" t="s">
        <v>197</v>
      </c>
      <c r="D53" s="412" t="s">
        <v>198</v>
      </c>
      <c r="E53" s="413"/>
      <c r="F53" s="413"/>
      <c r="G53" s="413"/>
      <c r="H53" s="413"/>
      <c r="I53" s="412"/>
      <c r="J53" s="412"/>
      <c r="K53" s="412"/>
      <c r="L53" s="414"/>
      <c r="M53" s="40"/>
      <c r="N53" s="40"/>
      <c r="O53" s="45"/>
      <c r="P53" s="132"/>
      <c r="Q53" s="447"/>
      <c r="R53" s="415"/>
      <c r="S53" s="502"/>
      <c r="T53" s="503"/>
      <c r="U53" s="504"/>
      <c r="V53" s="504"/>
      <c r="W53" s="504"/>
      <c r="X53" s="504"/>
      <c r="Y53" s="504"/>
      <c r="Z53" s="504"/>
      <c r="AA53" s="504"/>
      <c r="AB53" s="504"/>
      <c r="AC53" s="504"/>
      <c r="AD53" s="504"/>
      <c r="AE53" s="504"/>
      <c r="AF53" s="504"/>
      <c r="AG53" s="504"/>
      <c r="AH53" s="504"/>
      <c r="AI53" s="504"/>
      <c r="AJ53" s="504"/>
      <c r="AK53" s="504"/>
      <c r="AL53" s="504"/>
      <c r="AM53" s="505"/>
      <c r="AO53" s="118"/>
      <c r="AP53" s="118" t="str">
        <f aca="false">IF(T53="","",T53)</f>
        <v/>
      </c>
      <c r="AQ53" s="118"/>
      <c r="AR53" s="118"/>
      <c r="AS53" s="42" t="n">
        <v>0</v>
      </c>
    </row>
    <row r="54" s="47" customFormat="true" ht="0.75" hidden="false" customHeight="true" outlineLevel="0" collapsed="false">
      <c r="A54" s="122" t="s">
        <v>195</v>
      </c>
      <c r="B54" s="122" t="s">
        <v>196</v>
      </c>
      <c r="C54" s="122" t="s">
        <v>197</v>
      </c>
      <c r="D54" s="122"/>
      <c r="E54" s="413"/>
      <c r="F54" s="413"/>
      <c r="G54" s="413"/>
      <c r="H54" s="122"/>
      <c r="I54" s="122"/>
      <c r="J54" s="122"/>
      <c r="K54" s="122"/>
      <c r="L54" s="192"/>
      <c r="M54" s="46"/>
      <c r="N54" s="46"/>
      <c r="P54" s="156"/>
      <c r="Q54" s="449"/>
      <c r="R54" s="156"/>
      <c r="S54" s="454"/>
      <c r="T54" s="457" t="s">
        <v>427</v>
      </c>
      <c r="U54" s="456"/>
      <c r="V54" s="456"/>
      <c r="W54" s="456"/>
      <c r="X54" s="456"/>
      <c r="Y54" s="456"/>
      <c r="Z54" s="456"/>
      <c r="AA54" s="456"/>
      <c r="AB54" s="456"/>
      <c r="AC54" s="456"/>
      <c r="AD54" s="456"/>
      <c r="AE54" s="456"/>
      <c r="AF54" s="456"/>
      <c r="AG54" s="456"/>
      <c r="AH54" s="456"/>
      <c r="AI54" s="456"/>
      <c r="AJ54" s="456"/>
      <c r="AK54" s="456"/>
      <c r="AL54" s="456"/>
      <c r="AM54" s="456"/>
      <c r="AO54" s="118"/>
      <c r="AP54" s="118" t="str">
        <f aca="false">IF(T54="","",T54)</f>
        <v>Добавить источник для дифференциации</v>
      </c>
      <c r="AQ54" s="118"/>
      <c r="AR54" s="118"/>
      <c r="AS54" s="47" t="n">
        <v>1</v>
      </c>
    </row>
    <row r="55" s="47" customFormat="true" ht="0.75" hidden="false" customHeight="true" outlineLevel="0" collapsed="false">
      <c r="A55" s="122" t="s">
        <v>195</v>
      </c>
      <c r="B55" s="122" t="s">
        <v>196</v>
      </c>
      <c r="C55" s="122"/>
      <c r="D55" s="122"/>
      <c r="E55" s="413"/>
      <c r="F55" s="413"/>
      <c r="G55" s="122"/>
      <c r="H55" s="122"/>
      <c r="I55" s="122"/>
      <c r="J55" s="122"/>
      <c r="K55" s="122"/>
      <c r="L55" s="192"/>
      <c r="M55" s="453"/>
      <c r="N55" s="453"/>
      <c r="P55" s="156"/>
      <c r="Q55" s="449"/>
      <c r="R55" s="156"/>
      <c r="S55" s="454"/>
      <c r="T55" s="457" t="s">
        <v>428</v>
      </c>
      <c r="U55" s="456"/>
      <c r="V55" s="456"/>
      <c r="W55" s="456"/>
      <c r="X55" s="456"/>
      <c r="Y55" s="456"/>
      <c r="Z55" s="456"/>
      <c r="AA55" s="456"/>
      <c r="AB55" s="456"/>
      <c r="AC55" s="456"/>
      <c r="AD55" s="456"/>
      <c r="AE55" s="456"/>
      <c r="AF55" s="456"/>
      <c r="AG55" s="456"/>
      <c r="AH55" s="456"/>
      <c r="AI55" s="456"/>
      <c r="AJ55" s="456"/>
      <c r="AK55" s="456"/>
      <c r="AL55" s="456"/>
      <c r="AM55" s="456"/>
      <c r="AO55" s="118"/>
      <c r="AP55" s="118" t="str">
        <f aca="false">IF(T55="","",T55)</f>
        <v>Добавить централизованную систему для дифференциации</v>
      </c>
      <c r="AQ55" s="118"/>
      <c r="AR55" s="118"/>
      <c r="AS55" s="47" t="n">
        <v>1</v>
      </c>
    </row>
    <row r="56" s="47" customFormat="true" ht="0.75" hidden="false" customHeight="true" outlineLevel="0" collapsed="false">
      <c r="A56" s="122" t="s">
        <v>195</v>
      </c>
      <c r="B56" s="122"/>
      <c r="C56" s="122"/>
      <c r="D56" s="122"/>
      <c r="E56" s="413"/>
      <c r="F56" s="122"/>
      <c r="G56" s="122"/>
      <c r="H56" s="122"/>
      <c r="I56" s="122"/>
      <c r="J56" s="122"/>
      <c r="K56" s="122"/>
      <c r="L56" s="192"/>
      <c r="M56" s="453"/>
      <c r="N56" s="453"/>
      <c r="P56" s="156"/>
      <c r="Q56" s="449"/>
      <c r="R56" s="156"/>
      <c r="S56" s="454"/>
      <c r="T56" s="457" t="s">
        <v>429</v>
      </c>
      <c r="U56" s="456"/>
      <c r="V56" s="456"/>
      <c r="W56" s="456"/>
      <c r="X56" s="456"/>
      <c r="Y56" s="456"/>
      <c r="Z56" s="456"/>
      <c r="AA56" s="456"/>
      <c r="AB56" s="456"/>
      <c r="AC56" s="456"/>
      <c r="AD56" s="456"/>
      <c r="AE56" s="456"/>
      <c r="AF56" s="456"/>
      <c r="AG56" s="456"/>
      <c r="AH56" s="456"/>
      <c r="AI56" s="456"/>
      <c r="AJ56" s="456"/>
      <c r="AK56" s="456"/>
      <c r="AL56" s="456"/>
      <c r="AM56" s="456"/>
      <c r="AO56" s="118"/>
      <c r="AP56" s="118" t="str">
        <f aca="false">IF(T56="","",T56)</f>
        <v>Добавить территорию для дифференциации</v>
      </c>
      <c r="AQ56" s="118"/>
      <c r="AR56" s="118"/>
      <c r="AS56" s="47" t="n">
        <v>1</v>
      </c>
    </row>
    <row r="57" s="47" customFormat="true" ht="0.75" hidden="false" customHeight="true" outlineLevel="0" collapsed="false">
      <c r="A57" s="122"/>
      <c r="B57" s="122"/>
      <c r="C57" s="122"/>
      <c r="D57" s="122"/>
      <c r="E57" s="122"/>
      <c r="F57" s="122"/>
      <c r="G57" s="122"/>
      <c r="H57" s="122"/>
      <c r="I57" s="122"/>
      <c r="J57" s="122"/>
      <c r="K57" s="122"/>
      <c r="L57" s="192"/>
      <c r="M57" s="453"/>
      <c r="N57" s="453"/>
      <c r="P57" s="156"/>
      <c r="Q57" s="449"/>
      <c r="R57" s="156"/>
      <c r="S57" s="454"/>
      <c r="T57" s="457" t="s">
        <v>461</v>
      </c>
      <c r="U57" s="456"/>
      <c r="V57" s="456"/>
      <c r="W57" s="456"/>
      <c r="X57" s="456"/>
      <c r="Y57" s="456"/>
      <c r="Z57" s="456"/>
      <c r="AA57" s="456"/>
      <c r="AB57" s="456"/>
      <c r="AC57" s="456"/>
      <c r="AD57" s="456"/>
      <c r="AE57" s="456"/>
      <c r="AF57" s="456"/>
      <c r="AG57" s="456"/>
      <c r="AH57" s="456"/>
      <c r="AI57" s="456"/>
      <c r="AJ57" s="456"/>
      <c r="AK57" s="456"/>
      <c r="AL57" s="456"/>
      <c r="AM57" s="456"/>
      <c r="AO57" s="118"/>
      <c r="AP57" s="118" t="str">
        <f aca="false">IF(T57="","",T57)</f>
        <v>Добавить наименование тарифа</v>
      </c>
      <c r="AQ57" s="118"/>
      <c r="AR57" s="118"/>
      <c r="AS57" s="47"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3.25" hidden="false" customHeight="true" outlineLevel="0" collapsed="false">
      <c r="O59" s="45"/>
      <c r="S59" s="409"/>
      <c r="T59" s="488"/>
      <c r="U59" s="488"/>
      <c r="V59" s="488"/>
      <c r="W59" s="488"/>
      <c r="X59" s="488"/>
      <c r="Y59" s="488"/>
      <c r="Z59" s="488"/>
      <c r="AA59" s="488"/>
      <c r="AB59" s="488"/>
      <c r="AC59" s="488"/>
      <c r="AD59" s="488"/>
      <c r="AE59" s="488"/>
      <c r="AF59" s="488"/>
      <c r="AG59" s="488"/>
      <c r="AH59" s="488"/>
      <c r="AI59" s="488"/>
      <c r="AJ59" s="488"/>
      <c r="AK59" s="488"/>
      <c r="AL59" s="488"/>
      <c r="AM59" s="488"/>
      <c r="AS59" s="42" t="n">
        <v>22</v>
      </c>
    </row>
    <row r="60" customFormat="false" ht="30" hidden="false" customHeight="true" outlineLevel="0" collapsed="false">
      <c r="O60" s="45"/>
      <c r="T60" s="488"/>
      <c r="U60" s="488"/>
      <c r="V60" s="488"/>
      <c r="W60" s="488"/>
      <c r="X60" s="488"/>
      <c r="Y60" s="488"/>
      <c r="Z60" s="488"/>
      <c r="AA60" s="488"/>
      <c r="AB60" s="488"/>
      <c r="AC60" s="488"/>
      <c r="AD60" s="488"/>
      <c r="AE60" s="488"/>
      <c r="AF60" s="488"/>
      <c r="AG60" s="488"/>
      <c r="AH60" s="488"/>
      <c r="AI60" s="488"/>
      <c r="AJ60" s="488"/>
      <c r="AK60" s="488"/>
      <c r="AL60" s="488"/>
      <c r="AM60" s="488"/>
      <c r="AS60" s="42" t="n">
        <v>29</v>
      </c>
    </row>
    <row r="61" customFormat="false" ht="42" hidden="false" customHeight="true" outlineLevel="0" collapsed="false">
      <c r="O61" s="45"/>
      <c r="T61" s="488"/>
      <c r="U61" s="488"/>
      <c r="V61" s="488"/>
      <c r="W61" s="488"/>
      <c r="X61" s="488"/>
      <c r="Y61" s="488"/>
      <c r="Z61" s="488"/>
      <c r="AA61" s="488"/>
      <c r="AB61" s="488"/>
      <c r="AC61" s="488"/>
      <c r="AD61" s="488"/>
      <c r="AE61" s="488"/>
      <c r="AF61" s="488"/>
      <c r="AG61" s="488"/>
      <c r="AH61" s="488"/>
      <c r="AI61" s="488"/>
      <c r="AJ61" s="488"/>
      <c r="AK61" s="488"/>
      <c r="AL61" s="488"/>
      <c r="AM61" s="488"/>
      <c r="AS61" s="42" t="n">
        <v>40</v>
      </c>
    </row>
    <row r="62" customFormat="false" ht="14.25" hidden="false" customHeight="true" outlineLevel="0" collapsed="false">
      <c r="O62" s="45"/>
      <c r="AS62" s="42" t="n">
        <v>14</v>
      </c>
    </row>
    <row r="63" customFormat="false" ht="21" hidden="false" customHeight="true" outlineLevel="0" collapsed="false">
      <c r="O63" s="45"/>
      <c r="S63" s="409"/>
      <c r="T63" s="250"/>
      <c r="U63" s="250"/>
      <c r="V63" s="250"/>
      <c r="W63" s="250"/>
      <c r="X63" s="250"/>
      <c r="Y63" s="250"/>
      <c r="Z63" s="250"/>
      <c r="AA63" s="250"/>
      <c r="AB63" s="250"/>
      <c r="AC63" s="250"/>
      <c r="AD63" s="250"/>
      <c r="AE63" s="250"/>
      <c r="AF63" s="250"/>
      <c r="AG63" s="250"/>
      <c r="AH63" s="250"/>
      <c r="AI63" s="250"/>
      <c r="AJ63" s="250"/>
      <c r="AK63" s="250"/>
      <c r="AL63" s="250"/>
      <c r="AM63" s="250"/>
      <c r="AS63" s="42" t="n">
        <v>20</v>
      </c>
    </row>
    <row r="64" customFormat="false" ht="29.25" hidden="false" customHeight="true" outlineLevel="0" collapsed="false">
      <c r="O64" s="45"/>
      <c r="T64" s="488"/>
      <c r="U64" s="488"/>
      <c r="V64" s="488"/>
      <c r="W64" s="488"/>
      <c r="X64" s="488"/>
      <c r="Y64" s="488"/>
      <c r="Z64" s="488"/>
      <c r="AA64" s="488"/>
      <c r="AB64" s="488"/>
      <c r="AC64" s="488"/>
      <c r="AD64" s="488"/>
      <c r="AE64" s="488"/>
      <c r="AF64" s="488"/>
      <c r="AG64" s="488"/>
      <c r="AH64" s="488"/>
      <c r="AI64" s="488"/>
      <c r="AJ64" s="488"/>
      <c r="AK64" s="488"/>
      <c r="AL64" s="488"/>
      <c r="AM64" s="488"/>
      <c r="AS64" s="42" t="n">
        <v>28</v>
      </c>
    </row>
    <row r="65" customFormat="false" ht="35.25" hidden="false" customHeight="true" outlineLevel="0" collapsed="false">
      <c r="T65" s="488"/>
      <c r="U65" s="488"/>
      <c r="V65" s="488"/>
      <c r="W65" s="488"/>
      <c r="X65" s="488"/>
      <c r="Y65" s="488"/>
      <c r="Z65" s="488"/>
      <c r="AA65" s="488"/>
      <c r="AB65" s="488"/>
      <c r="AC65" s="488"/>
      <c r="AD65" s="488"/>
      <c r="AE65" s="488"/>
      <c r="AF65" s="488"/>
      <c r="AG65" s="488"/>
      <c r="AH65" s="488"/>
      <c r="AI65" s="488"/>
      <c r="AJ65" s="488"/>
      <c r="AK65" s="488"/>
      <c r="AL65" s="488"/>
      <c r="AM65" s="488"/>
      <c r="AS65" s="42" t="n">
        <v>34</v>
      </c>
    </row>
    <row r="66" customFormat="false" ht="22.5" hidden="true" customHeight="true" outlineLevel="0" collapsed="false">
      <c r="A66" s="45" t="s">
        <v>81</v>
      </c>
      <c r="B66" s="45" t="n">
        <v>0</v>
      </c>
      <c r="C66" s="45" t="n">
        <v>0</v>
      </c>
      <c r="D66" s="45" t="n">
        <v>0</v>
      </c>
      <c r="E66" s="45" t="n">
        <v>0</v>
      </c>
      <c r="F66" s="45" t="n">
        <v>0</v>
      </c>
      <c r="G66" s="45" t="n">
        <v>0</v>
      </c>
      <c r="H66" s="45" t="n">
        <v>0</v>
      </c>
      <c r="I66" s="45" t="n">
        <v>0</v>
      </c>
      <c r="J66" s="45" t="n">
        <v>0</v>
      </c>
      <c r="K66" s="45" t="n">
        <v>0</v>
      </c>
      <c r="L66" s="44" t="n">
        <v>0</v>
      </c>
      <c r="M66" s="51" t="n">
        <v>0</v>
      </c>
      <c r="N66" s="51" t="n">
        <v>0</v>
      </c>
      <c r="O66" s="51" t="n">
        <v>0</v>
      </c>
      <c r="P66" s="50" t="n">
        <v>0</v>
      </c>
      <c r="Q66" s="411" t="n">
        <v>3</v>
      </c>
      <c r="R66" s="411" t="n">
        <v>3</v>
      </c>
      <c r="S66" s="75"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7" t="n">
        <v>10</v>
      </c>
      <c r="AO66" s="47" t="n">
        <v>10</v>
      </c>
      <c r="AP66" s="47" t="n">
        <v>10</v>
      </c>
      <c r="AQ66" s="47" t="n">
        <v>10</v>
      </c>
      <c r="AR66" s="47"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true" outlineLevel="0" max="16" min="16" style="50" width="3.71"/>
    <col collapsed="false" customWidth="true" hidden="false" outlineLevel="0" max="18" min="17" style="411" width="3"/>
    <col collapsed="false" customWidth="true" hidden="false" outlineLevel="0" max="19" min="19" style="75" width="12"/>
    <col collapsed="false" customWidth="true" hidden="false" outlineLevel="0" max="20" min="20" style="42" width="31"/>
    <col collapsed="false" customWidth="true" hidden="false" outlineLevel="0" max="21" min="21" style="42" width="0.14"/>
    <col collapsed="false" customWidth="true" hidden="true" outlineLevel="0" max="22" min="22" style="42" width="24.71"/>
    <col collapsed="false" customWidth="true" hidden="true" outlineLevel="0" max="23" min="23" style="42" width="0.14"/>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4"/>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7"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12"/>
      <c r="B2" s="412"/>
      <c r="C2" s="412"/>
      <c r="D2" s="412"/>
      <c r="E2" s="413" t="n">
        <v>1</v>
      </c>
      <c r="F2" s="412"/>
      <c r="G2" s="412"/>
      <c r="H2" s="412"/>
      <c r="I2" s="412"/>
      <c r="J2" s="412"/>
      <c r="K2" s="412"/>
      <c r="L2" s="414"/>
      <c r="M2" s="40"/>
      <c r="N2" s="40"/>
      <c r="O2" s="40"/>
      <c r="Q2" s="132"/>
      <c r="R2" s="415"/>
      <c r="S2" s="416" t="e">
        <f aca="false">INDEX(PT_DIFFERENTIATION_NUM_NTAR,MATCH(A2,PT_DIFFERENTIATION_NTAR_ID,0))</f>
        <v>#N/A</v>
      </c>
      <c r="T2" s="417" t="s">
        <v>138</v>
      </c>
      <c r="U2" s="418"/>
      <c r="V2" s="419"/>
      <c r="W2" s="419"/>
      <c r="X2" s="419"/>
      <c r="Y2" s="419"/>
      <c r="Z2" s="419"/>
      <c r="AA2" s="419"/>
      <c r="AB2" s="419"/>
      <c r="AC2" s="419"/>
      <c r="AD2" s="420" t="e">
        <f aca="false">INDEX(PT_DIFFERENTIATION_NTAR,MATCH(A2,PT_DIFFERENTIATION_NTAR_ID,0))</f>
        <v>#N/A</v>
      </c>
      <c r="AE2" s="420"/>
      <c r="AF2" s="420"/>
      <c r="AG2" s="420"/>
      <c r="AH2" s="420"/>
      <c r="AI2" s="420"/>
      <c r="AJ2" s="420"/>
      <c r="AK2" s="420"/>
      <c r="AL2" s="420"/>
      <c r="AM2" s="421" t="s">
        <v>409</v>
      </c>
      <c r="AO2" s="118"/>
      <c r="AP2" s="118" t="str">
        <f aca="false">IF(T2="","",T2)</f>
        <v>Наименование тарифа</v>
      </c>
      <c r="AQ2" s="118"/>
      <c r="AR2" s="118"/>
      <c r="AS2" s="42" t="n">
        <v>0</v>
      </c>
    </row>
    <row r="3" customFormat="false" ht="21" hidden="true" customHeight="true" outlineLevel="0" collapsed="false">
      <c r="A3" s="412"/>
      <c r="B3" s="412"/>
      <c r="C3" s="412"/>
      <c r="D3" s="412"/>
      <c r="E3" s="413"/>
      <c r="F3" s="413" t="n">
        <v>1</v>
      </c>
      <c r="G3" s="412"/>
      <c r="H3" s="412"/>
      <c r="I3" s="412"/>
      <c r="J3" s="412"/>
      <c r="K3" s="412"/>
      <c r="L3" s="414"/>
      <c r="M3" s="40"/>
      <c r="N3" s="40"/>
      <c r="O3" s="40"/>
      <c r="P3" s="43"/>
      <c r="Q3" s="422"/>
      <c r="R3" s="423"/>
      <c r="S3" s="416" t="e">
        <f aca="false">INDEX(PT_DIFFERENTIATION_NUM_TER,MATCH(B3,PT_DIFFERENTIATION_TER_ID,0))</f>
        <v>#N/A</v>
      </c>
      <c r="T3" s="424" t="s">
        <v>410</v>
      </c>
      <c r="U3" s="418"/>
      <c r="V3" s="419"/>
      <c r="W3" s="419"/>
      <c r="X3" s="419"/>
      <c r="Y3" s="419"/>
      <c r="Z3" s="419"/>
      <c r="AA3" s="419"/>
      <c r="AB3" s="419"/>
      <c r="AC3" s="419"/>
      <c r="AD3" s="420" t="e">
        <f aca="false">INDEX(PT_DIFFERENTIATION_TER,MATCH(B3,PT_DIFFERENTIATION_TER_ID,0))</f>
        <v>#N/A</v>
      </c>
      <c r="AE3" s="420"/>
      <c r="AF3" s="420"/>
      <c r="AG3" s="420"/>
      <c r="AH3" s="420"/>
      <c r="AI3" s="420"/>
      <c r="AJ3" s="420"/>
      <c r="AK3" s="420"/>
      <c r="AL3" s="420"/>
      <c r="AM3" s="421" t="s">
        <v>411</v>
      </c>
      <c r="AO3" s="118"/>
      <c r="AP3" s="118" t="str">
        <f aca="false">IF(T3="","",T3)</f>
        <v>Территория действия тарифа</v>
      </c>
      <c r="AQ3" s="118"/>
      <c r="AR3" s="118"/>
      <c r="AS3" s="42" t="n">
        <v>0</v>
      </c>
    </row>
    <row r="4" customFormat="false" ht="23.25" hidden="true" customHeight="true" outlineLevel="0" collapsed="false">
      <c r="A4" s="412"/>
      <c r="B4" s="412"/>
      <c r="C4" s="412"/>
      <c r="D4" s="412"/>
      <c r="E4" s="413"/>
      <c r="F4" s="413"/>
      <c r="G4" s="413" t="n">
        <v>1</v>
      </c>
      <c r="H4" s="412"/>
      <c r="I4" s="412"/>
      <c r="J4" s="412"/>
      <c r="K4" s="412"/>
      <c r="L4" s="414"/>
      <c r="M4" s="40"/>
      <c r="N4" s="40"/>
      <c r="O4" s="40"/>
      <c r="P4" s="425"/>
      <c r="Q4" s="422"/>
      <c r="R4" s="423"/>
      <c r="S4" s="416" t="e">
        <f aca="false">INDEX(PT_DIFFERENTIATION_NUM_CS,MATCH(C4,PT_DIFFERENTIATION_CS_ID,0))</f>
        <v>#N/A</v>
      </c>
      <c r="T4" s="426" t="s">
        <v>412</v>
      </c>
      <c r="U4" s="418"/>
      <c r="V4" s="419"/>
      <c r="W4" s="419"/>
      <c r="X4" s="419"/>
      <c r="Y4" s="419"/>
      <c r="Z4" s="419"/>
      <c r="AA4" s="419"/>
      <c r="AB4" s="419"/>
      <c r="AC4" s="419"/>
      <c r="AD4" s="420" t="e">
        <f aca="false">INDEX(PT_DIFFERENTIATION_CS,MATCH(C4,PT_DIFFERENTIATION_CS_ID,0))</f>
        <v>#N/A</v>
      </c>
      <c r="AE4" s="420"/>
      <c r="AF4" s="420"/>
      <c r="AG4" s="420"/>
      <c r="AH4" s="420"/>
      <c r="AI4" s="420"/>
      <c r="AJ4" s="420"/>
      <c r="AK4" s="420"/>
      <c r="AL4" s="420"/>
      <c r="AM4" s="421" t="s">
        <v>413</v>
      </c>
      <c r="AO4" s="118"/>
      <c r="AP4" s="118" t="str">
        <f aca="false">IF(T4="","",T4)</f>
        <v>Наименование системы теплоснабжения</v>
      </c>
      <c r="AQ4" s="118"/>
      <c r="AR4" s="118"/>
      <c r="AS4" s="42" t="n">
        <v>0</v>
      </c>
    </row>
    <row r="5" customFormat="false" ht="21" hidden="true" customHeight="true" outlineLevel="0" collapsed="false">
      <c r="A5" s="412"/>
      <c r="B5" s="412"/>
      <c r="C5" s="412"/>
      <c r="D5" s="412"/>
      <c r="E5" s="413"/>
      <c r="F5" s="413"/>
      <c r="G5" s="413"/>
      <c r="H5" s="413" t="n">
        <v>1</v>
      </c>
      <c r="I5" s="412"/>
      <c r="J5" s="412"/>
      <c r="K5" s="412"/>
      <c r="L5" s="414"/>
      <c r="M5" s="40"/>
      <c r="N5" s="40"/>
      <c r="O5" s="40"/>
      <c r="P5" s="425"/>
      <c r="Q5" s="422"/>
      <c r="R5" s="423"/>
      <c r="S5" s="416" t="e">
        <f aca="false">INDEX(PT_DIFFERENTIATION_NUM_IST_TE,MATCH(D5,PT_DIFFERENTIATION_IST_TE_ID,0))</f>
        <v>#N/A</v>
      </c>
      <c r="T5" s="427" t="s">
        <v>414</v>
      </c>
      <c r="U5" s="418"/>
      <c r="V5" s="419"/>
      <c r="W5" s="419"/>
      <c r="X5" s="419"/>
      <c r="Y5" s="419"/>
      <c r="Z5" s="419"/>
      <c r="AA5" s="419"/>
      <c r="AB5" s="419"/>
      <c r="AC5" s="419"/>
      <c r="AD5" s="420" t="e">
        <f aca="false">INDEX(PT_DIFFERENTIATION_IST_TE,MATCH(D5,PT_DIFFERENTIATION_IST_TE_ID,0))</f>
        <v>#N/A</v>
      </c>
      <c r="AE5" s="420"/>
      <c r="AF5" s="420"/>
      <c r="AG5" s="420"/>
      <c r="AH5" s="420"/>
      <c r="AI5" s="420"/>
      <c r="AJ5" s="420"/>
      <c r="AK5" s="420"/>
      <c r="AL5" s="420"/>
      <c r="AM5" s="421" t="s">
        <v>415</v>
      </c>
      <c r="AO5" s="118"/>
      <c r="AP5" s="118" t="str">
        <f aca="false">IF(T5="","",T5)</f>
        <v>Источник тепловой энергии</v>
      </c>
      <c r="AQ5" s="118"/>
      <c r="AR5" s="118"/>
      <c r="AS5" s="42" t="n">
        <v>0</v>
      </c>
    </row>
    <row r="6" customFormat="false" ht="14.25" hidden="true" customHeight="true" outlineLevel="0" collapsed="false">
      <c r="A6" s="412"/>
      <c r="B6" s="412"/>
      <c r="C6" s="412"/>
      <c r="D6" s="412"/>
      <c r="E6" s="413"/>
      <c r="F6" s="413"/>
      <c r="G6" s="413"/>
      <c r="H6" s="413"/>
      <c r="I6" s="428" t="e">
        <f aca="false">S5&amp;".1"</f>
        <v>#N/A</v>
      </c>
      <c r="J6" s="412"/>
      <c r="K6" s="412"/>
      <c r="L6" s="414" t="s">
        <v>416</v>
      </c>
      <c r="M6" s="45"/>
      <c r="P6" s="121" t="n">
        <v>1</v>
      </c>
      <c r="Q6" s="121"/>
      <c r="R6" s="429"/>
      <c r="S6" s="301"/>
      <c r="T6" s="498"/>
      <c r="U6" s="499"/>
      <c r="V6" s="500"/>
      <c r="W6" s="500"/>
      <c r="X6" s="500"/>
      <c r="Y6" s="500"/>
      <c r="Z6" s="500"/>
      <c r="AA6" s="500"/>
      <c r="AB6" s="500"/>
      <c r="AC6" s="500"/>
      <c r="AD6" s="500"/>
      <c r="AE6" s="500"/>
      <c r="AF6" s="500"/>
      <c r="AG6" s="500"/>
      <c r="AH6" s="500"/>
      <c r="AI6" s="500"/>
      <c r="AJ6" s="500"/>
      <c r="AK6" s="500"/>
      <c r="AL6" s="500"/>
      <c r="AM6" s="501"/>
      <c r="AO6" s="118"/>
      <c r="AP6" s="118" t="str">
        <f aca="false">IF(T6="","",T6)</f>
        <v/>
      </c>
      <c r="AQ6" s="118"/>
      <c r="AR6" s="118"/>
      <c r="AS6" s="42" t="n">
        <v>0</v>
      </c>
    </row>
    <row r="7" customFormat="false" ht="21" hidden="true" customHeight="true" outlineLevel="0" collapsed="false">
      <c r="A7" s="412"/>
      <c r="B7" s="412"/>
      <c r="C7" s="412"/>
      <c r="D7" s="412"/>
      <c r="E7" s="413"/>
      <c r="F7" s="413"/>
      <c r="G7" s="413"/>
      <c r="H7" s="413"/>
      <c r="I7" s="428"/>
      <c r="J7" s="428" t="e">
        <f aca="false">I6&amp;".1"</f>
        <v>#N/A</v>
      </c>
      <c r="K7" s="412"/>
      <c r="L7" s="414" t="s">
        <v>419</v>
      </c>
      <c r="M7" s="45"/>
      <c r="N7" s="45"/>
      <c r="P7" s="121"/>
      <c r="Q7" s="121" t="n">
        <v>1</v>
      </c>
      <c r="R7" s="432"/>
      <c r="S7" s="416" t="e">
        <f aca="false">$J7</f>
        <v>#N/A</v>
      </c>
      <c r="T7" s="433" t="s">
        <v>420</v>
      </c>
      <c r="U7" s="418"/>
      <c r="V7" s="431"/>
      <c r="W7" s="431"/>
      <c r="X7" s="431"/>
      <c r="Y7" s="431"/>
      <c r="Z7" s="431"/>
      <c r="AA7" s="431"/>
      <c r="AB7" s="431"/>
      <c r="AC7" s="431"/>
      <c r="AD7" s="431"/>
      <c r="AE7" s="431"/>
      <c r="AF7" s="431"/>
      <c r="AG7" s="431"/>
      <c r="AH7" s="431"/>
      <c r="AI7" s="431"/>
      <c r="AJ7" s="431"/>
      <c r="AK7" s="431"/>
      <c r="AL7" s="431"/>
      <c r="AM7" s="421" t="s">
        <v>421</v>
      </c>
      <c r="AO7" s="118"/>
      <c r="AP7" s="118" t="str">
        <f aca="false">IF(T7="","",T7)</f>
        <v>Группа потребителей</v>
      </c>
      <c r="AQ7" s="118"/>
      <c r="AR7" s="118"/>
      <c r="AS7" s="42" t="n">
        <v>0</v>
      </c>
    </row>
    <row r="8" customFormat="false" ht="21" hidden="true" customHeight="true" outlineLevel="0" collapsed="false">
      <c r="A8" s="412"/>
      <c r="B8" s="412"/>
      <c r="C8" s="412"/>
      <c r="D8" s="412"/>
      <c r="E8" s="413"/>
      <c r="F8" s="413"/>
      <c r="G8" s="413"/>
      <c r="H8" s="413"/>
      <c r="I8" s="428"/>
      <c r="J8" s="428"/>
      <c r="K8" s="428" t="e">
        <f aca="false">J7&amp;".1"</f>
        <v>#N/A</v>
      </c>
      <c r="L8" s="414" t="s">
        <v>422</v>
      </c>
      <c r="M8" s="45"/>
      <c r="N8" s="45"/>
      <c r="O8" s="45"/>
      <c r="P8" s="121"/>
      <c r="Q8" s="121"/>
      <c r="R8" s="432" t="n">
        <v>1</v>
      </c>
      <c r="S8" s="416" t="e">
        <f aca="false">$K8</f>
        <v>#N/A</v>
      </c>
      <c r="T8" s="434"/>
      <c r="U8" s="418"/>
      <c r="V8" s="435"/>
      <c r="W8" s="436"/>
      <c r="X8" s="435"/>
      <c r="Y8" s="437"/>
      <c r="Z8" s="438"/>
      <c r="AA8" s="204" t="s">
        <v>61</v>
      </c>
      <c r="AB8" s="438"/>
      <c r="AC8" s="204" t="s">
        <v>61</v>
      </c>
      <c r="AD8" s="435"/>
      <c r="AE8" s="436"/>
      <c r="AF8" s="435"/>
      <c r="AG8" s="437"/>
      <c r="AH8" s="438"/>
      <c r="AI8" s="204" t="s">
        <v>61</v>
      </c>
      <c r="AJ8" s="438"/>
      <c r="AK8" s="204" t="s">
        <v>61</v>
      </c>
      <c r="AL8" s="436"/>
      <c r="AM8" s="439" t="s">
        <v>423</v>
      </c>
      <c r="AN8" s="47" t="e">
        <f aca="false">strcheckdate(V9:AL9)</f>
        <v>#NAME?</v>
      </c>
      <c r="AO8" s="118"/>
      <c r="AP8" s="118" t="str">
        <f aca="false">IF(T8="","",T8)</f>
        <v/>
      </c>
      <c r="AQ8" s="118"/>
      <c r="AR8" s="118"/>
      <c r="AS8" s="42" t="n">
        <v>0</v>
      </c>
    </row>
    <row r="9" customFormat="false" ht="14.25" hidden="true" customHeight="true" outlineLevel="0" collapsed="false">
      <c r="A9" s="412"/>
      <c r="B9" s="412"/>
      <c r="C9" s="412"/>
      <c r="D9" s="412"/>
      <c r="E9" s="413"/>
      <c r="F9" s="413"/>
      <c r="G9" s="413"/>
      <c r="H9" s="413"/>
      <c r="I9" s="428"/>
      <c r="J9" s="428"/>
      <c r="K9" s="428"/>
      <c r="L9" s="414"/>
      <c r="M9" s="45"/>
      <c r="N9" s="45"/>
      <c r="O9" s="45"/>
      <c r="P9" s="121"/>
      <c r="Q9" s="121"/>
      <c r="R9" s="432"/>
      <c r="S9" s="393"/>
      <c r="T9" s="418"/>
      <c r="U9" s="418"/>
      <c r="V9" s="436"/>
      <c r="W9" s="436"/>
      <c r="X9" s="436"/>
      <c r="Y9" s="440" t="str">
        <f aca="false">Z8&amp;"-"&amp;AB8</f>
        <v>-</v>
      </c>
      <c r="Z9" s="438"/>
      <c r="AA9" s="204"/>
      <c r="AB9" s="438"/>
      <c r="AC9" s="204"/>
      <c r="AD9" s="436"/>
      <c r="AE9" s="436"/>
      <c r="AF9" s="436"/>
      <c r="AG9" s="440" t="str">
        <f aca="false">AH8&amp;"-"&amp;AJ8</f>
        <v>-</v>
      </c>
      <c r="AH9" s="438"/>
      <c r="AI9" s="204"/>
      <c r="AJ9" s="438"/>
      <c r="AK9" s="204"/>
      <c r="AL9" s="436"/>
      <c r="AM9" s="439"/>
      <c r="AO9" s="118"/>
      <c r="AP9" s="118" t="str">
        <f aca="false">IF(T9="","",T9)</f>
        <v/>
      </c>
      <c r="AQ9" s="118"/>
      <c r="AR9" s="118"/>
      <c r="AS9" s="42" t="n">
        <v>0</v>
      </c>
    </row>
    <row r="10" customFormat="false" ht="15" hidden="true" customHeight="true" outlineLevel="0" collapsed="false">
      <c r="A10" s="412"/>
      <c r="B10" s="412"/>
      <c r="C10" s="412"/>
      <c r="D10" s="412"/>
      <c r="E10" s="413"/>
      <c r="F10" s="413"/>
      <c r="G10" s="413"/>
      <c r="H10" s="413"/>
      <c r="I10" s="428"/>
      <c r="J10" s="428"/>
      <c r="K10" s="412"/>
      <c r="L10" s="414"/>
      <c r="M10" s="45"/>
      <c r="N10" s="45"/>
      <c r="P10" s="121"/>
      <c r="Q10" s="121"/>
      <c r="R10" s="429"/>
      <c r="S10" s="441"/>
      <c r="T10" s="444" t="s">
        <v>424</v>
      </c>
      <c r="U10" s="194"/>
      <c r="V10" s="194"/>
      <c r="W10" s="194"/>
      <c r="X10" s="194"/>
      <c r="Y10" s="194"/>
      <c r="Z10" s="194"/>
      <c r="AA10" s="194"/>
      <c r="AB10" s="194"/>
      <c r="AC10" s="194"/>
      <c r="AD10" s="194"/>
      <c r="AE10" s="194"/>
      <c r="AF10" s="194"/>
      <c r="AG10" s="194"/>
      <c r="AH10" s="194"/>
      <c r="AI10" s="194"/>
      <c r="AJ10" s="194"/>
      <c r="AK10" s="194"/>
      <c r="AL10" s="443"/>
      <c r="AM10" s="439"/>
      <c r="AO10" s="118"/>
      <c r="AP10" s="118" t="str">
        <f aca="false">IF(T10="","",T10)</f>
        <v>Добавить вид теплоносителя (параметры теплоносителя)</v>
      </c>
      <c r="AQ10" s="118"/>
      <c r="AR10" s="118"/>
      <c r="AS10" s="42" t="n">
        <v>0</v>
      </c>
    </row>
    <row r="11" customFormat="false" ht="11.25" hidden="true" customHeight="true" outlineLevel="0" collapsed="false">
      <c r="A11" s="412"/>
      <c r="B11" s="412"/>
      <c r="C11" s="412"/>
      <c r="D11" s="412"/>
      <c r="E11" s="413"/>
      <c r="F11" s="413"/>
      <c r="G11" s="413"/>
      <c r="H11" s="413"/>
      <c r="I11" s="428"/>
      <c r="J11" s="412"/>
      <c r="K11" s="412"/>
      <c r="L11" s="414"/>
      <c r="M11" s="45"/>
      <c r="P11" s="121"/>
      <c r="Q11" s="121"/>
      <c r="R11" s="429"/>
      <c r="S11" s="441"/>
      <c r="T11" s="448" t="s">
        <v>425</v>
      </c>
      <c r="U11" s="194"/>
      <c r="V11" s="194"/>
      <c r="W11" s="194"/>
      <c r="X11" s="194"/>
      <c r="Y11" s="194"/>
      <c r="Z11" s="194"/>
      <c r="AA11" s="194"/>
      <c r="AB11" s="194"/>
      <c r="AC11" s="445"/>
      <c r="AD11" s="194"/>
      <c r="AE11" s="194"/>
      <c r="AF11" s="194"/>
      <c r="AG11" s="194"/>
      <c r="AH11" s="194"/>
      <c r="AI11" s="194"/>
      <c r="AJ11" s="194"/>
      <c r="AK11" s="445"/>
      <c r="AL11" s="194"/>
      <c r="AM11" s="446"/>
      <c r="AO11" s="118"/>
      <c r="AP11" s="118" t="str">
        <f aca="false">IF(T11="","",T11)</f>
        <v>Добавить группу потребителей</v>
      </c>
      <c r="AQ11" s="118"/>
      <c r="AR11" s="118"/>
      <c r="AS11" s="42" t="n">
        <v>0</v>
      </c>
    </row>
    <row r="12" customFormat="false" ht="14.25" hidden="true" customHeight="true" outlineLevel="0" collapsed="false">
      <c r="A12" s="412"/>
      <c r="B12" s="412"/>
      <c r="C12" s="412"/>
      <c r="D12" s="412"/>
      <c r="E12" s="413"/>
      <c r="F12" s="413"/>
      <c r="G12" s="413"/>
      <c r="H12" s="413"/>
      <c r="I12" s="412"/>
      <c r="J12" s="412"/>
      <c r="K12" s="412"/>
      <c r="L12" s="414"/>
      <c r="M12" s="40"/>
      <c r="N12" s="40"/>
      <c r="O12" s="45"/>
      <c r="P12" s="132"/>
      <c r="Q12" s="447"/>
      <c r="R12" s="415"/>
      <c r="S12" s="502"/>
      <c r="T12" s="503"/>
      <c r="U12" s="504"/>
      <c r="V12" s="504"/>
      <c r="W12" s="504"/>
      <c r="X12" s="504"/>
      <c r="Y12" s="504"/>
      <c r="Z12" s="504"/>
      <c r="AA12" s="504"/>
      <c r="AB12" s="504"/>
      <c r="AC12" s="504"/>
      <c r="AD12" s="504"/>
      <c r="AE12" s="504"/>
      <c r="AF12" s="504"/>
      <c r="AG12" s="504"/>
      <c r="AH12" s="504"/>
      <c r="AI12" s="504"/>
      <c r="AJ12" s="504"/>
      <c r="AK12" s="504"/>
      <c r="AL12" s="504"/>
      <c r="AM12" s="505"/>
      <c r="AO12" s="118"/>
      <c r="AP12" s="118" t="str">
        <f aca="false">IF(T12="","",T12)</f>
        <v/>
      </c>
      <c r="AQ12" s="118"/>
      <c r="AR12" s="118"/>
      <c r="AS12" s="42" t="n">
        <v>0</v>
      </c>
    </row>
    <row r="13" s="47" customFormat="true" ht="14.25" hidden="true" customHeight="true" outlineLevel="0" collapsed="false">
      <c r="A13" s="122"/>
      <c r="B13" s="122"/>
      <c r="C13" s="122"/>
      <c r="D13" s="122"/>
      <c r="E13" s="413"/>
      <c r="F13" s="413"/>
      <c r="G13" s="413"/>
      <c r="H13" s="122"/>
      <c r="I13" s="122"/>
      <c r="J13" s="122"/>
      <c r="K13" s="122"/>
      <c r="L13" s="192"/>
      <c r="M13" s="46"/>
      <c r="N13" s="46"/>
      <c r="P13" s="156"/>
      <c r="Q13" s="449"/>
      <c r="R13" s="156"/>
      <c r="S13" s="450"/>
      <c r="T13" s="451" t="s">
        <v>427</v>
      </c>
      <c r="U13" s="452"/>
      <c r="V13" s="452"/>
      <c r="W13" s="452"/>
      <c r="X13" s="452"/>
      <c r="Y13" s="452"/>
      <c r="Z13" s="452"/>
      <c r="AA13" s="452"/>
      <c r="AB13" s="452"/>
      <c r="AC13" s="452"/>
      <c r="AD13" s="452"/>
      <c r="AE13" s="452"/>
      <c r="AF13" s="452"/>
      <c r="AG13" s="452"/>
      <c r="AH13" s="452"/>
      <c r="AI13" s="452"/>
      <c r="AJ13" s="452"/>
      <c r="AK13" s="452"/>
      <c r="AL13" s="452"/>
      <c r="AM13" s="452"/>
      <c r="AO13" s="118"/>
      <c r="AP13" s="118" t="str">
        <f aca="false">IF(T13="","",T13)</f>
        <v>Добавить источник для дифференциации</v>
      </c>
      <c r="AQ13" s="118"/>
      <c r="AR13" s="118"/>
      <c r="AS13" s="47" t="n">
        <v>0</v>
      </c>
    </row>
    <row r="14" s="47" customFormat="true" ht="14.25" hidden="true" customHeight="true" outlineLevel="0" collapsed="false">
      <c r="A14" s="122"/>
      <c r="B14" s="122"/>
      <c r="C14" s="122"/>
      <c r="D14" s="122"/>
      <c r="E14" s="413"/>
      <c r="F14" s="413"/>
      <c r="G14" s="122"/>
      <c r="H14" s="122"/>
      <c r="I14" s="122"/>
      <c r="J14" s="122"/>
      <c r="K14" s="122"/>
      <c r="L14" s="192"/>
      <c r="M14" s="453"/>
      <c r="N14" s="453"/>
      <c r="P14" s="156"/>
      <c r="Q14" s="449"/>
      <c r="R14" s="156"/>
      <c r="S14" s="454"/>
      <c r="T14" s="455" t="s">
        <v>428</v>
      </c>
      <c r="U14" s="456"/>
      <c r="V14" s="456"/>
      <c r="W14" s="456"/>
      <c r="X14" s="456"/>
      <c r="Y14" s="456"/>
      <c r="Z14" s="456"/>
      <c r="AA14" s="456"/>
      <c r="AB14" s="456"/>
      <c r="AC14" s="456"/>
      <c r="AD14" s="456"/>
      <c r="AE14" s="456"/>
      <c r="AF14" s="456"/>
      <c r="AG14" s="456"/>
      <c r="AH14" s="456"/>
      <c r="AI14" s="456"/>
      <c r="AJ14" s="456"/>
      <c r="AK14" s="456"/>
      <c r="AL14" s="456"/>
      <c r="AM14" s="456"/>
      <c r="AO14" s="118"/>
      <c r="AP14" s="118" t="str">
        <f aca="false">IF(T14="","",T14)</f>
        <v>Добавить централизованную систему для дифференциации</v>
      </c>
      <c r="AQ14" s="118"/>
      <c r="AR14" s="118"/>
      <c r="AS14" s="47" t="n">
        <v>0</v>
      </c>
    </row>
    <row r="15" s="47" customFormat="true" ht="14.25" hidden="true" customHeight="true" outlineLevel="0" collapsed="false">
      <c r="A15" s="122"/>
      <c r="B15" s="122"/>
      <c r="C15" s="122"/>
      <c r="D15" s="122"/>
      <c r="E15" s="413"/>
      <c r="F15" s="122"/>
      <c r="G15" s="122"/>
      <c r="H15" s="122"/>
      <c r="I15" s="122"/>
      <c r="J15" s="122"/>
      <c r="K15" s="122"/>
      <c r="L15" s="192"/>
      <c r="M15" s="453"/>
      <c r="N15" s="453"/>
      <c r="P15" s="156"/>
      <c r="Q15" s="449"/>
      <c r="R15" s="156"/>
      <c r="S15" s="454"/>
      <c r="T15" s="457" t="s">
        <v>429</v>
      </c>
      <c r="U15" s="456"/>
      <c r="V15" s="456"/>
      <c r="W15" s="456"/>
      <c r="X15" s="456"/>
      <c r="Y15" s="456"/>
      <c r="Z15" s="456"/>
      <c r="AA15" s="456"/>
      <c r="AB15" s="456"/>
      <c r="AC15" s="456"/>
      <c r="AD15" s="456"/>
      <c r="AE15" s="456"/>
      <c r="AF15" s="456"/>
      <c r="AG15" s="456"/>
      <c r="AH15" s="456"/>
      <c r="AI15" s="456"/>
      <c r="AJ15" s="456"/>
      <c r="AK15" s="456"/>
      <c r="AL15" s="456"/>
      <c r="AM15" s="456"/>
      <c r="AO15" s="118"/>
      <c r="AP15" s="118" t="str">
        <f aca="false">IF(T15="","",T15)</f>
        <v>Добавить территорию для дифференциации</v>
      </c>
      <c r="AQ15" s="118"/>
      <c r="AR15" s="118"/>
      <c r="AS15" s="47" t="n">
        <v>0</v>
      </c>
    </row>
    <row r="16" customFormat="false" ht="14.25" hidden="true" customHeight="true" outlineLevel="0" collapsed="false">
      <c r="AS16" s="42" t="n">
        <v>0</v>
      </c>
    </row>
    <row r="17" customFormat="false" ht="14.25" hidden="true" customHeight="true" outlineLevel="0" collapsed="false">
      <c r="AD17" s="458"/>
      <c r="AE17" s="458"/>
      <c r="AF17" s="458"/>
      <c r="AG17" s="459"/>
      <c r="AH17" s="460"/>
      <c r="AI17" s="461" t="s">
        <v>61</v>
      </c>
      <c r="AJ17" s="460"/>
      <c r="AK17" s="461" t="s">
        <v>61</v>
      </c>
      <c r="AS17" s="42" t="n">
        <v>0</v>
      </c>
    </row>
    <row r="18" customFormat="false" ht="14.25" hidden="true" customHeight="true" outlineLevel="0" collapsed="false">
      <c r="AD18" s="458"/>
      <c r="AE18" s="458"/>
      <c r="AF18" s="458"/>
      <c r="AG18" s="440" t="str">
        <f aca="false">AH17&amp;"-"&amp;AJ17</f>
        <v>-</v>
      </c>
      <c r="AH18" s="460"/>
      <c r="AI18" s="460"/>
      <c r="AJ18" s="460"/>
      <c r="AK18" s="460"/>
      <c r="AS18" s="42" t="n">
        <v>0</v>
      </c>
    </row>
    <row r="19" customFormat="false" ht="14.25" hidden="true" customHeight="true" outlineLevel="0" collapsed="false">
      <c r="AS19" s="42" t="n">
        <v>0</v>
      </c>
    </row>
    <row r="20" s="45" customFormat="true" ht="22.5" hidden="true" customHeight="true" outlineLevel="0" collapsed="false">
      <c r="L20" s="44"/>
      <c r="M20" s="51"/>
      <c r="N20" s="51"/>
      <c r="O20" s="462" t="s">
        <v>430</v>
      </c>
      <c r="P20" s="51"/>
      <c r="Q20" s="463"/>
      <c r="R20" s="463"/>
      <c r="S20" s="40"/>
      <c r="Z20" s="462"/>
      <c r="AB20" s="462"/>
      <c r="AH20" s="462"/>
      <c r="AJ20" s="462"/>
      <c r="AN20" s="47"/>
      <c r="AO20" s="47"/>
      <c r="AP20" s="47"/>
      <c r="AQ20" s="47"/>
      <c r="AR20" s="47"/>
      <c r="AS20" s="45" t="n">
        <v>0</v>
      </c>
    </row>
    <row r="21" s="45" customFormat="true" ht="14.25" hidden="true" customHeight="true" outlineLevel="0" collapsed="false">
      <c r="L21" s="44"/>
      <c r="M21" s="51"/>
      <c r="N21" s="51"/>
      <c r="O21" s="51"/>
      <c r="P21" s="51"/>
      <c r="Q21" s="463"/>
      <c r="R21" s="463"/>
      <c r="S21" s="40"/>
      <c r="AN21" s="47"/>
      <c r="AO21" s="47"/>
      <c r="AP21" s="47"/>
      <c r="AQ21" s="47"/>
      <c r="AR21" s="47"/>
      <c r="AS21" s="45" t="n">
        <v>0</v>
      </c>
    </row>
    <row r="22" s="45" customFormat="true" ht="14.25" hidden="true" customHeight="true" outlineLevel="0" collapsed="false">
      <c r="L22" s="44"/>
      <c r="M22" s="51"/>
      <c r="N22" s="51"/>
      <c r="O22" s="414" t="s">
        <v>431</v>
      </c>
      <c r="P22" s="51"/>
      <c r="Q22" s="463"/>
      <c r="R22" s="463"/>
      <c r="S22" s="40"/>
      <c r="T22" s="45" t="s">
        <v>432</v>
      </c>
      <c r="AA22" s="140" t="s">
        <v>433</v>
      </c>
      <c r="AC22" s="140" t="s">
        <v>434</v>
      </c>
      <c r="AD22" s="45" t="s">
        <v>432</v>
      </c>
      <c r="AI22" s="140" t="s">
        <v>435</v>
      </c>
      <c r="AK22" s="140" t="s">
        <v>434</v>
      </c>
      <c r="AN22" s="47"/>
      <c r="AO22" s="47"/>
      <c r="AP22" s="47"/>
      <c r="AQ22" s="47"/>
      <c r="AR22" s="47"/>
      <c r="AS22" s="45" t="n">
        <v>0</v>
      </c>
    </row>
    <row r="23" customFormat="false" ht="14.25" hidden="true" customHeight="true" outlineLevel="0" collapsed="false">
      <c r="O23" s="414"/>
      <c r="AS23" s="42" t="n">
        <v>0</v>
      </c>
    </row>
    <row r="24" customFormat="false" ht="14.25" hidden="true" customHeight="true" outlineLevel="0" collapsed="false">
      <c r="O24" s="414"/>
      <c r="AS24" s="42" t="n">
        <v>0</v>
      </c>
    </row>
    <row r="25" customFormat="false" ht="14.25" hidden="false" customHeight="true" outlineLevel="0" collapsed="false">
      <c r="Q25" s="464"/>
      <c r="R25" s="464"/>
      <c r="S25" s="465"/>
      <c r="T25" s="80"/>
      <c r="U25" s="80"/>
      <c r="AS25" s="42" t="n">
        <v>14</v>
      </c>
    </row>
    <row r="26" customFormat="false" ht="53.25" hidden="false" customHeight="true" outlineLevel="0" collapsed="false">
      <c r="Q26" s="464"/>
      <c r="R26" s="464"/>
      <c r="S26" s="220"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
      <c r="U26" s="220"/>
      <c r="V26" s="220"/>
      <c r="W26" s="220"/>
      <c r="X26" s="220"/>
      <c r="Y26" s="220"/>
      <c r="Z26" s="220"/>
      <c r="AA26" s="220"/>
      <c r="AB26" s="220"/>
      <c r="AC26" s="220"/>
      <c r="AD26" s="220"/>
      <c r="AE26" s="220"/>
      <c r="AF26" s="220"/>
      <c r="AG26" s="220"/>
      <c r="AH26" s="220"/>
      <c r="AI26" s="220"/>
      <c r="AJ26" s="220"/>
      <c r="AK26" s="222"/>
      <c r="AS26" s="42" t="n">
        <v>51</v>
      </c>
    </row>
    <row r="27" customFormat="false" ht="14.25" hidden="false" customHeight="true" outlineLevel="0" collapsed="false">
      <c r="Q27" s="464"/>
      <c r="R27" s="464"/>
      <c r="S27" s="261" t="str">
        <f aca="false">IF(org=0,"Не определено",org)</f>
        <v>ООО "Газпром теплоэнерго Ярославль"</v>
      </c>
      <c r="T27" s="261"/>
      <c r="U27" s="261"/>
      <c r="V27" s="261"/>
      <c r="W27" s="261"/>
      <c r="X27" s="261"/>
      <c r="Y27" s="261"/>
      <c r="Z27" s="261"/>
      <c r="AA27" s="261"/>
      <c r="AB27" s="261"/>
      <c r="AC27" s="261"/>
      <c r="AD27" s="261"/>
      <c r="AE27" s="261"/>
      <c r="AF27" s="261"/>
      <c r="AG27" s="261"/>
      <c r="AH27" s="261"/>
      <c r="AI27" s="261"/>
      <c r="AJ27" s="261"/>
      <c r="AK27" s="222"/>
      <c r="AS27" s="42" t="n">
        <v>14</v>
      </c>
    </row>
    <row r="28" customFormat="false" ht="14.25" hidden="true" customHeight="true" outlineLevel="0" collapsed="false">
      <c r="Q28" s="464"/>
      <c r="R28" s="464"/>
      <c r="S28" s="465"/>
      <c r="T28" s="80"/>
      <c r="U28" s="80"/>
      <c r="V28" s="466"/>
      <c r="W28" s="466"/>
      <c r="X28" s="466"/>
      <c r="Y28" s="466"/>
      <c r="Z28" s="466"/>
      <c r="AA28" s="466"/>
      <c r="AB28" s="466"/>
      <c r="AC28" s="466"/>
      <c r="AD28" s="466"/>
      <c r="AE28" s="466"/>
      <c r="AF28" s="466"/>
      <c r="AG28" s="466"/>
      <c r="AH28" s="466"/>
      <c r="AI28" s="466"/>
      <c r="AJ28" s="466"/>
      <c r="AK28" s="466"/>
      <c r="AS28" s="42" t="n">
        <v>0</v>
      </c>
    </row>
    <row r="29" s="175" customFormat="true" ht="25.5" hidden="true" customHeight="true" outlineLevel="0" collapsed="false">
      <c r="A29" s="140"/>
      <c r="B29" s="140"/>
      <c r="C29" s="140"/>
      <c r="D29" s="140"/>
      <c r="E29" s="140"/>
      <c r="F29" s="140"/>
      <c r="G29" s="140"/>
      <c r="H29" s="140"/>
      <c r="I29" s="140"/>
      <c r="J29" s="140"/>
      <c r="K29" s="140"/>
      <c r="L29" s="414"/>
      <c r="M29" s="140"/>
      <c r="N29" s="140"/>
      <c r="O29" s="140"/>
      <c r="S29" s="467" t="s">
        <v>40</v>
      </c>
      <c r="T29" s="467"/>
      <c r="U29" s="468"/>
      <c r="V29" s="469" t="str">
        <f aca="false">IF(TITLE_NAME_OR_PR_CHANGE="",IF(TITLE_NAME_OR_PR="","",TITLE_NAME_OR_PR),TITLE_NAME_OR_PR_CHANGE)</f>
        <v/>
      </c>
      <c r="W29" s="469"/>
      <c r="X29" s="469"/>
      <c r="Y29" s="469"/>
      <c r="Z29" s="469"/>
      <c r="AA29" s="469"/>
      <c r="AB29" s="469"/>
      <c r="AC29" s="42"/>
      <c r="AD29" s="469" t="str">
        <f aca="false">IF(TITLE_NAME_OR_PR_CHANGE="",IF(TITLE_NAME_OR_PR="","",TITLE_NAME_OR_PR),TITLE_NAME_OR_PR_CHANGE)</f>
        <v/>
      </c>
      <c r="AE29" s="469"/>
      <c r="AF29" s="469"/>
      <c r="AG29" s="469"/>
      <c r="AH29" s="469"/>
      <c r="AI29" s="469"/>
      <c r="AJ29" s="469"/>
      <c r="AK29" s="42"/>
      <c r="AL29" s="42"/>
      <c r="AM29" s="470"/>
      <c r="AN29" s="118"/>
      <c r="AO29" s="118"/>
      <c r="AP29" s="118"/>
      <c r="AQ29" s="118"/>
      <c r="AR29" s="118"/>
      <c r="AS29" s="175" t="n">
        <v>0</v>
      </c>
    </row>
    <row r="30" s="175" customFormat="true" ht="18.75" hidden="true" customHeight="true" outlineLevel="0" collapsed="false">
      <c r="A30" s="140"/>
      <c r="B30" s="140"/>
      <c r="C30" s="140"/>
      <c r="D30" s="140"/>
      <c r="E30" s="140"/>
      <c r="F30" s="140"/>
      <c r="G30" s="140"/>
      <c r="H30" s="140"/>
      <c r="I30" s="140"/>
      <c r="J30" s="140"/>
      <c r="K30" s="140"/>
      <c r="L30" s="414"/>
      <c r="M30" s="140"/>
      <c r="N30" s="140"/>
      <c r="O30" s="140"/>
      <c r="S30" s="467" t="s">
        <v>436</v>
      </c>
      <c r="T30" s="467"/>
      <c r="U30" s="468"/>
      <c r="V30" s="471" t="str">
        <f aca="false">IF(TITLE_DATE_PR_CHANGE="",IF(TITLE_DATE_PR="","",TITLE_DATE_PR),TITLE_DATE_PR_CHANGE)</f>
        <v/>
      </c>
      <c r="W30" s="471"/>
      <c r="X30" s="471"/>
      <c r="Y30" s="471"/>
      <c r="Z30" s="471"/>
      <c r="AA30" s="471"/>
      <c r="AB30" s="471"/>
      <c r="AC30" s="42"/>
      <c r="AD30" s="471" t="str">
        <f aca="false">IF(TITLE_DATE_PR_CHANGE="",IF(TITLE_DATE_PR="","",TITLE_DATE_PR),TITLE_DATE_PR_CHANGE)</f>
        <v/>
      </c>
      <c r="AE30" s="471"/>
      <c r="AF30" s="471"/>
      <c r="AG30" s="471"/>
      <c r="AH30" s="471"/>
      <c r="AI30" s="471"/>
      <c r="AJ30" s="471"/>
      <c r="AK30" s="42"/>
      <c r="AL30" s="42"/>
      <c r="AM30" s="470"/>
      <c r="AN30" s="118"/>
      <c r="AO30" s="118"/>
      <c r="AP30" s="118"/>
      <c r="AQ30" s="118"/>
      <c r="AR30" s="118"/>
      <c r="AS30" s="175" t="n">
        <v>0</v>
      </c>
    </row>
    <row r="31" s="175" customFormat="true" ht="18.75" hidden="true" customHeight="true" outlineLevel="0" collapsed="false">
      <c r="A31" s="140"/>
      <c r="B31" s="140"/>
      <c r="C31" s="140"/>
      <c r="D31" s="140"/>
      <c r="E31" s="140"/>
      <c r="F31" s="140"/>
      <c r="G31" s="140"/>
      <c r="H31" s="140"/>
      <c r="I31" s="140"/>
      <c r="J31" s="140"/>
      <c r="K31" s="140"/>
      <c r="L31" s="414"/>
      <c r="M31" s="140"/>
      <c r="N31" s="140"/>
      <c r="O31" s="140"/>
      <c r="S31" s="467" t="s">
        <v>437</v>
      </c>
      <c r="T31" s="467"/>
      <c r="U31" s="468"/>
      <c r="V31" s="469" t="str">
        <f aca="false">IF(TITLE_NUMBER_PR_CHANGE="",IF(TITLE_NUMBER_PR="","",TITLE_NUMBER_PR),TITLE_NUMBER_PR_CHANGE)</f>
        <v/>
      </c>
      <c r="W31" s="469"/>
      <c r="X31" s="469"/>
      <c r="Y31" s="469"/>
      <c r="Z31" s="469"/>
      <c r="AA31" s="469"/>
      <c r="AB31" s="469"/>
      <c r="AC31" s="42"/>
      <c r="AD31" s="469" t="str">
        <f aca="false">IF(TITLE_NUMBER_PR_CHANGE="",IF(TITLE_NUMBER_PR="","",TITLE_NUMBER_PR),TITLE_NUMBER_PR_CHANGE)</f>
        <v/>
      </c>
      <c r="AE31" s="469"/>
      <c r="AF31" s="469"/>
      <c r="AG31" s="469"/>
      <c r="AH31" s="469"/>
      <c r="AI31" s="469"/>
      <c r="AJ31" s="469"/>
      <c r="AK31" s="42"/>
      <c r="AL31" s="42"/>
      <c r="AM31" s="470"/>
      <c r="AN31" s="118"/>
      <c r="AO31" s="118"/>
      <c r="AP31" s="118"/>
      <c r="AQ31" s="118"/>
      <c r="AR31" s="118"/>
      <c r="AS31" s="175" t="n">
        <v>0</v>
      </c>
    </row>
    <row r="32" s="175" customFormat="true" ht="18.75" hidden="true" customHeight="true" outlineLevel="0" collapsed="false">
      <c r="A32" s="140"/>
      <c r="B32" s="140"/>
      <c r="C32" s="140"/>
      <c r="D32" s="140"/>
      <c r="E32" s="140"/>
      <c r="F32" s="140"/>
      <c r="G32" s="140"/>
      <c r="H32" s="140"/>
      <c r="I32" s="140"/>
      <c r="J32" s="140"/>
      <c r="K32" s="140"/>
      <c r="L32" s="414"/>
      <c r="M32" s="140"/>
      <c r="N32" s="140"/>
      <c r="O32" s="140"/>
      <c r="S32" s="467" t="s">
        <v>41</v>
      </c>
      <c r="T32" s="467"/>
      <c r="U32" s="468"/>
      <c r="V32" s="469" t="str">
        <f aca="false">IF(TITLE_IST_PUB_CHANGE="",IF(TITLE_IST_PUB="","",TITLE_IST_PUB),TITLE_IST_PUB_CHANGE)</f>
        <v/>
      </c>
      <c r="W32" s="469"/>
      <c r="X32" s="469"/>
      <c r="Y32" s="469"/>
      <c r="Z32" s="469"/>
      <c r="AA32" s="469"/>
      <c r="AB32" s="469"/>
      <c r="AC32" s="42"/>
      <c r="AD32" s="469" t="str">
        <f aca="false">IF(TITLE_IST_PUB_CHANGE="",IF(TITLE_IST_PUB="","",TITLE_IST_PUB),TITLE_IST_PUB_CHANGE)</f>
        <v/>
      </c>
      <c r="AE32" s="469"/>
      <c r="AF32" s="469"/>
      <c r="AG32" s="469"/>
      <c r="AH32" s="469"/>
      <c r="AI32" s="469"/>
      <c r="AJ32" s="469"/>
      <c r="AK32" s="42"/>
      <c r="AL32" s="42"/>
      <c r="AM32" s="470"/>
      <c r="AN32" s="118"/>
      <c r="AO32" s="118"/>
      <c r="AP32" s="118"/>
      <c r="AQ32" s="118"/>
      <c r="AR32" s="118"/>
      <c r="AS32" s="175" t="n">
        <v>0</v>
      </c>
    </row>
    <row r="33" customFormat="false" ht="14.25" hidden="true" customHeight="true" outlineLevel="0" collapsed="false">
      <c r="Q33" s="464"/>
      <c r="R33" s="464"/>
      <c r="S33" s="465"/>
      <c r="T33" s="80"/>
      <c r="U33" s="80"/>
      <c r="V33" s="466"/>
      <c r="W33" s="466"/>
      <c r="X33" s="466"/>
      <c r="Y33" s="466"/>
      <c r="Z33" s="466"/>
      <c r="AA33" s="466"/>
      <c r="AB33" s="466"/>
      <c r="AC33" s="466"/>
      <c r="AD33" s="466"/>
      <c r="AE33" s="466"/>
      <c r="AF33" s="466"/>
      <c r="AG33" s="466"/>
      <c r="AH33" s="466"/>
      <c r="AI33" s="466"/>
      <c r="AJ33" s="466"/>
      <c r="AK33" s="466"/>
      <c r="AS33" s="42" t="n">
        <v>0</v>
      </c>
    </row>
    <row r="34" s="175" customFormat="true" ht="18.75" hidden="true" customHeight="true" outlineLevel="0" collapsed="false">
      <c r="A34" s="140"/>
      <c r="B34" s="140"/>
      <c r="C34" s="140"/>
      <c r="D34" s="140"/>
      <c r="E34" s="140"/>
      <c r="F34" s="140"/>
      <c r="G34" s="140"/>
      <c r="H34" s="140"/>
      <c r="I34" s="140"/>
      <c r="J34" s="140"/>
      <c r="K34" s="140"/>
      <c r="L34" s="414"/>
      <c r="M34" s="140"/>
      <c r="N34" s="140"/>
      <c r="O34" s="140"/>
      <c r="S34" s="467" t="s">
        <v>438</v>
      </c>
      <c r="T34" s="467"/>
      <c r="U34" s="468"/>
      <c r="V34" s="471" t="str">
        <f aca="false">IF(TITLE_DATE_PR_CHANGE="",IF(TITLE_DATE_PR="","",TITLE_DATE_PR),TITLE_DATE_PR_CHANGE)</f>
        <v/>
      </c>
      <c r="W34" s="471"/>
      <c r="X34" s="471"/>
      <c r="Y34" s="471"/>
      <c r="Z34" s="471"/>
      <c r="AA34" s="471"/>
      <c r="AB34" s="471"/>
      <c r="AC34" s="42"/>
      <c r="AD34" s="471" t="str">
        <f aca="false">IF(TITLE_DATE_PR_CHANGE="",IF(TITLE_DATE_PR="","",TITLE_DATE_PR),TITLE_DATE_PR_CHANGE)</f>
        <v/>
      </c>
      <c r="AE34" s="471"/>
      <c r="AF34" s="471"/>
      <c r="AG34" s="471"/>
      <c r="AH34" s="471"/>
      <c r="AI34" s="471"/>
      <c r="AJ34" s="471"/>
      <c r="AK34" s="42"/>
      <c r="AL34" s="42"/>
      <c r="AM34" s="470"/>
      <c r="AN34" s="118"/>
      <c r="AO34" s="118"/>
      <c r="AP34" s="118"/>
      <c r="AQ34" s="118"/>
      <c r="AR34" s="118"/>
      <c r="AS34" s="175" t="n">
        <v>0</v>
      </c>
    </row>
    <row r="35" s="175" customFormat="true" ht="25.5" hidden="true" customHeight="true" outlineLevel="0" collapsed="false">
      <c r="A35" s="140"/>
      <c r="B35" s="140"/>
      <c r="C35" s="140"/>
      <c r="D35" s="140"/>
      <c r="E35" s="140"/>
      <c r="F35" s="140"/>
      <c r="G35" s="140"/>
      <c r="H35" s="140"/>
      <c r="I35" s="140"/>
      <c r="J35" s="140"/>
      <c r="K35" s="140"/>
      <c r="L35" s="414"/>
      <c r="M35" s="140"/>
      <c r="N35" s="140"/>
      <c r="O35" s="140"/>
      <c r="S35" s="467" t="s">
        <v>439</v>
      </c>
      <c r="T35" s="467"/>
      <c r="U35" s="468"/>
      <c r="V35" s="469" t="str">
        <f aca="false">IF(TITLE_NUMBER_PR_CHANGE="",IF(TITLE_NUMBER_PR="","",TITLE_NUMBER_PR),TITLE_NUMBER_PR_CHANGE)</f>
        <v/>
      </c>
      <c r="W35" s="469"/>
      <c r="X35" s="469"/>
      <c r="Y35" s="469"/>
      <c r="Z35" s="469"/>
      <c r="AA35" s="469"/>
      <c r="AB35" s="469"/>
      <c r="AC35" s="42"/>
      <c r="AD35" s="469" t="str">
        <f aca="false">IF(TITLE_NUMBER_PR_CHANGE="",IF(TITLE_NUMBER_PR="","",TITLE_NUMBER_PR),TITLE_NUMBER_PR_CHANGE)</f>
        <v/>
      </c>
      <c r="AE35" s="469"/>
      <c r="AF35" s="469"/>
      <c r="AG35" s="469"/>
      <c r="AH35" s="469"/>
      <c r="AI35" s="469"/>
      <c r="AJ35" s="469"/>
      <c r="AK35" s="42"/>
      <c r="AL35" s="42"/>
      <c r="AM35" s="470"/>
      <c r="AN35" s="118"/>
      <c r="AO35" s="118"/>
      <c r="AP35" s="118"/>
      <c r="AQ35" s="118"/>
      <c r="AR35" s="118"/>
      <c r="AS35" s="175" t="n">
        <v>0</v>
      </c>
    </row>
    <row r="36" s="175" customFormat="true" ht="12.8" hidden="false" customHeight="false" outlineLevel="0" collapsed="false">
      <c r="A36" s="140"/>
      <c r="B36" s="140"/>
      <c r="C36" s="140"/>
      <c r="D36" s="140"/>
      <c r="E36" s="140"/>
      <c r="F36" s="140"/>
      <c r="G36" s="140"/>
      <c r="H36" s="140"/>
      <c r="I36" s="140"/>
      <c r="J36" s="140"/>
      <c r="K36" s="140"/>
      <c r="L36" s="414"/>
      <c r="M36" s="140"/>
      <c r="N36" s="140"/>
      <c r="O36" s="140"/>
      <c r="S36" s="42"/>
      <c r="T36" s="42"/>
      <c r="U36" s="128"/>
      <c r="V36" s="42"/>
      <c r="W36" s="42"/>
      <c r="X36" s="42"/>
      <c r="Y36" s="42"/>
      <c r="Z36" s="42"/>
      <c r="AA36" s="42"/>
      <c r="AB36" s="42"/>
      <c r="AC36" s="47" t="s">
        <v>440</v>
      </c>
      <c r="AD36" s="42"/>
      <c r="AE36" s="42"/>
      <c r="AF36" s="42"/>
      <c r="AG36" s="42"/>
      <c r="AH36" s="42"/>
      <c r="AI36" s="42"/>
      <c r="AJ36" s="42"/>
      <c r="AK36" s="47" t="s">
        <v>440</v>
      </c>
      <c r="AN36" s="118"/>
      <c r="AO36" s="118"/>
      <c r="AP36" s="118"/>
      <c r="AQ36" s="118"/>
      <c r="AR36" s="118"/>
      <c r="AS36" s="175" t="n">
        <v>0</v>
      </c>
    </row>
    <row r="37" customFormat="false" ht="14.25" hidden="false" customHeight="true" outlineLevel="0" collapsed="false">
      <c r="Q37" s="464"/>
      <c r="R37" s="464"/>
      <c r="S37" s="465"/>
      <c r="T37" s="80"/>
      <c r="U37" s="472"/>
      <c r="V37" s="473"/>
      <c r="W37" s="473"/>
      <c r="X37" s="473"/>
      <c r="Y37" s="473"/>
      <c r="Z37" s="473"/>
      <c r="AA37" s="473"/>
      <c r="AB37" s="473"/>
      <c r="AC37" s="473"/>
      <c r="AD37" s="473"/>
      <c r="AE37" s="473"/>
      <c r="AF37" s="473"/>
      <c r="AG37" s="473"/>
      <c r="AH37" s="473"/>
      <c r="AI37" s="473"/>
      <c r="AJ37" s="473"/>
      <c r="AK37" s="473"/>
      <c r="AS37" s="42" t="n">
        <v>14</v>
      </c>
    </row>
    <row r="38" customFormat="false" ht="14.25" hidden="false" customHeight="true" outlineLevel="0" collapsed="false">
      <c r="Q38" s="464"/>
      <c r="R38" s="464"/>
      <c r="S38" s="134" t="s">
        <v>313</v>
      </c>
      <c r="T38" s="134"/>
      <c r="U38" s="134"/>
      <c r="V38" s="134"/>
      <c r="W38" s="134"/>
      <c r="X38" s="134"/>
      <c r="Y38" s="134"/>
      <c r="Z38" s="134"/>
      <c r="AA38" s="134"/>
      <c r="AB38" s="134"/>
      <c r="AC38" s="134"/>
      <c r="AD38" s="134"/>
      <c r="AE38" s="134"/>
      <c r="AF38" s="134"/>
      <c r="AG38" s="134"/>
      <c r="AH38" s="134"/>
      <c r="AI38" s="134"/>
      <c r="AJ38" s="134"/>
      <c r="AK38" s="134"/>
      <c r="AL38" s="134"/>
      <c r="AM38" s="134" t="s">
        <v>314</v>
      </c>
      <c r="AS38" s="42" t="n">
        <v>14</v>
      </c>
    </row>
    <row r="39" customFormat="false" ht="14.25" hidden="false" customHeight="true" outlineLevel="0" collapsed="false">
      <c r="Q39" s="464"/>
      <c r="R39" s="464"/>
      <c r="S39" s="474" t="s">
        <v>87</v>
      </c>
      <c r="T39" s="391" t="s">
        <v>441</v>
      </c>
      <c r="U39" s="475"/>
      <c r="V39" s="296" t="s">
        <v>442</v>
      </c>
      <c r="W39" s="296"/>
      <c r="X39" s="296"/>
      <c r="Y39" s="296"/>
      <c r="Z39" s="296"/>
      <c r="AA39" s="296"/>
      <c r="AB39" s="296"/>
      <c r="AC39" s="391" t="s">
        <v>443</v>
      </c>
      <c r="AD39" s="296" t="s">
        <v>442</v>
      </c>
      <c r="AE39" s="296"/>
      <c r="AF39" s="296"/>
      <c r="AG39" s="296"/>
      <c r="AH39" s="296"/>
      <c r="AI39" s="296"/>
      <c r="AJ39" s="296"/>
      <c r="AK39" s="391" t="s">
        <v>444</v>
      </c>
      <c r="AL39" s="476" t="s">
        <v>445</v>
      </c>
      <c r="AM39" s="134"/>
      <c r="AS39" s="42" t="n">
        <v>14</v>
      </c>
    </row>
    <row r="40" customFormat="false" ht="35.25" hidden="false" customHeight="true" outlineLevel="0" collapsed="false">
      <c r="Q40" s="464"/>
      <c r="R40" s="464"/>
      <c r="S40" s="474"/>
      <c r="T40" s="391"/>
      <c r="U40" s="477"/>
      <c r="V40" s="134" t="s">
        <v>446</v>
      </c>
      <c r="W40" s="428"/>
      <c r="X40" s="134" t="s">
        <v>448</v>
      </c>
      <c r="Y40" s="134"/>
      <c r="Z40" s="134" t="s">
        <v>449</v>
      </c>
      <c r="AA40" s="134"/>
      <c r="AB40" s="134"/>
      <c r="AC40" s="391"/>
      <c r="AD40" s="134" t="s">
        <v>463</v>
      </c>
      <c r="AE40" s="428"/>
      <c r="AF40" s="134" t="s">
        <v>448</v>
      </c>
      <c r="AG40" s="134"/>
      <c r="AH40" s="134" t="s">
        <v>449</v>
      </c>
      <c r="AI40" s="134"/>
      <c r="AJ40" s="134"/>
      <c r="AK40" s="391"/>
      <c r="AL40" s="476"/>
      <c r="AM40" s="134"/>
      <c r="AS40" s="42" t="n">
        <v>34</v>
      </c>
    </row>
    <row r="41" customFormat="false" ht="35.25" hidden="false" customHeight="true" outlineLevel="0" collapsed="false">
      <c r="A41" s="140"/>
      <c r="B41" s="140" t="s">
        <v>150</v>
      </c>
      <c r="C41" s="140" t="s">
        <v>151</v>
      </c>
      <c r="D41" s="140" t="s">
        <v>152</v>
      </c>
      <c r="E41" s="414" t="s">
        <v>450</v>
      </c>
      <c r="F41" s="414" t="s">
        <v>451</v>
      </c>
      <c r="G41" s="414" t="s">
        <v>452</v>
      </c>
      <c r="H41" s="414" t="s">
        <v>453</v>
      </c>
      <c r="I41" s="414" t="s">
        <v>454</v>
      </c>
      <c r="J41" s="414" t="s">
        <v>455</v>
      </c>
      <c r="K41" s="414" t="s">
        <v>456</v>
      </c>
      <c r="L41" s="414" t="s">
        <v>431</v>
      </c>
      <c r="Q41" s="464"/>
      <c r="R41" s="464"/>
      <c r="S41" s="474"/>
      <c r="T41" s="391"/>
      <c r="U41" s="478"/>
      <c r="V41" s="134"/>
      <c r="W41" s="428"/>
      <c r="X41" s="185" t="s">
        <v>457</v>
      </c>
      <c r="Y41" s="185" t="s">
        <v>458</v>
      </c>
      <c r="Z41" s="185" t="s">
        <v>459</v>
      </c>
      <c r="AA41" s="185" t="s">
        <v>460</v>
      </c>
      <c r="AB41" s="185"/>
      <c r="AC41" s="391"/>
      <c r="AD41" s="134"/>
      <c r="AE41" s="428"/>
      <c r="AF41" s="185" t="s">
        <v>457</v>
      </c>
      <c r="AG41" s="185" t="s">
        <v>458</v>
      </c>
      <c r="AH41" s="185" t="s">
        <v>459</v>
      </c>
      <c r="AI41" s="185" t="s">
        <v>460</v>
      </c>
      <c r="AJ41" s="185"/>
      <c r="AK41" s="391"/>
      <c r="AL41" s="476"/>
      <c r="AM41" s="134"/>
      <c r="AS41" s="42" t="n">
        <v>34</v>
      </c>
    </row>
    <row r="42" s="120" customFormat="true" ht="11.25" hidden="true" customHeight="true" outlineLevel="0" collapsed="false">
      <c r="A42" s="140"/>
      <c r="B42" s="140"/>
      <c r="C42" s="140"/>
      <c r="D42" s="140"/>
      <c r="E42" s="140"/>
      <c r="F42" s="140"/>
      <c r="G42" s="140"/>
      <c r="H42" s="140"/>
      <c r="I42" s="140"/>
      <c r="J42" s="140"/>
      <c r="K42" s="140"/>
      <c r="L42" s="414"/>
      <c r="M42" s="51"/>
      <c r="N42" s="51"/>
      <c r="O42" s="51"/>
      <c r="P42" s="479"/>
      <c r="Q42" s="480"/>
      <c r="R42" s="481" t="n">
        <v>1</v>
      </c>
      <c r="S42" s="482" t="s">
        <v>120</v>
      </c>
      <c r="T42" s="483" t="s">
        <v>102</v>
      </c>
      <c r="U42" s="484" t="str">
        <f aca="true">OFFSET(U42,0,-1)</f>
        <v>2</v>
      </c>
      <c r="V42" s="485" t="n">
        <f aca="true">OFFSET(V42,0,-1)+1</f>
        <v>3</v>
      </c>
      <c r="W42" s="485"/>
      <c r="X42" s="485" t="n">
        <f aca="true">OFFSET(X42,0,-1)+1</f>
        <v>1</v>
      </c>
      <c r="Y42" s="485" t="n">
        <f aca="true">OFFSET(Y42,0,-1)+1</f>
        <v>2</v>
      </c>
      <c r="Z42" s="485" t="n">
        <f aca="true">OFFSET(Z42,0,-1)+1</f>
        <v>3</v>
      </c>
      <c r="AA42" s="485" t="n">
        <f aca="true">OFFSET(AA42,0,-1)+1</f>
        <v>4</v>
      </c>
      <c r="AB42" s="485"/>
      <c r="AC42" s="485" t="n">
        <f aca="true">OFFSET(AC42,0,-2)+1</f>
        <v>5</v>
      </c>
      <c r="AD42" s="485" t="n">
        <f aca="true">OFFSET(AD42,0,-1)+1</f>
        <v>6</v>
      </c>
      <c r="AE42" s="485"/>
      <c r="AF42" s="485" t="n">
        <f aca="true">OFFSET(AF42,0,-1)+1</f>
        <v>1</v>
      </c>
      <c r="AG42" s="485" t="n">
        <f aca="true">OFFSET(AG42,0,-1)+1</f>
        <v>2</v>
      </c>
      <c r="AH42" s="485" t="n">
        <f aca="true">OFFSET(AH42,0,-1)+1</f>
        <v>3</v>
      </c>
      <c r="AI42" s="485" t="n">
        <f aca="true">OFFSET(AI42,0,-1)+1</f>
        <v>4</v>
      </c>
      <c r="AJ42" s="485"/>
      <c r="AK42" s="485" t="n">
        <f aca="true">OFFSET(AK42,0,-2)+1</f>
        <v>5</v>
      </c>
      <c r="AL42" s="484" t="n">
        <f aca="true">OFFSET(AL42,0,-1)</f>
        <v>5</v>
      </c>
      <c r="AM42" s="485" t="n">
        <f aca="true">OFFSET(AM42,0,-1)+1</f>
        <v>6</v>
      </c>
      <c r="AN42" s="47"/>
      <c r="AO42" s="47"/>
      <c r="AP42" s="47"/>
      <c r="AQ42" s="47"/>
      <c r="AR42" s="47"/>
      <c r="AS42" s="120" t="n">
        <v>0</v>
      </c>
    </row>
    <row r="43" customFormat="false" ht="21.75" hidden="false" customHeight="true" outlineLevel="0" collapsed="false">
      <c r="A43" s="412" t="s">
        <v>201</v>
      </c>
      <c r="B43" s="412"/>
      <c r="C43" s="412"/>
      <c r="D43" s="412"/>
      <c r="E43" s="413" t="n">
        <v>1</v>
      </c>
      <c r="F43" s="412"/>
      <c r="G43" s="412"/>
      <c r="H43" s="412"/>
      <c r="I43" s="412"/>
      <c r="J43" s="412"/>
      <c r="K43" s="412"/>
      <c r="L43" s="414"/>
      <c r="M43" s="40"/>
      <c r="N43" s="40"/>
      <c r="O43" s="40"/>
      <c r="Q43" s="132"/>
      <c r="R43" s="415"/>
      <c r="S43" s="416" t="n">
        <f aca="false">INDEX(PT_DIFFERENTIATION_NUM_NTAR,MATCH(A43,PT_DIFFERENTIATION_NTAR_ID,0))</f>
        <v>0</v>
      </c>
      <c r="T43" s="417" t="s">
        <v>138</v>
      </c>
      <c r="U43" s="418"/>
      <c r="V43" s="419"/>
      <c r="W43" s="419"/>
      <c r="X43" s="419"/>
      <c r="Y43" s="419"/>
      <c r="Z43" s="419"/>
      <c r="AA43" s="419"/>
      <c r="AB43" s="419"/>
      <c r="AC43" s="419"/>
      <c r="AD43" s="420" t="str">
        <f aca="false">INDEX(PT_DIFFERENTIATION_NTAR,MATCH(A43,PT_DIFFERENTIATION_NTAR_ID,0))</f>
        <v/>
      </c>
      <c r="AE43" s="420"/>
      <c r="AF43" s="420"/>
      <c r="AG43" s="420"/>
      <c r="AH43" s="420"/>
      <c r="AI43" s="420"/>
      <c r="AJ43" s="420"/>
      <c r="AK43" s="420"/>
      <c r="AL43" s="420"/>
      <c r="AM43" s="421"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8"/>
      <c r="AP43" s="118" t="str">
        <f aca="false">IF(T43="","",T43)</f>
        <v>Наименование тарифа</v>
      </c>
      <c r="AQ43" s="118"/>
      <c r="AR43" s="118"/>
      <c r="AS43" s="42" t="n">
        <v>21</v>
      </c>
    </row>
    <row r="44" customFormat="false" ht="21.75" hidden="false" customHeight="true" outlineLevel="0" collapsed="false">
      <c r="A44" s="412" t="s">
        <v>201</v>
      </c>
      <c r="B44" s="412" t="s">
        <v>202</v>
      </c>
      <c r="C44" s="412"/>
      <c r="D44" s="412"/>
      <c r="E44" s="413"/>
      <c r="F44" s="413" t="n">
        <v>1</v>
      </c>
      <c r="G44" s="412"/>
      <c r="H44" s="412"/>
      <c r="I44" s="412"/>
      <c r="J44" s="412"/>
      <c r="K44" s="412"/>
      <c r="L44" s="414"/>
      <c r="M44" s="40"/>
      <c r="N44" s="40"/>
      <c r="O44" s="40"/>
      <c r="P44" s="43"/>
      <c r="Q44" s="422"/>
      <c r="R44" s="423"/>
      <c r="S44" s="416" t="str">
        <f aca="false">INDEX(PT_DIFFERENTIATION_NUM_TER,MATCH(B44,PT_DIFFERENTIATION_TER_ID,0))</f>
        <v>.</v>
      </c>
      <c r="T44" s="424" t="s">
        <v>410</v>
      </c>
      <c r="U44" s="418"/>
      <c r="V44" s="419"/>
      <c r="W44" s="419"/>
      <c r="X44" s="419"/>
      <c r="Y44" s="419"/>
      <c r="Z44" s="419"/>
      <c r="AA44" s="419"/>
      <c r="AB44" s="419"/>
      <c r="AC44" s="419"/>
      <c r="AD44" s="420" t="str">
        <f aca="false">INDEX(PT_DIFFERENTIATION_TER,MATCH(B44,PT_DIFFERENTIATION_TER_ID,0))</f>
        <v/>
      </c>
      <c r="AE44" s="420"/>
      <c r="AF44" s="420"/>
      <c r="AG44" s="420"/>
      <c r="AH44" s="420"/>
      <c r="AI44" s="420"/>
      <c r="AJ44" s="420"/>
      <c r="AK44" s="420"/>
      <c r="AL44" s="420"/>
      <c r="AM44" s="421" t="s">
        <v>411</v>
      </c>
      <c r="AO44" s="118"/>
      <c r="AP44" s="118" t="str">
        <f aca="false">IF(T44="","",T44)</f>
        <v>Территория действия тарифа</v>
      </c>
      <c r="AQ44" s="118"/>
      <c r="AR44" s="118"/>
      <c r="AS44" s="42" t="n">
        <v>21</v>
      </c>
    </row>
    <row r="45" customFormat="false" ht="24" hidden="false" customHeight="true" outlineLevel="0" collapsed="false">
      <c r="A45" s="412" t="s">
        <v>201</v>
      </c>
      <c r="B45" s="412" t="s">
        <v>202</v>
      </c>
      <c r="C45" s="412" t="s">
        <v>203</v>
      </c>
      <c r="D45" s="412"/>
      <c r="E45" s="413"/>
      <c r="F45" s="413"/>
      <c r="G45" s="413" t="n">
        <v>1</v>
      </c>
      <c r="H45" s="412"/>
      <c r="I45" s="412"/>
      <c r="J45" s="412"/>
      <c r="K45" s="412"/>
      <c r="L45" s="414"/>
      <c r="M45" s="40"/>
      <c r="N45" s="40"/>
      <c r="O45" s="40"/>
      <c r="P45" s="425"/>
      <c r="Q45" s="422"/>
      <c r="R45" s="423"/>
      <c r="S45" s="416" t="str">
        <f aca="false">INDEX(PT_DIFFERENTIATION_NUM_CS,MATCH(C45,PT_DIFFERENTIATION_CS_ID,0))</f>
        <v>..</v>
      </c>
      <c r="T45" s="426" t="s">
        <v>412</v>
      </c>
      <c r="U45" s="418"/>
      <c r="V45" s="419"/>
      <c r="W45" s="419"/>
      <c r="X45" s="419"/>
      <c r="Y45" s="419"/>
      <c r="Z45" s="419"/>
      <c r="AA45" s="419"/>
      <c r="AB45" s="419"/>
      <c r="AC45" s="419"/>
      <c r="AD45" s="420" t="str">
        <f aca="false">INDEX(PT_DIFFERENTIATION_CS,MATCH(C45,PT_DIFFERENTIATION_CS_ID,0))</f>
        <v/>
      </c>
      <c r="AE45" s="420"/>
      <c r="AF45" s="420"/>
      <c r="AG45" s="420"/>
      <c r="AH45" s="420"/>
      <c r="AI45" s="420"/>
      <c r="AJ45" s="420"/>
      <c r="AK45" s="420"/>
      <c r="AL45" s="420"/>
      <c r="AM45" s="421" t="s">
        <v>413</v>
      </c>
      <c r="AO45" s="118"/>
      <c r="AP45" s="118" t="str">
        <f aca="false">IF(T45="","",T45)</f>
        <v>Наименование системы теплоснабжения</v>
      </c>
      <c r="AQ45" s="118"/>
      <c r="AR45" s="118"/>
      <c r="AS45" s="42" t="n">
        <v>23</v>
      </c>
    </row>
    <row r="46" customFormat="false" ht="21.75" hidden="false" customHeight="true" outlineLevel="0" collapsed="false">
      <c r="A46" s="412" t="s">
        <v>201</v>
      </c>
      <c r="B46" s="412" t="s">
        <v>202</v>
      </c>
      <c r="C46" s="412" t="s">
        <v>203</v>
      </c>
      <c r="D46" s="412" t="s">
        <v>204</v>
      </c>
      <c r="E46" s="413"/>
      <c r="F46" s="413"/>
      <c r="G46" s="413"/>
      <c r="H46" s="413" t="n">
        <v>1</v>
      </c>
      <c r="I46" s="412"/>
      <c r="J46" s="412"/>
      <c r="K46" s="412"/>
      <c r="L46" s="414"/>
      <c r="M46" s="40"/>
      <c r="N46" s="40"/>
      <c r="O46" s="40"/>
      <c r="P46" s="425"/>
      <c r="Q46" s="422"/>
      <c r="R46" s="423"/>
      <c r="S46" s="416" t="str">
        <f aca="false">INDEX(PT_DIFFERENTIATION_NUM_IST_TE,MATCH(D46,PT_DIFFERENTIATION_IST_TE_ID,0))</f>
        <v>...</v>
      </c>
      <c r="T46" s="427" t="s">
        <v>414</v>
      </c>
      <c r="U46" s="418"/>
      <c r="V46" s="419"/>
      <c r="W46" s="419"/>
      <c r="X46" s="419"/>
      <c r="Y46" s="419"/>
      <c r="Z46" s="419"/>
      <c r="AA46" s="419"/>
      <c r="AB46" s="419"/>
      <c r="AC46" s="419"/>
      <c r="AD46" s="420" t="str">
        <f aca="false">INDEX(PT_DIFFERENTIATION_IST_TE,MATCH(D46,PT_DIFFERENTIATION_IST_TE_ID,0))</f>
        <v/>
      </c>
      <c r="AE46" s="420"/>
      <c r="AF46" s="420"/>
      <c r="AG46" s="420"/>
      <c r="AH46" s="420"/>
      <c r="AI46" s="420"/>
      <c r="AJ46" s="420"/>
      <c r="AK46" s="420"/>
      <c r="AL46" s="420"/>
      <c r="AM46" s="421" t="s">
        <v>415</v>
      </c>
      <c r="AO46" s="118"/>
      <c r="AP46" s="118" t="str">
        <f aca="false">IF(T46="","",T46)</f>
        <v>Источник тепловой энергии</v>
      </c>
      <c r="AQ46" s="118"/>
      <c r="AR46" s="118"/>
      <c r="AS46" s="42" t="n">
        <v>21</v>
      </c>
    </row>
    <row r="47" s="47" customFormat="true" ht="12.8" hidden="false" customHeight="false" outlineLevel="0" collapsed="false">
      <c r="A47" s="122" t="s">
        <v>201</v>
      </c>
      <c r="B47" s="122" t="s">
        <v>202</v>
      </c>
      <c r="C47" s="122" t="s">
        <v>203</v>
      </c>
      <c r="D47" s="122" t="s">
        <v>204</v>
      </c>
      <c r="E47" s="413"/>
      <c r="F47" s="413"/>
      <c r="G47" s="413"/>
      <c r="H47" s="413"/>
      <c r="I47" s="428" t="str">
        <f aca="false">S46&amp;".1"</f>
        <v>....1</v>
      </c>
      <c r="J47" s="122"/>
      <c r="K47" s="122"/>
      <c r="L47" s="192" t="s">
        <v>416</v>
      </c>
      <c r="M47" s="506"/>
      <c r="N47" s="506"/>
      <c r="O47" s="506"/>
      <c r="P47" s="121" t="n">
        <v>1</v>
      </c>
      <c r="Q47" s="121"/>
      <c r="R47" s="429"/>
      <c r="S47" s="301"/>
      <c r="T47" s="498"/>
      <c r="U47" s="499"/>
      <c r="V47" s="500"/>
      <c r="W47" s="500"/>
      <c r="X47" s="500"/>
      <c r="Y47" s="500"/>
      <c r="Z47" s="500"/>
      <c r="AA47" s="500"/>
      <c r="AB47" s="500"/>
      <c r="AC47" s="500"/>
      <c r="AD47" s="500"/>
      <c r="AE47" s="500"/>
      <c r="AF47" s="500"/>
      <c r="AG47" s="500"/>
      <c r="AH47" s="500"/>
      <c r="AI47" s="500"/>
      <c r="AJ47" s="500"/>
      <c r="AK47" s="500"/>
      <c r="AL47" s="500"/>
      <c r="AM47" s="501"/>
      <c r="AO47" s="118"/>
      <c r="AP47" s="118" t="str">
        <f aca="false">IF(T47="","",T47)</f>
        <v/>
      </c>
      <c r="AQ47" s="118"/>
      <c r="AR47" s="118"/>
      <c r="AS47" s="47" t="n">
        <v>0</v>
      </c>
    </row>
    <row r="48" customFormat="false" ht="21.75" hidden="false" customHeight="true" outlineLevel="0" collapsed="false">
      <c r="A48" s="412" t="s">
        <v>201</v>
      </c>
      <c r="B48" s="412" t="s">
        <v>202</v>
      </c>
      <c r="C48" s="412" t="s">
        <v>203</v>
      </c>
      <c r="D48" s="412" t="s">
        <v>204</v>
      </c>
      <c r="E48" s="413"/>
      <c r="F48" s="413"/>
      <c r="G48" s="413"/>
      <c r="H48" s="413"/>
      <c r="I48" s="428"/>
      <c r="J48" s="428" t="str">
        <f aca="false">S46&amp;".1"</f>
        <v>....1</v>
      </c>
      <c r="K48" s="412"/>
      <c r="L48" s="414" t="s">
        <v>419</v>
      </c>
      <c r="P48" s="121"/>
      <c r="Q48" s="121" t="n">
        <v>1</v>
      </c>
      <c r="R48" s="432"/>
      <c r="S48" s="416" t="str">
        <f aca="false">$J48</f>
        <v>....1</v>
      </c>
      <c r="T48" s="433" t="s">
        <v>420</v>
      </c>
      <c r="U48" s="418"/>
      <c r="V48" s="431"/>
      <c r="W48" s="431"/>
      <c r="X48" s="431"/>
      <c r="Y48" s="431"/>
      <c r="Z48" s="431"/>
      <c r="AA48" s="431"/>
      <c r="AB48" s="431"/>
      <c r="AC48" s="431"/>
      <c r="AD48" s="431"/>
      <c r="AE48" s="431"/>
      <c r="AF48" s="431"/>
      <c r="AG48" s="431"/>
      <c r="AH48" s="431"/>
      <c r="AI48" s="431"/>
      <c r="AJ48" s="431"/>
      <c r="AK48" s="431"/>
      <c r="AL48" s="431"/>
      <c r="AM48" s="421" t="s">
        <v>421</v>
      </c>
      <c r="AO48" s="118"/>
      <c r="AP48" s="118" t="str">
        <f aca="false">IF(T48="","",T48)</f>
        <v>Группа потребителей</v>
      </c>
      <c r="AQ48" s="118"/>
      <c r="AR48" s="118"/>
      <c r="AS48" s="42" t="n">
        <v>21</v>
      </c>
    </row>
    <row r="49" customFormat="false" ht="21.75" hidden="false" customHeight="true" outlineLevel="0" collapsed="false">
      <c r="A49" s="412" t="s">
        <v>201</v>
      </c>
      <c r="B49" s="412" t="s">
        <v>202</v>
      </c>
      <c r="C49" s="412" t="s">
        <v>203</v>
      </c>
      <c r="D49" s="412" t="s">
        <v>204</v>
      </c>
      <c r="E49" s="413"/>
      <c r="F49" s="413"/>
      <c r="G49" s="413"/>
      <c r="H49" s="413"/>
      <c r="I49" s="428"/>
      <c r="J49" s="428"/>
      <c r="K49" s="428" t="str">
        <f aca="false">J48&amp;".1"</f>
        <v>....1.1</v>
      </c>
      <c r="L49" s="414" t="s">
        <v>422</v>
      </c>
      <c r="P49" s="121"/>
      <c r="Q49" s="121"/>
      <c r="R49" s="432" t="n">
        <v>1</v>
      </c>
      <c r="S49" s="416" t="str">
        <f aca="false">$K49</f>
        <v>....1.1</v>
      </c>
      <c r="T49" s="434"/>
      <c r="U49" s="418"/>
      <c r="V49" s="435"/>
      <c r="W49" s="436"/>
      <c r="X49" s="435"/>
      <c r="Y49" s="437"/>
      <c r="Z49" s="438"/>
      <c r="AA49" s="204" t="s">
        <v>61</v>
      </c>
      <c r="AB49" s="438"/>
      <c r="AC49" s="204" t="s">
        <v>61</v>
      </c>
      <c r="AD49" s="435"/>
      <c r="AE49" s="436"/>
      <c r="AF49" s="435"/>
      <c r="AG49" s="437"/>
      <c r="AH49" s="438"/>
      <c r="AI49" s="204" t="s">
        <v>61</v>
      </c>
      <c r="AJ49" s="438"/>
      <c r="AK49" s="204" t="s">
        <v>61</v>
      </c>
      <c r="AL49" s="486"/>
      <c r="AM49" s="439" t="s">
        <v>464</v>
      </c>
      <c r="AN49" s="47" t="e">
        <f aca="false">strcheckdate(V50:AL50)</f>
        <v>#NAME?</v>
      </c>
      <c r="AO49" s="118"/>
      <c r="AP49" s="118" t="str">
        <f aca="false">IF(T49="","",T49)</f>
        <v/>
      </c>
      <c r="AQ49" s="118"/>
      <c r="AR49" s="118"/>
      <c r="AS49" s="42" t="n">
        <v>21</v>
      </c>
    </row>
    <row r="50" customFormat="false" ht="12.8" hidden="false" customHeight="false" outlineLevel="0" collapsed="false">
      <c r="A50" s="412" t="s">
        <v>201</v>
      </c>
      <c r="B50" s="412" t="s">
        <v>202</v>
      </c>
      <c r="C50" s="412" t="s">
        <v>203</v>
      </c>
      <c r="D50" s="412" t="s">
        <v>204</v>
      </c>
      <c r="E50" s="413"/>
      <c r="F50" s="413"/>
      <c r="G50" s="413"/>
      <c r="H50" s="413"/>
      <c r="I50" s="428"/>
      <c r="J50" s="428"/>
      <c r="K50" s="428"/>
      <c r="L50" s="414"/>
      <c r="P50" s="121"/>
      <c r="Q50" s="121"/>
      <c r="R50" s="432"/>
      <c r="S50" s="393"/>
      <c r="T50" s="418"/>
      <c r="U50" s="418"/>
      <c r="V50" s="436"/>
      <c r="W50" s="436"/>
      <c r="X50" s="436"/>
      <c r="Y50" s="440" t="str">
        <f aca="false">Z49&amp;"-"&amp;AB49</f>
        <v>-</v>
      </c>
      <c r="Z50" s="438"/>
      <c r="AA50" s="204"/>
      <c r="AB50" s="438"/>
      <c r="AC50" s="204"/>
      <c r="AD50" s="436"/>
      <c r="AE50" s="436"/>
      <c r="AF50" s="436"/>
      <c r="AG50" s="440" t="str">
        <f aca="false">AH49&amp;"-"&amp;AJ49</f>
        <v>-</v>
      </c>
      <c r="AH50" s="438"/>
      <c r="AI50" s="204"/>
      <c r="AJ50" s="438"/>
      <c r="AK50" s="204"/>
      <c r="AL50" s="487"/>
      <c r="AM50" s="439"/>
      <c r="AO50" s="118"/>
      <c r="AP50" s="118" t="str">
        <f aca="false">IF(T50="","",T50)</f>
        <v/>
      </c>
      <c r="AQ50" s="118"/>
      <c r="AR50" s="118"/>
      <c r="AS50" s="42" t="n">
        <v>0</v>
      </c>
    </row>
    <row r="51" customFormat="false" ht="11.25" hidden="false" customHeight="true" outlineLevel="0" collapsed="false">
      <c r="A51" s="412" t="s">
        <v>201</v>
      </c>
      <c r="B51" s="412" t="s">
        <v>202</v>
      </c>
      <c r="C51" s="412" t="s">
        <v>203</v>
      </c>
      <c r="D51" s="412" t="s">
        <v>204</v>
      </c>
      <c r="E51" s="413"/>
      <c r="F51" s="413"/>
      <c r="G51" s="413"/>
      <c r="H51" s="413"/>
      <c r="I51" s="428"/>
      <c r="J51" s="428"/>
      <c r="K51" s="412"/>
      <c r="L51" s="414"/>
      <c r="P51" s="121"/>
      <c r="Q51" s="121"/>
      <c r="R51" s="429"/>
      <c r="S51" s="441"/>
      <c r="T51" s="444" t="s">
        <v>424</v>
      </c>
      <c r="U51" s="194"/>
      <c r="V51" s="194"/>
      <c r="W51" s="194"/>
      <c r="X51" s="194"/>
      <c r="Y51" s="194"/>
      <c r="Z51" s="194"/>
      <c r="AA51" s="194"/>
      <c r="AB51" s="194"/>
      <c r="AC51" s="194"/>
      <c r="AD51" s="194"/>
      <c r="AE51" s="194"/>
      <c r="AF51" s="194"/>
      <c r="AG51" s="194"/>
      <c r="AH51" s="194"/>
      <c r="AI51" s="194"/>
      <c r="AJ51" s="194"/>
      <c r="AK51" s="194"/>
      <c r="AL51" s="443"/>
      <c r="AM51" s="439"/>
      <c r="AO51" s="118"/>
      <c r="AP51" s="118" t="str">
        <f aca="false">IF(T51="","",T51)</f>
        <v>Добавить вид теплоносителя (параметры теплоносителя)</v>
      </c>
      <c r="AQ51" s="118"/>
      <c r="AR51" s="118"/>
      <c r="AS51" s="42" t="n">
        <v>11</v>
      </c>
    </row>
    <row r="52" customFormat="false" ht="11.25" hidden="false" customHeight="true" outlineLevel="0" collapsed="false">
      <c r="A52" s="412" t="s">
        <v>201</v>
      </c>
      <c r="B52" s="412" t="s">
        <v>202</v>
      </c>
      <c r="C52" s="412" t="s">
        <v>203</v>
      </c>
      <c r="D52" s="412" t="s">
        <v>204</v>
      </c>
      <c r="E52" s="413"/>
      <c r="F52" s="413"/>
      <c r="G52" s="413"/>
      <c r="H52" s="413"/>
      <c r="I52" s="428"/>
      <c r="J52" s="412"/>
      <c r="K52" s="412"/>
      <c r="L52" s="414"/>
      <c r="P52" s="121"/>
      <c r="Q52" s="121"/>
      <c r="R52" s="429"/>
      <c r="S52" s="441"/>
      <c r="T52" s="448" t="s">
        <v>425</v>
      </c>
      <c r="U52" s="194"/>
      <c r="V52" s="194"/>
      <c r="W52" s="194"/>
      <c r="X52" s="194"/>
      <c r="Y52" s="194"/>
      <c r="Z52" s="194"/>
      <c r="AA52" s="194"/>
      <c r="AB52" s="194"/>
      <c r="AC52" s="445"/>
      <c r="AD52" s="194"/>
      <c r="AE52" s="194"/>
      <c r="AF52" s="194"/>
      <c r="AG52" s="194"/>
      <c r="AH52" s="194"/>
      <c r="AI52" s="194"/>
      <c r="AJ52" s="194"/>
      <c r="AK52" s="445"/>
      <c r="AL52" s="194"/>
      <c r="AM52" s="446"/>
      <c r="AO52" s="118"/>
      <c r="AP52" s="118" t="str">
        <f aca="false">IF(T52="","",T52)</f>
        <v>Добавить группу потребителей</v>
      </c>
      <c r="AQ52" s="118"/>
      <c r="AR52" s="118"/>
      <c r="AS52" s="42" t="n">
        <v>11</v>
      </c>
    </row>
    <row r="53" customFormat="false" ht="12.8" hidden="false" customHeight="false" outlineLevel="0" collapsed="false">
      <c r="A53" s="412" t="s">
        <v>201</v>
      </c>
      <c r="B53" s="412" t="s">
        <v>202</v>
      </c>
      <c r="C53" s="412" t="s">
        <v>203</v>
      </c>
      <c r="D53" s="412" t="s">
        <v>204</v>
      </c>
      <c r="E53" s="413"/>
      <c r="F53" s="413"/>
      <c r="G53" s="413"/>
      <c r="H53" s="413"/>
      <c r="I53" s="412"/>
      <c r="J53" s="412"/>
      <c r="K53" s="412"/>
      <c r="L53" s="414"/>
      <c r="M53" s="40"/>
      <c r="N53" s="40"/>
      <c r="O53" s="45"/>
      <c r="P53" s="132"/>
      <c r="Q53" s="447"/>
      <c r="R53" s="415"/>
      <c r="S53" s="502"/>
      <c r="T53" s="503"/>
      <c r="U53" s="504"/>
      <c r="V53" s="504"/>
      <c r="W53" s="504"/>
      <c r="X53" s="504"/>
      <c r="Y53" s="504"/>
      <c r="Z53" s="504"/>
      <c r="AA53" s="504"/>
      <c r="AB53" s="504"/>
      <c r="AC53" s="504"/>
      <c r="AD53" s="504"/>
      <c r="AE53" s="504"/>
      <c r="AF53" s="504"/>
      <c r="AG53" s="504"/>
      <c r="AH53" s="504"/>
      <c r="AI53" s="504"/>
      <c r="AJ53" s="504"/>
      <c r="AK53" s="504"/>
      <c r="AL53" s="504"/>
      <c r="AM53" s="505"/>
      <c r="AO53" s="118"/>
      <c r="AP53" s="118" t="str">
        <f aca="false">IF(T53="","",T53)</f>
        <v/>
      </c>
      <c r="AQ53" s="118"/>
      <c r="AR53" s="118"/>
      <c r="AS53" s="42" t="n">
        <v>0</v>
      </c>
    </row>
    <row r="54" s="47" customFormat="true" ht="12.8" hidden="false" customHeight="false" outlineLevel="0" collapsed="false">
      <c r="A54" s="122" t="s">
        <v>201</v>
      </c>
      <c r="B54" s="122" t="s">
        <v>202</v>
      </c>
      <c r="C54" s="122" t="s">
        <v>203</v>
      </c>
      <c r="D54" s="122"/>
      <c r="E54" s="413"/>
      <c r="F54" s="413"/>
      <c r="G54" s="413"/>
      <c r="H54" s="122"/>
      <c r="I54" s="122"/>
      <c r="J54" s="122"/>
      <c r="K54" s="122"/>
      <c r="L54" s="192"/>
      <c r="M54" s="46"/>
      <c r="N54" s="46"/>
      <c r="P54" s="156"/>
      <c r="Q54" s="449"/>
      <c r="R54" s="156"/>
      <c r="S54" s="454"/>
      <c r="T54" s="457" t="s">
        <v>427</v>
      </c>
      <c r="U54" s="456"/>
      <c r="V54" s="456"/>
      <c r="W54" s="456"/>
      <c r="X54" s="456"/>
      <c r="Y54" s="456"/>
      <c r="Z54" s="456"/>
      <c r="AA54" s="456"/>
      <c r="AB54" s="456"/>
      <c r="AC54" s="456"/>
      <c r="AD54" s="456"/>
      <c r="AE54" s="456"/>
      <c r="AF54" s="456"/>
      <c r="AG54" s="456"/>
      <c r="AH54" s="456"/>
      <c r="AI54" s="456"/>
      <c r="AJ54" s="456"/>
      <c r="AK54" s="456"/>
      <c r="AL54" s="456"/>
      <c r="AM54" s="456"/>
      <c r="AO54" s="118"/>
      <c r="AP54" s="118" t="str">
        <f aca="false">IF(T54="","",T54)</f>
        <v>Добавить источник для дифференциации</v>
      </c>
      <c r="AQ54" s="118"/>
      <c r="AR54" s="118"/>
      <c r="AS54" s="47" t="n">
        <v>0</v>
      </c>
    </row>
    <row r="55" s="47" customFormat="true" ht="12.8" hidden="false" customHeight="false" outlineLevel="0" collapsed="false">
      <c r="A55" s="122" t="s">
        <v>201</v>
      </c>
      <c r="B55" s="122" t="s">
        <v>202</v>
      </c>
      <c r="C55" s="122"/>
      <c r="D55" s="122"/>
      <c r="E55" s="413"/>
      <c r="F55" s="413"/>
      <c r="G55" s="122"/>
      <c r="H55" s="122"/>
      <c r="I55" s="122"/>
      <c r="J55" s="122"/>
      <c r="K55" s="122"/>
      <c r="L55" s="192"/>
      <c r="M55" s="453"/>
      <c r="N55" s="453"/>
      <c r="P55" s="156"/>
      <c r="Q55" s="449"/>
      <c r="R55" s="156"/>
      <c r="S55" s="454"/>
      <c r="T55" s="457" t="s">
        <v>428</v>
      </c>
      <c r="U55" s="456"/>
      <c r="V55" s="456"/>
      <c r="W55" s="456"/>
      <c r="X55" s="456"/>
      <c r="Y55" s="456"/>
      <c r="Z55" s="456"/>
      <c r="AA55" s="456"/>
      <c r="AB55" s="456"/>
      <c r="AC55" s="456"/>
      <c r="AD55" s="456"/>
      <c r="AE55" s="456"/>
      <c r="AF55" s="456"/>
      <c r="AG55" s="456"/>
      <c r="AH55" s="456"/>
      <c r="AI55" s="456"/>
      <c r="AJ55" s="456"/>
      <c r="AK55" s="456"/>
      <c r="AL55" s="456"/>
      <c r="AM55" s="456"/>
      <c r="AO55" s="118"/>
      <c r="AP55" s="118" t="str">
        <f aca="false">IF(T55="","",T55)</f>
        <v>Добавить централизованную систему для дифференциации</v>
      </c>
      <c r="AQ55" s="118"/>
      <c r="AR55" s="118"/>
      <c r="AS55" s="47" t="n">
        <v>0</v>
      </c>
    </row>
    <row r="56" s="47" customFormat="true" ht="12.8" hidden="false" customHeight="false" outlineLevel="0" collapsed="false">
      <c r="A56" s="122" t="s">
        <v>201</v>
      </c>
      <c r="B56" s="122"/>
      <c r="C56" s="122"/>
      <c r="D56" s="122"/>
      <c r="E56" s="413"/>
      <c r="F56" s="122"/>
      <c r="G56" s="122"/>
      <c r="H56" s="122"/>
      <c r="I56" s="122"/>
      <c r="J56" s="122"/>
      <c r="K56" s="122"/>
      <c r="L56" s="192"/>
      <c r="M56" s="453"/>
      <c r="N56" s="453"/>
      <c r="P56" s="156"/>
      <c r="Q56" s="449"/>
      <c r="R56" s="156"/>
      <c r="S56" s="454"/>
      <c r="T56" s="457" t="s">
        <v>429</v>
      </c>
      <c r="U56" s="456"/>
      <c r="V56" s="456"/>
      <c r="W56" s="456"/>
      <c r="X56" s="456"/>
      <c r="Y56" s="456"/>
      <c r="Z56" s="456"/>
      <c r="AA56" s="456"/>
      <c r="AB56" s="456"/>
      <c r="AC56" s="456"/>
      <c r="AD56" s="456"/>
      <c r="AE56" s="456"/>
      <c r="AF56" s="456"/>
      <c r="AG56" s="456"/>
      <c r="AH56" s="456"/>
      <c r="AI56" s="456"/>
      <c r="AJ56" s="456"/>
      <c r="AK56" s="456"/>
      <c r="AL56" s="456"/>
      <c r="AM56" s="456"/>
      <c r="AO56" s="118"/>
      <c r="AP56" s="118" t="str">
        <f aca="false">IF(T56="","",T56)</f>
        <v>Добавить территорию для дифференциации</v>
      </c>
      <c r="AQ56" s="118"/>
      <c r="AR56" s="118"/>
      <c r="AS56" s="47" t="n">
        <v>0</v>
      </c>
    </row>
    <row r="57" s="47" customFormat="true" ht="3.75" hidden="false" customHeight="true" outlineLevel="0" collapsed="false">
      <c r="A57" s="122"/>
      <c r="B57" s="122"/>
      <c r="C57" s="122"/>
      <c r="D57" s="122"/>
      <c r="E57" s="122"/>
      <c r="F57" s="122"/>
      <c r="G57" s="122"/>
      <c r="H57" s="122"/>
      <c r="I57" s="122"/>
      <c r="J57" s="122"/>
      <c r="K57" s="122"/>
      <c r="L57" s="192"/>
      <c r="M57" s="453"/>
      <c r="N57" s="453"/>
      <c r="P57" s="156"/>
      <c r="Q57" s="449"/>
      <c r="R57" s="156"/>
      <c r="S57" s="454"/>
      <c r="T57" s="457" t="s">
        <v>461</v>
      </c>
      <c r="U57" s="456"/>
      <c r="V57" s="456"/>
      <c r="W57" s="456"/>
      <c r="X57" s="456"/>
      <c r="Y57" s="456"/>
      <c r="Z57" s="456"/>
      <c r="AA57" s="456"/>
      <c r="AB57" s="456"/>
      <c r="AC57" s="456"/>
      <c r="AD57" s="456"/>
      <c r="AE57" s="456"/>
      <c r="AF57" s="456"/>
      <c r="AG57" s="456"/>
      <c r="AH57" s="456"/>
      <c r="AI57" s="456"/>
      <c r="AJ57" s="456"/>
      <c r="AK57" s="456"/>
      <c r="AL57" s="456"/>
      <c r="AM57" s="456"/>
      <c r="AO57" s="118"/>
      <c r="AP57" s="118" t="str">
        <f aca="false">IF(T57="","",T57)</f>
        <v>Добавить наименование тарифа</v>
      </c>
      <c r="AQ57" s="118"/>
      <c r="AR57" s="118"/>
      <c r="AS57" s="47" t="n">
        <v>4</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14.25" hidden="false" customHeight="true" outlineLevel="0" collapsed="false">
      <c r="O59" s="45"/>
      <c r="S59" s="409"/>
      <c r="T59" s="488"/>
      <c r="U59" s="488"/>
      <c r="V59" s="488"/>
      <c r="W59" s="488"/>
      <c r="X59" s="488"/>
      <c r="Y59" s="488"/>
      <c r="Z59" s="488"/>
      <c r="AA59" s="488"/>
      <c r="AB59" s="488"/>
      <c r="AC59" s="488"/>
      <c r="AD59" s="488"/>
      <c r="AE59" s="488"/>
      <c r="AF59" s="488"/>
      <c r="AG59" s="488"/>
      <c r="AH59" s="488"/>
      <c r="AI59" s="488"/>
      <c r="AJ59" s="488"/>
      <c r="AK59" s="488"/>
      <c r="AL59" s="488"/>
      <c r="AM59" s="488"/>
      <c r="AS59" s="42" t="n">
        <v>14</v>
      </c>
    </row>
    <row r="60" customFormat="false" ht="14.25" hidden="false" customHeight="true" outlineLevel="0" collapsed="false">
      <c r="O60" s="45"/>
      <c r="T60" s="488"/>
      <c r="U60" s="488"/>
      <c r="V60" s="488"/>
      <c r="W60" s="488"/>
      <c r="X60" s="488"/>
      <c r="Y60" s="488"/>
      <c r="Z60" s="488"/>
      <c r="AA60" s="488"/>
      <c r="AB60" s="488"/>
      <c r="AC60" s="488"/>
      <c r="AD60" s="488"/>
      <c r="AE60" s="488"/>
      <c r="AF60" s="488"/>
      <c r="AG60" s="488"/>
      <c r="AH60" s="488"/>
      <c r="AI60" s="488"/>
      <c r="AJ60" s="488"/>
      <c r="AK60" s="488"/>
      <c r="AL60" s="488"/>
      <c r="AM60" s="488"/>
      <c r="AS60" s="42" t="n">
        <v>14</v>
      </c>
    </row>
    <row r="61" customFormat="false" ht="14.25" hidden="false" customHeight="true" outlineLevel="0" collapsed="false">
      <c r="O61" s="45"/>
      <c r="T61" s="488"/>
      <c r="U61" s="488"/>
      <c r="V61" s="488"/>
      <c r="W61" s="488"/>
      <c r="X61" s="488"/>
      <c r="Y61" s="488"/>
      <c r="Z61" s="488"/>
      <c r="AA61" s="488"/>
      <c r="AB61" s="488"/>
      <c r="AC61" s="488"/>
      <c r="AD61" s="488"/>
      <c r="AE61" s="488"/>
      <c r="AF61" s="488"/>
      <c r="AG61" s="488"/>
      <c r="AH61" s="488"/>
      <c r="AI61" s="488"/>
      <c r="AJ61" s="488"/>
      <c r="AK61" s="488"/>
      <c r="AL61" s="488"/>
      <c r="AM61" s="488"/>
      <c r="AS61" s="42" t="n">
        <v>14</v>
      </c>
    </row>
    <row r="62" customFormat="false" ht="14.25" hidden="false" customHeight="true" outlineLevel="0" collapsed="false">
      <c r="O62" s="45"/>
      <c r="AS62" s="42" t="n">
        <v>14</v>
      </c>
    </row>
    <row r="63" customFormat="false" ht="14.25" hidden="false" customHeight="true" outlineLevel="0" collapsed="false">
      <c r="O63" s="45"/>
      <c r="S63" s="409"/>
      <c r="T63" s="250"/>
      <c r="U63" s="250"/>
      <c r="V63" s="250"/>
      <c r="W63" s="250"/>
      <c r="X63" s="250"/>
      <c r="Y63" s="250"/>
      <c r="Z63" s="250"/>
      <c r="AA63" s="250"/>
      <c r="AB63" s="250"/>
      <c r="AC63" s="250"/>
      <c r="AD63" s="250"/>
      <c r="AE63" s="250"/>
      <c r="AF63" s="250"/>
      <c r="AG63" s="250"/>
      <c r="AH63" s="250"/>
      <c r="AI63" s="250"/>
      <c r="AJ63" s="250"/>
      <c r="AK63" s="250"/>
      <c r="AL63" s="250"/>
      <c r="AM63" s="250"/>
      <c r="AS63" s="42" t="n">
        <v>14</v>
      </c>
    </row>
    <row r="64" customFormat="false" ht="14.25" hidden="false" customHeight="true" outlineLevel="0" collapsed="false">
      <c r="O64" s="45"/>
      <c r="T64" s="488"/>
      <c r="U64" s="488"/>
      <c r="V64" s="488"/>
      <c r="W64" s="488"/>
      <c r="X64" s="488"/>
      <c r="Y64" s="488"/>
      <c r="Z64" s="488"/>
      <c r="AA64" s="488"/>
      <c r="AB64" s="488"/>
      <c r="AC64" s="488"/>
      <c r="AD64" s="488"/>
      <c r="AE64" s="488"/>
      <c r="AF64" s="488"/>
      <c r="AG64" s="488"/>
      <c r="AH64" s="488"/>
      <c r="AI64" s="488"/>
      <c r="AJ64" s="488"/>
      <c r="AK64" s="488"/>
      <c r="AL64" s="488"/>
      <c r="AM64" s="488"/>
      <c r="AS64" s="42" t="n">
        <v>14</v>
      </c>
    </row>
    <row r="65" customFormat="false" ht="14.25" hidden="false" customHeight="true" outlineLevel="0" collapsed="false">
      <c r="T65" s="488"/>
      <c r="U65" s="488"/>
      <c r="V65" s="488"/>
      <c r="W65" s="488"/>
      <c r="X65" s="488"/>
      <c r="Y65" s="488"/>
      <c r="Z65" s="488"/>
      <c r="AA65" s="488"/>
      <c r="AB65" s="488"/>
      <c r="AC65" s="488"/>
      <c r="AD65" s="488"/>
      <c r="AE65" s="488"/>
      <c r="AF65" s="488"/>
      <c r="AG65" s="488"/>
      <c r="AH65" s="488"/>
      <c r="AI65" s="488"/>
      <c r="AJ65" s="488"/>
      <c r="AK65" s="488"/>
      <c r="AL65" s="488"/>
      <c r="AM65" s="488"/>
      <c r="AS65" s="42" t="n">
        <v>14</v>
      </c>
    </row>
    <row r="66" customFormat="false" ht="22.5" hidden="true" customHeight="true" outlineLevel="0" collapsed="false">
      <c r="A66" s="45" t="s">
        <v>81</v>
      </c>
      <c r="B66" s="45" t="n">
        <v>0</v>
      </c>
      <c r="C66" s="45" t="n">
        <v>0</v>
      </c>
      <c r="D66" s="45" t="n">
        <v>0</v>
      </c>
      <c r="E66" s="45" t="n">
        <v>0</v>
      </c>
      <c r="F66" s="45" t="n">
        <v>0</v>
      </c>
      <c r="G66" s="45" t="n">
        <v>0</v>
      </c>
      <c r="H66" s="45" t="n">
        <v>0</v>
      </c>
      <c r="I66" s="45" t="n">
        <v>0</v>
      </c>
      <c r="J66" s="45" t="n">
        <v>0</v>
      </c>
      <c r="K66" s="45" t="n">
        <v>0</v>
      </c>
      <c r="L66" s="44" t="n">
        <v>0</v>
      </c>
      <c r="M66" s="51" t="n">
        <v>0</v>
      </c>
      <c r="N66" s="51" t="n">
        <v>0</v>
      </c>
      <c r="O66" s="51" t="n">
        <v>0</v>
      </c>
      <c r="P66" s="50" t="n">
        <v>0</v>
      </c>
      <c r="Q66" s="411" t="n">
        <v>3</v>
      </c>
      <c r="R66" s="411" t="n">
        <v>3</v>
      </c>
      <c r="S66" s="75"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7" t="n">
        <v>10</v>
      </c>
      <c r="AO66" s="47" t="n">
        <v>10</v>
      </c>
      <c r="AP66" s="47" t="n">
        <v>10</v>
      </c>
      <c r="AQ66" s="47" t="n">
        <v>10</v>
      </c>
      <c r="AR66" s="47"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W7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5"/>
    <col collapsed="false" customWidth="true" hidden="true" outlineLevel="0" max="5" min="5" style="42" width="10"/>
    <col collapsed="false" customWidth="true" hidden="true" outlineLevel="0" max="6" min="6" style="42" width="8.71"/>
    <col collapsed="false" customWidth="true" hidden="true" outlineLevel="0" max="7" min="7" style="42" width="7.57"/>
    <col collapsed="false" customWidth="true" hidden="true" outlineLevel="0" max="8" min="8" style="42" width="11.42"/>
    <col collapsed="false" customWidth="true" hidden="true" outlineLevel="0" max="9" min="9" style="42" width="12"/>
    <col collapsed="false" customWidth="true" hidden="true" outlineLevel="0" max="10" min="10" style="42" width="9.85"/>
    <col collapsed="false" customWidth="true" hidden="true" outlineLevel="0" max="12" min="11" style="42" width="11.42"/>
    <col collapsed="false" customWidth="true" hidden="true" outlineLevel="0" max="13" min="13" style="43" width="19.14"/>
    <col collapsed="false" customWidth="true" hidden="true" outlineLevel="0" max="15" min="14" style="50" width="12.28"/>
    <col collapsed="false" customWidth="true" hidden="true" outlineLevel="0" max="16" min="16" style="50" width="23.42"/>
    <col collapsed="false" customWidth="true" hidden="true" outlineLevel="0" max="17" min="17" style="50" width="3.71"/>
    <col collapsed="false" customWidth="true" hidden="false" outlineLevel="0" max="20" min="18" style="411" width="3"/>
    <col collapsed="false" customWidth="true" hidden="false" outlineLevel="0" max="21" min="21" style="75" width="12"/>
    <col collapsed="false" customWidth="true" hidden="false" outlineLevel="0" max="22" min="22" style="42" width="31"/>
    <col collapsed="false" customWidth="true" hidden="false" outlineLevel="0" max="23" min="23" style="42" width="0.14"/>
    <col collapsed="false" customWidth="true" hidden="true" outlineLevel="0" max="28" min="24" style="42" width="21.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21.71"/>
    <col collapsed="false" customWidth="true" hidden="false" outlineLevel="0" max="37" min="34" style="42" width="21"/>
    <col collapsed="false" customWidth="true" hidden="false" outlineLevel="0" max="38" min="38" style="42" width="11"/>
    <col collapsed="false" customWidth="true" hidden="false" outlineLevel="0" max="39" min="39" style="42" width="3.71"/>
    <col collapsed="false" customWidth="true" hidden="false" outlineLevel="0" max="40" min="40" style="42" width="11"/>
    <col collapsed="false" customWidth="true" hidden="true" outlineLevel="0" max="41" min="41" style="42" width="8.57"/>
    <col collapsed="false" customWidth="true" hidden="false" outlineLevel="0" max="42" min="42" style="42" width="4"/>
    <col collapsed="false" customWidth="true" hidden="false" outlineLevel="0" max="43" min="43" style="42" width="115"/>
    <col collapsed="false" customWidth="true" hidden="false" outlineLevel="0" max="48" min="44" style="47" width="10"/>
    <col collapsed="false" customWidth="false" hidden="true" outlineLevel="0" max="49" min="49" style="42" width="10.57"/>
  </cols>
  <sheetData>
    <row r="1" customFormat="false" ht="22.5" hidden="true" customHeight="true" outlineLevel="0" collapsed="false">
      <c r="AW1" s="42" t="s">
        <v>14</v>
      </c>
    </row>
    <row r="2" customFormat="false" ht="21" hidden="true" customHeight="true" outlineLevel="0" collapsed="false">
      <c r="A2" s="241"/>
      <c r="B2" s="241"/>
      <c r="C2" s="241"/>
      <c r="D2" s="241"/>
      <c r="E2" s="489" t="n">
        <v>1</v>
      </c>
      <c r="F2" s="241"/>
      <c r="G2" s="241"/>
      <c r="H2" s="241"/>
      <c r="I2" s="241"/>
      <c r="J2" s="241"/>
      <c r="K2" s="241"/>
      <c r="L2" s="241"/>
      <c r="M2" s="490"/>
      <c r="N2" s="75"/>
      <c r="O2" s="75"/>
      <c r="P2" s="75"/>
      <c r="R2" s="132"/>
      <c r="S2" s="132"/>
      <c r="T2" s="415"/>
      <c r="U2" s="416" t="e">
        <f aca="false">INDEX(PT_DIFFERENTIATION_NUM_NTAR,MATCH(A2,PT_DIFFERENTIATION_NTAR_ID,0))</f>
        <v>#N/A</v>
      </c>
      <c r="V2" s="417" t="s">
        <v>138</v>
      </c>
      <c r="W2" s="418"/>
      <c r="X2" s="420"/>
      <c r="Y2" s="420"/>
      <c r="Z2" s="420"/>
      <c r="AA2" s="420"/>
      <c r="AB2" s="420"/>
      <c r="AC2" s="420"/>
      <c r="AD2" s="420"/>
      <c r="AE2" s="420"/>
      <c r="AF2" s="420"/>
      <c r="AG2" s="420" t="e">
        <f aca="false">INDEX(PT_DIFFERENTIATION_NTAR,MATCH(A2,PT_DIFFERENTIATION_NTAR_ID,0))</f>
        <v>#N/A</v>
      </c>
      <c r="AH2" s="420"/>
      <c r="AI2" s="420"/>
      <c r="AJ2" s="420"/>
      <c r="AK2" s="420"/>
      <c r="AL2" s="420"/>
      <c r="AM2" s="420"/>
      <c r="AN2" s="420"/>
      <c r="AO2" s="420"/>
      <c r="AP2" s="420"/>
      <c r="AQ2" s="421" t="s">
        <v>409</v>
      </c>
      <c r="AS2" s="118"/>
      <c r="AT2" s="118" t="str">
        <f aca="false">IF(V2="","",V2)</f>
        <v>Наименование тарифа</v>
      </c>
      <c r="AU2" s="118"/>
      <c r="AV2" s="118"/>
      <c r="AW2" s="42" t="n">
        <v>0</v>
      </c>
    </row>
    <row r="3" customFormat="false" ht="21" hidden="true" customHeight="true" outlineLevel="0" collapsed="false">
      <c r="A3" s="241"/>
      <c r="B3" s="241"/>
      <c r="C3" s="241"/>
      <c r="D3" s="241"/>
      <c r="E3" s="489"/>
      <c r="F3" s="489" t="n">
        <v>1</v>
      </c>
      <c r="G3" s="241"/>
      <c r="H3" s="241"/>
      <c r="I3" s="241"/>
      <c r="J3" s="241"/>
      <c r="K3" s="241"/>
      <c r="L3" s="241"/>
      <c r="M3" s="490"/>
      <c r="N3" s="75"/>
      <c r="O3" s="75"/>
      <c r="P3" s="75"/>
      <c r="Q3" s="43"/>
      <c r="R3" s="422"/>
      <c r="S3" s="42"/>
      <c r="T3" s="423"/>
      <c r="U3" s="416" t="e">
        <f aca="false">INDEX(PT_DIFFERENTIATION_NUM_TER,MATCH(B3,PT_DIFFERENTIATION_TER_ID,0))</f>
        <v>#N/A</v>
      </c>
      <c r="V3" s="424" t="s">
        <v>410</v>
      </c>
      <c r="W3" s="418"/>
      <c r="X3" s="420"/>
      <c r="Y3" s="420"/>
      <c r="Z3" s="420"/>
      <c r="AA3" s="420"/>
      <c r="AB3" s="420"/>
      <c r="AC3" s="420"/>
      <c r="AD3" s="420"/>
      <c r="AE3" s="420"/>
      <c r="AF3" s="420"/>
      <c r="AG3" s="420" t="e">
        <f aca="false">INDEX(PT_DIFFERENTIATION_TER,MATCH(B3,PT_DIFFERENTIATION_TER_ID,0))</f>
        <v>#N/A</v>
      </c>
      <c r="AH3" s="420"/>
      <c r="AI3" s="420"/>
      <c r="AJ3" s="420"/>
      <c r="AK3" s="420"/>
      <c r="AL3" s="420"/>
      <c r="AM3" s="420"/>
      <c r="AN3" s="420"/>
      <c r="AO3" s="420"/>
      <c r="AP3" s="420"/>
      <c r="AQ3" s="421" t="s">
        <v>411</v>
      </c>
      <c r="AS3" s="118"/>
      <c r="AT3" s="118" t="str">
        <f aca="false">IF(V3="","",V3)</f>
        <v>Территория действия тарифа</v>
      </c>
      <c r="AU3" s="118"/>
      <c r="AV3" s="118"/>
      <c r="AW3" s="42" t="n">
        <v>0</v>
      </c>
    </row>
    <row r="4" customFormat="false" ht="22.5" hidden="true" customHeight="true" outlineLevel="0" collapsed="false">
      <c r="A4" s="241"/>
      <c r="B4" s="241"/>
      <c r="C4" s="241"/>
      <c r="D4" s="241"/>
      <c r="E4" s="489"/>
      <c r="F4" s="489"/>
      <c r="G4" s="489" t="n">
        <v>1</v>
      </c>
      <c r="H4" s="241"/>
      <c r="I4" s="241"/>
      <c r="J4" s="241"/>
      <c r="K4" s="241"/>
      <c r="L4" s="241"/>
      <c r="M4" s="490"/>
      <c r="N4" s="75"/>
      <c r="O4" s="75"/>
      <c r="P4" s="75"/>
      <c r="Q4" s="425"/>
      <c r="R4" s="422"/>
      <c r="S4" s="42"/>
      <c r="T4" s="423"/>
      <c r="U4" s="416" t="e">
        <f aca="false">INDEX(PT_DIFFERENTIATION_NUM_CS,MATCH(C4,PT_DIFFERENTIATION_CS_ID,0))</f>
        <v>#N/A</v>
      </c>
      <c r="V4" s="426" t="s">
        <v>412</v>
      </c>
      <c r="W4" s="418"/>
      <c r="X4" s="420"/>
      <c r="Y4" s="420"/>
      <c r="Z4" s="420"/>
      <c r="AA4" s="420"/>
      <c r="AB4" s="420"/>
      <c r="AC4" s="420"/>
      <c r="AD4" s="420"/>
      <c r="AE4" s="420"/>
      <c r="AF4" s="420"/>
      <c r="AG4" s="420" t="e">
        <f aca="false">INDEX(PT_DIFFERENTIATION_CS,MATCH(C4,PT_DIFFERENTIATION_CS_ID,0))</f>
        <v>#N/A</v>
      </c>
      <c r="AH4" s="420"/>
      <c r="AI4" s="420"/>
      <c r="AJ4" s="420"/>
      <c r="AK4" s="420"/>
      <c r="AL4" s="420"/>
      <c r="AM4" s="420"/>
      <c r="AN4" s="420"/>
      <c r="AO4" s="420"/>
      <c r="AP4" s="420"/>
      <c r="AQ4" s="421" t="s">
        <v>413</v>
      </c>
      <c r="AS4" s="118"/>
      <c r="AT4" s="118" t="str">
        <f aca="false">IF(V4="","",V4)</f>
        <v>Наименование системы теплоснабжения</v>
      </c>
      <c r="AU4" s="118"/>
      <c r="AV4" s="118"/>
      <c r="AW4" s="42" t="n">
        <v>0</v>
      </c>
    </row>
    <row r="5" customFormat="false" ht="21" hidden="true" customHeight="true" outlineLevel="0" collapsed="false">
      <c r="A5" s="241"/>
      <c r="B5" s="241"/>
      <c r="C5" s="241"/>
      <c r="D5" s="241"/>
      <c r="E5" s="489"/>
      <c r="F5" s="489"/>
      <c r="G5" s="489"/>
      <c r="H5" s="489" t="n">
        <v>1</v>
      </c>
      <c r="I5" s="241"/>
      <c r="J5" s="241"/>
      <c r="K5" s="241"/>
      <c r="L5" s="241"/>
      <c r="M5" s="490"/>
      <c r="N5" s="75"/>
      <c r="O5" s="75"/>
      <c r="P5" s="75"/>
      <c r="Q5" s="425"/>
      <c r="R5" s="422"/>
      <c r="S5" s="42"/>
      <c r="T5" s="423"/>
      <c r="U5" s="416" t="e">
        <f aca="false">INDEX(PT_DIFFERENTIATION_NUM_IST_TE,MATCH(D5,PT_DIFFERENTIATION_IST_TE_ID,0))</f>
        <v>#N/A</v>
      </c>
      <c r="V5" s="427" t="s">
        <v>414</v>
      </c>
      <c r="W5" s="418"/>
      <c r="X5" s="420"/>
      <c r="Y5" s="420"/>
      <c r="Z5" s="420"/>
      <c r="AA5" s="420"/>
      <c r="AB5" s="420"/>
      <c r="AC5" s="420"/>
      <c r="AD5" s="420"/>
      <c r="AE5" s="420"/>
      <c r="AF5" s="420"/>
      <c r="AG5" s="420" t="e">
        <f aca="false">INDEX(PT_DIFFERENTIATION_IST_TE,MATCH(D5,PT_DIFFERENTIATION_IST_TE_ID,0))</f>
        <v>#N/A</v>
      </c>
      <c r="AH5" s="420"/>
      <c r="AI5" s="420"/>
      <c r="AJ5" s="420"/>
      <c r="AK5" s="420"/>
      <c r="AL5" s="420"/>
      <c r="AM5" s="420"/>
      <c r="AN5" s="420"/>
      <c r="AO5" s="420"/>
      <c r="AP5" s="420"/>
      <c r="AQ5" s="421" t="s">
        <v>415</v>
      </c>
      <c r="AS5" s="118"/>
      <c r="AT5" s="118" t="str">
        <f aca="false">IF(V5="","",V5)</f>
        <v>Источник тепловой энергии</v>
      </c>
      <c r="AU5" s="118"/>
      <c r="AV5" s="118"/>
      <c r="AW5" s="42" t="n">
        <v>0</v>
      </c>
    </row>
    <row r="6" customFormat="false" ht="14.25" hidden="true" customHeight="true" outlineLevel="0" collapsed="false">
      <c r="A6" s="241"/>
      <c r="B6" s="241"/>
      <c r="C6" s="241"/>
      <c r="D6" s="241"/>
      <c r="E6" s="489"/>
      <c r="F6" s="489"/>
      <c r="G6" s="489"/>
      <c r="H6" s="489"/>
      <c r="I6" s="146" t="e">
        <f aca="false">U5&amp;".1"</f>
        <v>#N/A</v>
      </c>
      <c r="J6" s="241"/>
      <c r="K6" s="241"/>
      <c r="L6" s="241"/>
      <c r="M6" s="490" t="s">
        <v>416</v>
      </c>
      <c r="N6" s="42"/>
      <c r="Q6" s="121" t="n">
        <v>1</v>
      </c>
      <c r="R6" s="121"/>
      <c r="S6" s="121"/>
      <c r="T6" s="429"/>
      <c r="U6" s="301"/>
      <c r="V6" s="498"/>
      <c r="W6" s="499"/>
      <c r="X6" s="500"/>
      <c r="Y6" s="500"/>
      <c r="Z6" s="500"/>
      <c r="AA6" s="500"/>
      <c r="AB6" s="500"/>
      <c r="AC6" s="500"/>
      <c r="AD6" s="500"/>
      <c r="AE6" s="500"/>
      <c r="AF6" s="500"/>
      <c r="AG6" s="500"/>
      <c r="AH6" s="500"/>
      <c r="AI6" s="500"/>
      <c r="AJ6" s="500"/>
      <c r="AK6" s="500"/>
      <c r="AL6" s="500"/>
      <c r="AM6" s="500"/>
      <c r="AN6" s="500"/>
      <c r="AO6" s="500"/>
      <c r="AP6" s="500"/>
      <c r="AQ6" s="501"/>
      <c r="AS6" s="118"/>
      <c r="AT6" s="118" t="str">
        <f aca="false">IF(V6="","",V6)</f>
        <v/>
      </c>
      <c r="AU6" s="118"/>
      <c r="AV6" s="118"/>
      <c r="AW6" s="42" t="n">
        <v>0</v>
      </c>
    </row>
    <row r="7" customFormat="false" ht="21" hidden="true" customHeight="true" outlineLevel="0" collapsed="false">
      <c r="A7" s="241"/>
      <c r="B7" s="241"/>
      <c r="C7" s="241"/>
      <c r="D7" s="241"/>
      <c r="E7" s="489"/>
      <c r="F7" s="489"/>
      <c r="G7" s="489"/>
      <c r="H7" s="489"/>
      <c r="I7" s="146"/>
      <c r="J7" s="146" t="e">
        <f aca="false">I6&amp;".1"</f>
        <v>#N/A</v>
      </c>
      <c r="K7" s="241"/>
      <c r="L7" s="241"/>
      <c r="M7" s="490" t="s">
        <v>419</v>
      </c>
      <c r="N7" s="42"/>
      <c r="O7" s="42"/>
      <c r="Q7" s="121"/>
      <c r="R7" s="121" t="n">
        <v>1</v>
      </c>
      <c r="S7" s="47"/>
      <c r="T7" s="432"/>
      <c r="U7" s="416" t="e">
        <f aca="false">$J7</f>
        <v>#N/A</v>
      </c>
      <c r="V7" s="433" t="s">
        <v>420</v>
      </c>
      <c r="W7" s="418"/>
      <c r="X7" s="431"/>
      <c r="Y7" s="431"/>
      <c r="Z7" s="431"/>
      <c r="AA7" s="431"/>
      <c r="AB7" s="431"/>
      <c r="AC7" s="431"/>
      <c r="AD7" s="431"/>
      <c r="AE7" s="431"/>
      <c r="AF7" s="431"/>
      <c r="AG7" s="431"/>
      <c r="AH7" s="431"/>
      <c r="AI7" s="431"/>
      <c r="AJ7" s="431"/>
      <c r="AK7" s="431"/>
      <c r="AL7" s="431"/>
      <c r="AM7" s="431"/>
      <c r="AN7" s="431"/>
      <c r="AO7" s="431"/>
      <c r="AP7" s="431"/>
      <c r="AQ7" s="421" t="s">
        <v>421</v>
      </c>
      <c r="AS7" s="118"/>
      <c r="AT7" s="118" t="str">
        <f aca="false">IF(V7="","",V7)</f>
        <v>Группа потребителей</v>
      </c>
      <c r="AU7" s="118"/>
      <c r="AV7" s="118"/>
      <c r="AW7" s="42" t="n">
        <v>0</v>
      </c>
    </row>
    <row r="8" customFormat="false" ht="21" hidden="true" customHeight="true" outlineLevel="0" collapsed="false">
      <c r="A8" s="241"/>
      <c r="B8" s="241"/>
      <c r="C8" s="241"/>
      <c r="D8" s="241"/>
      <c r="E8" s="489"/>
      <c r="F8" s="489"/>
      <c r="G8" s="489"/>
      <c r="H8" s="489"/>
      <c r="I8" s="146"/>
      <c r="J8" s="146"/>
      <c r="K8" s="134" t="e">
        <f aca="false">J7&amp;".1"</f>
        <v>#N/A</v>
      </c>
      <c r="L8" s="43"/>
      <c r="M8" s="490" t="s">
        <v>422</v>
      </c>
      <c r="N8" s="42"/>
      <c r="O8" s="42"/>
      <c r="P8" s="42"/>
      <c r="Q8" s="121"/>
      <c r="R8" s="121"/>
      <c r="S8" s="121" t="n">
        <v>1</v>
      </c>
      <c r="T8" s="432"/>
      <c r="U8" s="416" t="e">
        <f aca="false">$K8</f>
        <v>#N/A</v>
      </c>
      <c r="V8" s="434"/>
      <c r="W8" s="418"/>
      <c r="X8" s="435"/>
      <c r="Y8" s="435"/>
      <c r="Z8" s="435"/>
      <c r="AA8" s="435"/>
      <c r="AB8" s="521"/>
      <c r="AC8" s="438"/>
      <c r="AD8" s="204" t="s">
        <v>61</v>
      </c>
      <c r="AE8" s="438"/>
      <c r="AF8" s="204" t="s">
        <v>61</v>
      </c>
      <c r="AG8" s="522"/>
      <c r="AH8" s="435"/>
      <c r="AI8" s="435"/>
      <c r="AJ8" s="435"/>
      <c r="AK8" s="437"/>
      <c r="AL8" s="438"/>
      <c r="AM8" s="204" t="s">
        <v>61</v>
      </c>
      <c r="AN8" s="438"/>
      <c r="AO8" s="204" t="s">
        <v>61</v>
      </c>
      <c r="AP8" s="436"/>
      <c r="AQ8" s="523" t="s">
        <v>465</v>
      </c>
      <c r="AR8" s="47" t="e">
        <f aca="false">strcheckdate(X10:AP10)</f>
        <v>#NAME?</v>
      </c>
      <c r="AS8" s="118"/>
      <c r="AT8" s="118" t="str">
        <f aca="false">IF(V8="","",V8)</f>
        <v/>
      </c>
      <c r="AU8" s="118"/>
      <c r="AV8" s="118"/>
      <c r="AW8" s="42" t="n">
        <v>0</v>
      </c>
    </row>
    <row r="9" customFormat="false" ht="21" hidden="true" customHeight="true" outlineLevel="0" collapsed="false">
      <c r="A9" s="241"/>
      <c r="B9" s="241"/>
      <c r="C9" s="241"/>
      <c r="D9" s="241"/>
      <c r="E9" s="489"/>
      <c r="F9" s="489"/>
      <c r="G9" s="489"/>
      <c r="H9" s="489"/>
      <c r="I9" s="146"/>
      <c r="J9" s="146"/>
      <c r="K9" s="146"/>
      <c r="L9" s="134" t="e">
        <f aca="false">K8&amp;".1"</f>
        <v>#N/A</v>
      </c>
      <c r="M9" s="490"/>
      <c r="N9" s="42"/>
      <c r="O9" s="42"/>
      <c r="P9" s="42"/>
      <c r="Q9" s="121"/>
      <c r="R9" s="121"/>
      <c r="S9" s="121"/>
      <c r="T9" s="432"/>
      <c r="U9" s="416" t="e">
        <f aca="false">$L9</f>
        <v>#N/A</v>
      </c>
      <c r="V9" s="524"/>
      <c r="W9" s="418"/>
      <c r="X9" s="436"/>
      <c r="Y9" s="435"/>
      <c r="Z9" s="435"/>
      <c r="AA9" s="435"/>
      <c r="AB9" s="521"/>
      <c r="AC9" s="438"/>
      <c r="AD9" s="204"/>
      <c r="AE9" s="438"/>
      <c r="AF9" s="204"/>
      <c r="AG9" s="522"/>
      <c r="AH9" s="435"/>
      <c r="AI9" s="435"/>
      <c r="AJ9" s="435"/>
      <c r="AK9" s="437"/>
      <c r="AL9" s="438"/>
      <c r="AM9" s="204"/>
      <c r="AN9" s="438"/>
      <c r="AO9" s="204"/>
      <c r="AP9" s="436"/>
      <c r="AQ9" s="439" t="s">
        <v>466</v>
      </c>
      <c r="AS9" s="118"/>
      <c r="AT9" s="118"/>
      <c r="AU9" s="118"/>
      <c r="AV9" s="118"/>
      <c r="AW9" s="42" t="n">
        <v>0</v>
      </c>
    </row>
    <row r="10" customFormat="false" ht="14.25" hidden="true" customHeight="true" outlineLevel="0" collapsed="false">
      <c r="A10" s="241"/>
      <c r="B10" s="241"/>
      <c r="C10" s="241"/>
      <c r="D10" s="241"/>
      <c r="E10" s="489"/>
      <c r="F10" s="489"/>
      <c r="G10" s="489"/>
      <c r="H10" s="489"/>
      <c r="I10" s="146"/>
      <c r="J10" s="146"/>
      <c r="K10" s="146"/>
      <c r="L10" s="134"/>
      <c r="M10" s="490"/>
      <c r="N10" s="42"/>
      <c r="O10" s="42"/>
      <c r="P10" s="42"/>
      <c r="Q10" s="121"/>
      <c r="R10" s="121"/>
      <c r="S10" s="121"/>
      <c r="T10" s="432"/>
      <c r="U10" s="393"/>
      <c r="V10" s="418"/>
      <c r="W10" s="418"/>
      <c r="X10" s="436"/>
      <c r="Y10" s="436"/>
      <c r="Z10" s="436"/>
      <c r="AA10" s="436"/>
      <c r="AB10" s="525" t="str">
        <f aca="false">AC8&amp;"-"&amp;AE8</f>
        <v>-</v>
      </c>
      <c r="AC10" s="438"/>
      <c r="AD10" s="204"/>
      <c r="AE10" s="438"/>
      <c r="AF10" s="204"/>
      <c r="AG10" s="526"/>
      <c r="AH10" s="436"/>
      <c r="AI10" s="436"/>
      <c r="AJ10" s="436"/>
      <c r="AK10" s="440" t="str">
        <f aca="false">AL8&amp;"-"&amp;AN8</f>
        <v>-</v>
      </c>
      <c r="AL10" s="438"/>
      <c r="AM10" s="204"/>
      <c r="AN10" s="438"/>
      <c r="AO10" s="204"/>
      <c r="AP10" s="436"/>
      <c r="AQ10" s="439"/>
      <c r="AS10" s="118"/>
      <c r="AT10" s="118" t="str">
        <f aca="false">IF(V10="","",V10)</f>
        <v/>
      </c>
      <c r="AU10" s="118"/>
      <c r="AV10" s="118"/>
      <c r="AW10" s="42" t="n">
        <v>0</v>
      </c>
    </row>
    <row r="11" customFormat="false" ht="11.25" hidden="true" customHeight="true" outlineLevel="0" collapsed="false">
      <c r="A11" s="241"/>
      <c r="B11" s="241"/>
      <c r="C11" s="241"/>
      <c r="D11" s="241"/>
      <c r="E11" s="489"/>
      <c r="F11" s="489"/>
      <c r="G11" s="489"/>
      <c r="H11" s="489"/>
      <c r="I11" s="146"/>
      <c r="J11" s="146"/>
      <c r="K11" s="134"/>
      <c r="L11" s="241"/>
      <c r="M11" s="490"/>
      <c r="N11" s="42"/>
      <c r="O11" s="42"/>
      <c r="P11" s="42"/>
      <c r="Q11" s="121"/>
      <c r="R11" s="121"/>
      <c r="S11" s="121"/>
      <c r="T11" s="432"/>
      <c r="U11" s="441"/>
      <c r="V11" s="442" t="s">
        <v>467</v>
      </c>
      <c r="W11" s="527"/>
      <c r="X11" s="528"/>
      <c r="Y11" s="528"/>
      <c r="Z11" s="528"/>
      <c r="AA11" s="528"/>
      <c r="AB11" s="529"/>
      <c r="AC11" s="438"/>
      <c r="AD11" s="204"/>
      <c r="AE11" s="438"/>
      <c r="AF11" s="204"/>
      <c r="AG11" s="528"/>
      <c r="AH11" s="528"/>
      <c r="AI11" s="528"/>
      <c r="AJ11" s="528"/>
      <c r="AK11" s="529"/>
      <c r="AL11" s="438"/>
      <c r="AM11" s="204"/>
      <c r="AN11" s="438"/>
      <c r="AO11" s="204"/>
      <c r="AP11" s="530"/>
      <c r="AQ11" s="439"/>
      <c r="AS11" s="118"/>
      <c r="AT11" s="118"/>
      <c r="AU11" s="118"/>
      <c r="AV11" s="118"/>
      <c r="AW11" s="42" t="n">
        <v>0</v>
      </c>
    </row>
    <row r="12" customFormat="false" ht="15" hidden="true" customHeight="true" outlineLevel="0" collapsed="false">
      <c r="A12" s="241"/>
      <c r="B12" s="241"/>
      <c r="C12" s="241"/>
      <c r="D12" s="241"/>
      <c r="E12" s="489"/>
      <c r="F12" s="489"/>
      <c r="G12" s="489"/>
      <c r="H12" s="489"/>
      <c r="I12" s="146"/>
      <c r="J12" s="146"/>
      <c r="K12" s="241"/>
      <c r="L12" s="241"/>
      <c r="M12" s="490"/>
      <c r="N12" s="42"/>
      <c r="O12" s="42"/>
      <c r="Q12" s="121"/>
      <c r="R12" s="121"/>
      <c r="S12" s="121"/>
      <c r="T12" s="429"/>
      <c r="U12" s="441"/>
      <c r="V12" s="444" t="s">
        <v>424</v>
      </c>
      <c r="W12" s="194"/>
      <c r="X12" s="194"/>
      <c r="Y12" s="194"/>
      <c r="Z12" s="194"/>
      <c r="AA12" s="194"/>
      <c r="AB12" s="194"/>
      <c r="AC12" s="531"/>
      <c r="AD12" s="531"/>
      <c r="AE12" s="531"/>
      <c r="AF12" s="531"/>
      <c r="AG12" s="194"/>
      <c r="AH12" s="194"/>
      <c r="AI12" s="194"/>
      <c r="AJ12" s="194"/>
      <c r="AK12" s="194"/>
      <c r="AL12" s="194"/>
      <c r="AM12" s="194"/>
      <c r="AN12" s="194"/>
      <c r="AO12" s="194"/>
      <c r="AP12" s="443"/>
      <c r="AQ12" s="439"/>
      <c r="AS12" s="118"/>
      <c r="AT12" s="118" t="str">
        <f aca="false">IF(V12="","",V12)</f>
        <v>Добавить вид теплоносителя (параметры теплоносителя)</v>
      </c>
      <c r="AU12" s="118"/>
      <c r="AV12" s="118"/>
      <c r="AW12" s="42" t="n">
        <v>0</v>
      </c>
    </row>
    <row r="13" customFormat="false" ht="11.25" hidden="true" customHeight="true" outlineLevel="0" collapsed="false">
      <c r="A13" s="241"/>
      <c r="B13" s="241"/>
      <c r="C13" s="241"/>
      <c r="D13" s="241"/>
      <c r="E13" s="489"/>
      <c r="F13" s="489"/>
      <c r="G13" s="489"/>
      <c r="H13" s="489"/>
      <c r="I13" s="146"/>
      <c r="J13" s="241"/>
      <c r="K13" s="241"/>
      <c r="L13" s="241"/>
      <c r="M13" s="490"/>
      <c r="N13" s="42"/>
      <c r="Q13" s="121"/>
      <c r="R13" s="121"/>
      <c r="S13" s="121"/>
      <c r="T13" s="429"/>
      <c r="U13" s="441"/>
      <c r="V13" s="448" t="s">
        <v>425</v>
      </c>
      <c r="W13" s="194"/>
      <c r="X13" s="194"/>
      <c r="Y13" s="194"/>
      <c r="Z13" s="194"/>
      <c r="AA13" s="194"/>
      <c r="AB13" s="194"/>
      <c r="AC13" s="194"/>
      <c r="AD13" s="194"/>
      <c r="AE13" s="194"/>
      <c r="AF13" s="445"/>
      <c r="AG13" s="194"/>
      <c r="AH13" s="194"/>
      <c r="AI13" s="194"/>
      <c r="AJ13" s="194"/>
      <c r="AK13" s="194"/>
      <c r="AL13" s="194"/>
      <c r="AM13" s="194"/>
      <c r="AN13" s="194"/>
      <c r="AO13" s="445"/>
      <c r="AP13" s="194"/>
      <c r="AQ13" s="446"/>
      <c r="AS13" s="118"/>
      <c r="AT13" s="118" t="str">
        <f aca="false">IF(V13="","",V13)</f>
        <v>Добавить группу потребителей</v>
      </c>
      <c r="AU13" s="118"/>
      <c r="AV13" s="118"/>
      <c r="AW13" s="42" t="n">
        <v>0</v>
      </c>
    </row>
    <row r="14" customFormat="false" ht="14.25" hidden="true" customHeight="true" outlineLevel="0" collapsed="false">
      <c r="A14" s="241"/>
      <c r="B14" s="241"/>
      <c r="C14" s="241"/>
      <c r="D14" s="241"/>
      <c r="E14" s="489"/>
      <c r="F14" s="489"/>
      <c r="G14" s="489"/>
      <c r="H14" s="489"/>
      <c r="I14" s="241"/>
      <c r="J14" s="241"/>
      <c r="K14" s="241"/>
      <c r="L14" s="241"/>
      <c r="M14" s="490"/>
      <c r="N14" s="75"/>
      <c r="O14" s="75"/>
      <c r="P14" s="42"/>
      <c r="Q14" s="132"/>
      <c r="R14" s="447"/>
      <c r="S14" s="415"/>
      <c r="T14" s="132"/>
      <c r="U14" s="502"/>
      <c r="V14" s="503"/>
      <c r="W14" s="504"/>
      <c r="X14" s="504"/>
      <c r="Y14" s="504"/>
      <c r="Z14" s="504"/>
      <c r="AA14" s="504"/>
      <c r="AB14" s="504"/>
      <c r="AC14" s="504"/>
      <c r="AD14" s="504"/>
      <c r="AE14" s="504"/>
      <c r="AF14" s="504"/>
      <c r="AG14" s="504"/>
      <c r="AH14" s="504"/>
      <c r="AI14" s="504"/>
      <c r="AJ14" s="504"/>
      <c r="AK14" s="504"/>
      <c r="AL14" s="504"/>
      <c r="AM14" s="504"/>
      <c r="AN14" s="504"/>
      <c r="AO14" s="504"/>
      <c r="AP14" s="504"/>
      <c r="AQ14" s="505"/>
      <c r="AS14" s="118"/>
      <c r="AT14" s="118" t="str">
        <f aca="false">IF(V14="","",V14)</f>
        <v/>
      </c>
      <c r="AU14" s="118"/>
      <c r="AV14" s="118"/>
      <c r="AW14" s="42" t="n">
        <v>0</v>
      </c>
    </row>
    <row r="15" s="47" customFormat="true" ht="14.25" hidden="true" customHeight="true" outlineLevel="0" collapsed="false">
      <c r="A15" s="491"/>
      <c r="B15" s="491"/>
      <c r="C15" s="491"/>
      <c r="D15" s="491"/>
      <c r="E15" s="489"/>
      <c r="F15" s="489"/>
      <c r="G15" s="489"/>
      <c r="H15" s="491"/>
      <c r="I15" s="491"/>
      <c r="J15" s="491"/>
      <c r="K15" s="491"/>
      <c r="L15" s="491"/>
      <c r="M15" s="492"/>
      <c r="N15" s="493"/>
      <c r="O15" s="493"/>
      <c r="P15" s="120"/>
      <c r="Q15" s="156"/>
      <c r="R15" s="449"/>
      <c r="S15" s="156"/>
      <c r="T15" s="156"/>
      <c r="U15" s="450"/>
      <c r="V15" s="451" t="s">
        <v>427</v>
      </c>
      <c r="W15" s="452"/>
      <c r="X15" s="452"/>
      <c r="Y15" s="452"/>
      <c r="Z15" s="452"/>
      <c r="AA15" s="452"/>
      <c r="AB15" s="452"/>
      <c r="AC15" s="452"/>
      <c r="AD15" s="452"/>
      <c r="AE15" s="452"/>
      <c r="AF15" s="452"/>
      <c r="AG15" s="452"/>
      <c r="AH15" s="452"/>
      <c r="AI15" s="452"/>
      <c r="AJ15" s="452"/>
      <c r="AK15" s="452"/>
      <c r="AL15" s="452"/>
      <c r="AM15" s="452"/>
      <c r="AN15" s="452"/>
      <c r="AO15" s="452"/>
      <c r="AP15" s="452"/>
      <c r="AQ15" s="452"/>
      <c r="AS15" s="118"/>
      <c r="AT15" s="118" t="str">
        <f aca="false">IF(V15="","",V15)</f>
        <v>Добавить источник для дифференциации</v>
      </c>
      <c r="AU15" s="118"/>
      <c r="AV15" s="118"/>
      <c r="AW15" s="47" t="n">
        <v>0</v>
      </c>
    </row>
    <row r="16" s="47" customFormat="true" ht="14.25" hidden="true" customHeight="true" outlineLevel="0" collapsed="false">
      <c r="A16" s="491"/>
      <c r="B16" s="491"/>
      <c r="C16" s="491"/>
      <c r="D16" s="491"/>
      <c r="E16" s="489"/>
      <c r="F16" s="489"/>
      <c r="G16" s="491"/>
      <c r="H16" s="491"/>
      <c r="I16" s="491"/>
      <c r="J16" s="491"/>
      <c r="K16" s="491"/>
      <c r="L16" s="491"/>
      <c r="M16" s="492"/>
      <c r="N16" s="494"/>
      <c r="O16" s="494"/>
      <c r="P16" s="120"/>
      <c r="Q16" s="156"/>
      <c r="R16" s="449"/>
      <c r="S16" s="156"/>
      <c r="T16" s="156"/>
      <c r="U16" s="454"/>
      <c r="V16" s="455" t="s">
        <v>428</v>
      </c>
      <c r="W16" s="456"/>
      <c r="X16" s="456"/>
      <c r="Y16" s="456"/>
      <c r="Z16" s="456"/>
      <c r="AA16" s="456"/>
      <c r="AB16" s="456"/>
      <c r="AC16" s="456"/>
      <c r="AD16" s="456"/>
      <c r="AE16" s="456"/>
      <c r="AF16" s="456"/>
      <c r="AG16" s="456"/>
      <c r="AH16" s="456"/>
      <c r="AI16" s="456"/>
      <c r="AJ16" s="456"/>
      <c r="AK16" s="456"/>
      <c r="AL16" s="456"/>
      <c r="AM16" s="456"/>
      <c r="AN16" s="456"/>
      <c r="AO16" s="456"/>
      <c r="AP16" s="456"/>
      <c r="AQ16" s="456"/>
      <c r="AS16" s="118"/>
      <c r="AT16" s="118" t="str">
        <f aca="false">IF(V16="","",V16)</f>
        <v>Добавить централизованную систему для дифференциации</v>
      </c>
      <c r="AU16" s="118"/>
      <c r="AV16" s="118"/>
      <c r="AW16" s="47" t="n">
        <v>0</v>
      </c>
    </row>
    <row r="17" s="47" customFormat="true" ht="14.25" hidden="true" customHeight="true" outlineLevel="0" collapsed="false">
      <c r="A17" s="491"/>
      <c r="B17" s="491"/>
      <c r="C17" s="491"/>
      <c r="D17" s="491"/>
      <c r="E17" s="489"/>
      <c r="F17" s="491"/>
      <c r="G17" s="491"/>
      <c r="H17" s="491"/>
      <c r="I17" s="491"/>
      <c r="J17" s="491"/>
      <c r="K17" s="491"/>
      <c r="L17" s="491"/>
      <c r="M17" s="492"/>
      <c r="N17" s="494"/>
      <c r="O17" s="494"/>
      <c r="P17" s="120"/>
      <c r="Q17" s="156"/>
      <c r="R17" s="449"/>
      <c r="S17" s="156"/>
      <c r="T17" s="156"/>
      <c r="U17" s="454"/>
      <c r="V17" s="457" t="s">
        <v>429</v>
      </c>
      <c r="W17" s="456"/>
      <c r="X17" s="456"/>
      <c r="Y17" s="456"/>
      <c r="Z17" s="456"/>
      <c r="AA17" s="456"/>
      <c r="AB17" s="456"/>
      <c r="AC17" s="456"/>
      <c r="AD17" s="456"/>
      <c r="AE17" s="456"/>
      <c r="AF17" s="456"/>
      <c r="AG17" s="456"/>
      <c r="AH17" s="456"/>
      <c r="AI17" s="456"/>
      <c r="AJ17" s="456"/>
      <c r="AK17" s="456"/>
      <c r="AL17" s="456"/>
      <c r="AM17" s="456"/>
      <c r="AN17" s="456"/>
      <c r="AO17" s="456"/>
      <c r="AP17" s="456"/>
      <c r="AQ17" s="456"/>
      <c r="AS17" s="118"/>
      <c r="AT17" s="118" t="str">
        <f aca="false">IF(V17="","",V17)</f>
        <v>Добавить территорию для дифференциации</v>
      </c>
      <c r="AU17" s="118"/>
      <c r="AV17" s="118"/>
      <c r="AW17" s="47" t="n">
        <v>0</v>
      </c>
    </row>
    <row r="18" customFormat="false" ht="14.25" hidden="true" customHeight="true" outlineLevel="0" collapsed="false">
      <c r="AW18" s="42" t="n">
        <v>0</v>
      </c>
    </row>
    <row r="19" customFormat="false" ht="14.25" hidden="true" customHeight="true" outlineLevel="0" collapsed="false">
      <c r="AG19" s="458"/>
      <c r="AH19" s="458"/>
      <c r="AI19" s="458"/>
      <c r="AJ19" s="458"/>
      <c r="AK19" s="459"/>
      <c r="AL19" s="460"/>
      <c r="AM19" s="461" t="s">
        <v>61</v>
      </c>
      <c r="AN19" s="460"/>
      <c r="AO19" s="461" t="s">
        <v>61</v>
      </c>
      <c r="AW19" s="42" t="n">
        <v>0</v>
      </c>
    </row>
    <row r="20" customFormat="false" ht="14.25" hidden="true" customHeight="true" outlineLevel="0" collapsed="false">
      <c r="AG20" s="458"/>
      <c r="AH20" s="458"/>
      <c r="AI20" s="458"/>
      <c r="AJ20" s="458"/>
      <c r="AK20" s="459"/>
      <c r="AL20" s="460"/>
      <c r="AM20" s="461"/>
      <c r="AN20" s="460"/>
      <c r="AO20" s="461"/>
      <c r="AW20" s="42" t="n">
        <v>0</v>
      </c>
    </row>
    <row r="21" customFormat="false" ht="14.25" hidden="true" customHeight="true" outlineLevel="0" collapsed="false">
      <c r="AG21" s="458"/>
      <c r="AH21" s="458"/>
      <c r="AI21" s="458"/>
      <c r="AJ21" s="458"/>
      <c r="AK21" s="459"/>
      <c r="AL21" s="460"/>
      <c r="AM21" s="461"/>
      <c r="AN21" s="460"/>
      <c r="AO21" s="461"/>
      <c r="AW21" s="42" t="n">
        <v>0</v>
      </c>
    </row>
    <row r="22" customFormat="false" ht="14.25" hidden="true" customHeight="true" outlineLevel="0" collapsed="false">
      <c r="AG22" s="458"/>
      <c r="AH22" s="458"/>
      <c r="AI22" s="458"/>
      <c r="AJ22" s="458"/>
      <c r="AK22" s="440" t="str">
        <f aca="false">AL19&amp;"-"&amp;AN19</f>
        <v>-</v>
      </c>
      <c r="AL22" s="460"/>
      <c r="AM22" s="460"/>
      <c r="AN22" s="460"/>
      <c r="AO22" s="460"/>
      <c r="AW22" s="42" t="n">
        <v>0</v>
      </c>
    </row>
    <row r="23" customFormat="false" ht="14.25" hidden="true" customHeight="true" outlineLevel="0" collapsed="false">
      <c r="AW23" s="42" t="n">
        <v>0</v>
      </c>
    </row>
    <row r="24" s="45" customFormat="true" ht="22.5" hidden="true" customHeight="true" outlineLevel="0" collapsed="false">
      <c r="A24" s="42"/>
      <c r="B24" s="42"/>
      <c r="C24" s="42"/>
      <c r="D24" s="42"/>
      <c r="E24" s="42"/>
      <c r="F24" s="42"/>
      <c r="G24" s="42"/>
      <c r="H24" s="42"/>
      <c r="I24" s="42"/>
      <c r="J24" s="42"/>
      <c r="K24" s="42"/>
      <c r="L24" s="42"/>
      <c r="M24" s="43"/>
      <c r="N24" s="50"/>
      <c r="O24" s="50"/>
      <c r="P24" s="495" t="s">
        <v>430</v>
      </c>
      <c r="Q24" s="51"/>
      <c r="R24" s="463"/>
      <c r="S24" s="463"/>
      <c r="T24" s="463"/>
      <c r="U24" s="40"/>
      <c r="AC24" s="462"/>
      <c r="AE24" s="462"/>
      <c r="AL24" s="462"/>
      <c r="AN24" s="462"/>
      <c r="AR24" s="47"/>
      <c r="AS24" s="47"/>
      <c r="AT24" s="47"/>
      <c r="AU24" s="47"/>
      <c r="AV24" s="47"/>
      <c r="AW24" s="45" t="n">
        <v>0</v>
      </c>
    </row>
    <row r="25" s="45" customFormat="true" ht="14.25" hidden="true" customHeight="true" outlineLevel="0" collapsed="false">
      <c r="A25" s="42"/>
      <c r="B25" s="42"/>
      <c r="C25" s="42"/>
      <c r="D25" s="42"/>
      <c r="E25" s="42"/>
      <c r="F25" s="42"/>
      <c r="G25" s="42"/>
      <c r="H25" s="42"/>
      <c r="I25" s="42"/>
      <c r="J25" s="42"/>
      <c r="K25" s="42"/>
      <c r="L25" s="42"/>
      <c r="M25" s="43"/>
      <c r="N25" s="50"/>
      <c r="O25" s="50"/>
      <c r="P25" s="50"/>
      <c r="Q25" s="51"/>
      <c r="R25" s="463"/>
      <c r="S25" s="463"/>
      <c r="T25" s="463"/>
      <c r="U25" s="40"/>
      <c r="AR25" s="47"/>
      <c r="AS25" s="47"/>
      <c r="AT25" s="47"/>
      <c r="AU25" s="47"/>
      <c r="AV25" s="47"/>
      <c r="AW25" s="45" t="n">
        <v>0</v>
      </c>
    </row>
    <row r="26" s="45" customFormat="true" ht="14.25" hidden="true" customHeight="true" outlineLevel="0" collapsed="false">
      <c r="A26" s="42"/>
      <c r="B26" s="42"/>
      <c r="C26" s="42"/>
      <c r="D26" s="42"/>
      <c r="E26" s="42"/>
      <c r="F26" s="42"/>
      <c r="G26" s="42"/>
      <c r="H26" s="42"/>
      <c r="I26" s="42"/>
      <c r="J26" s="42"/>
      <c r="K26" s="42"/>
      <c r="L26" s="42"/>
      <c r="M26" s="43"/>
      <c r="N26" s="50"/>
      <c r="O26" s="50"/>
      <c r="P26" s="490" t="s">
        <v>431</v>
      </c>
      <c r="Q26" s="51"/>
      <c r="R26" s="463"/>
      <c r="S26" s="463"/>
      <c r="T26" s="463"/>
      <c r="U26" s="40"/>
      <c r="V26" s="45" t="s">
        <v>432</v>
      </c>
      <c r="AD26" s="140" t="s">
        <v>433</v>
      </c>
      <c r="AF26" s="140" t="s">
        <v>434</v>
      </c>
      <c r="AG26" s="45" t="s">
        <v>432</v>
      </c>
      <c r="AM26" s="140" t="s">
        <v>435</v>
      </c>
      <c r="AO26" s="140" t="s">
        <v>434</v>
      </c>
      <c r="AR26" s="47"/>
      <c r="AS26" s="47"/>
      <c r="AT26" s="47"/>
      <c r="AU26" s="47"/>
      <c r="AV26" s="47"/>
      <c r="AW26" s="45" t="n">
        <v>0</v>
      </c>
    </row>
    <row r="27" customFormat="false" ht="14.25" hidden="true" customHeight="true" outlineLevel="0" collapsed="false">
      <c r="P27" s="490"/>
      <c r="AW27" s="42" t="n">
        <v>0</v>
      </c>
    </row>
    <row r="28" customFormat="false" ht="14.25" hidden="true" customHeight="true" outlineLevel="0" collapsed="false">
      <c r="P28" s="490"/>
      <c r="AW28" s="42" t="n">
        <v>0</v>
      </c>
    </row>
    <row r="29" customFormat="false" ht="14.25" hidden="false" customHeight="true" outlineLevel="0" collapsed="false">
      <c r="R29" s="464"/>
      <c r="S29" s="464"/>
      <c r="T29" s="464"/>
      <c r="U29" s="465"/>
      <c r="V29" s="80"/>
      <c r="W29" s="80"/>
      <c r="AW29" s="42" t="n">
        <v>14</v>
      </c>
    </row>
    <row r="30" customFormat="false" ht="56.25" hidden="false" customHeight="true" outlineLevel="0" collapsed="false">
      <c r="R30" s="464"/>
      <c r="S30" s="464"/>
      <c r="T30" s="464"/>
      <c r="U30" s="220" t="str">
        <f aca="false">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0"/>
      <c r="W30" s="220"/>
      <c r="X30" s="220"/>
      <c r="Y30" s="220"/>
      <c r="Z30" s="220"/>
      <c r="AA30" s="220"/>
      <c r="AB30" s="220"/>
      <c r="AC30" s="220"/>
      <c r="AD30" s="220"/>
      <c r="AE30" s="220"/>
      <c r="AF30" s="220"/>
      <c r="AG30" s="220"/>
      <c r="AH30" s="220"/>
      <c r="AI30" s="220"/>
      <c r="AJ30" s="220"/>
      <c r="AK30" s="220"/>
      <c r="AL30" s="220"/>
      <c r="AM30" s="220"/>
      <c r="AN30" s="220"/>
      <c r="AO30" s="222"/>
      <c r="AW30" s="42" t="n">
        <v>54</v>
      </c>
    </row>
    <row r="31" customFormat="false" ht="14.25" hidden="false" customHeight="true" outlineLevel="0" collapsed="false">
      <c r="R31" s="464"/>
      <c r="S31" s="464"/>
      <c r="T31" s="464"/>
      <c r="U31" s="261" t="str">
        <f aca="false">IF(org=0,"Не определено",org)</f>
        <v>ООО "Газпром теплоэнерго Ярославль"</v>
      </c>
      <c r="V31" s="261"/>
      <c r="W31" s="261"/>
      <c r="X31" s="261"/>
      <c r="Y31" s="261"/>
      <c r="Z31" s="261"/>
      <c r="AA31" s="261"/>
      <c r="AB31" s="261"/>
      <c r="AC31" s="261"/>
      <c r="AD31" s="261"/>
      <c r="AE31" s="261"/>
      <c r="AF31" s="261"/>
      <c r="AG31" s="261"/>
      <c r="AH31" s="261"/>
      <c r="AI31" s="261"/>
      <c r="AJ31" s="261"/>
      <c r="AK31" s="261"/>
      <c r="AL31" s="261"/>
      <c r="AM31" s="261"/>
      <c r="AN31" s="261"/>
      <c r="AO31" s="222"/>
      <c r="AW31" s="42" t="n">
        <v>14</v>
      </c>
    </row>
    <row r="32" customFormat="false" ht="14.25" hidden="true" customHeight="true" outlineLevel="0" collapsed="false">
      <c r="R32" s="464"/>
      <c r="S32" s="464"/>
      <c r="T32" s="464"/>
      <c r="U32" s="465"/>
      <c r="V32" s="80"/>
      <c r="W32" s="80"/>
      <c r="X32" s="466"/>
      <c r="Y32" s="466"/>
      <c r="Z32" s="466"/>
      <c r="AA32" s="466"/>
      <c r="AB32" s="466"/>
      <c r="AC32" s="466"/>
      <c r="AD32" s="466"/>
      <c r="AE32" s="466"/>
      <c r="AF32" s="466"/>
      <c r="AG32" s="466"/>
      <c r="AH32" s="466"/>
      <c r="AI32" s="466"/>
      <c r="AJ32" s="466"/>
      <c r="AK32" s="466"/>
      <c r="AL32" s="466"/>
      <c r="AM32" s="466"/>
      <c r="AN32" s="466"/>
      <c r="AO32" s="466"/>
      <c r="AW32" s="42" t="n">
        <v>0</v>
      </c>
    </row>
    <row r="33" s="175" customFormat="true" ht="25.5" hidden="true" customHeight="true" outlineLevel="0" collapsed="false">
      <c r="A33" s="96"/>
      <c r="B33" s="96"/>
      <c r="C33" s="96"/>
      <c r="D33" s="96"/>
      <c r="E33" s="96"/>
      <c r="F33" s="96"/>
      <c r="G33" s="96"/>
      <c r="H33" s="96"/>
      <c r="I33" s="96"/>
      <c r="J33" s="96"/>
      <c r="K33" s="96"/>
      <c r="L33" s="96"/>
      <c r="M33" s="490"/>
      <c r="N33" s="96"/>
      <c r="O33" s="96"/>
      <c r="P33" s="96"/>
      <c r="U33" s="467" t="s">
        <v>40</v>
      </c>
      <c r="V33" s="467"/>
      <c r="W33" s="468"/>
      <c r="X33" s="469" t="str">
        <f aca="false">IF(TITLE_NAME_OR_PR_CHANGE="",IF(TITLE_NAME_OR_PR="","",TITLE_NAME_OR_PR),TITLE_NAME_OR_PR_CHANGE)</f>
        <v/>
      </c>
      <c r="Y33" s="469"/>
      <c r="Z33" s="469"/>
      <c r="AA33" s="469"/>
      <c r="AB33" s="469"/>
      <c r="AC33" s="469"/>
      <c r="AD33" s="469"/>
      <c r="AE33" s="469"/>
      <c r="AF33" s="42"/>
      <c r="AG33" s="469" t="str">
        <f aca="false">IF(TITLE_NAME_OR_PR_CHANGE="",IF(TITLE_NAME_OR_PR="","",TITLE_NAME_OR_PR),TITLE_NAME_OR_PR_CHANGE)</f>
        <v/>
      </c>
      <c r="AH33" s="469"/>
      <c r="AI33" s="469"/>
      <c r="AJ33" s="469"/>
      <c r="AK33" s="469"/>
      <c r="AL33" s="469"/>
      <c r="AM33" s="469"/>
      <c r="AN33" s="469"/>
      <c r="AO33" s="42"/>
      <c r="AP33" s="42"/>
      <c r="AQ33" s="470"/>
      <c r="AR33" s="118"/>
      <c r="AS33" s="118"/>
      <c r="AT33" s="118"/>
      <c r="AU33" s="118"/>
      <c r="AV33" s="118"/>
      <c r="AW33" s="175" t="n">
        <v>0</v>
      </c>
    </row>
    <row r="34" s="175" customFormat="true" ht="18.75" hidden="true" customHeight="true" outlineLevel="0" collapsed="false">
      <c r="A34" s="96"/>
      <c r="B34" s="96"/>
      <c r="C34" s="96"/>
      <c r="D34" s="96"/>
      <c r="E34" s="96"/>
      <c r="F34" s="96"/>
      <c r="G34" s="96"/>
      <c r="H34" s="96"/>
      <c r="I34" s="96"/>
      <c r="J34" s="96"/>
      <c r="K34" s="96"/>
      <c r="L34" s="96"/>
      <c r="M34" s="490"/>
      <c r="N34" s="96"/>
      <c r="O34" s="96"/>
      <c r="P34" s="96"/>
      <c r="U34" s="467" t="s">
        <v>436</v>
      </c>
      <c r="V34" s="467"/>
      <c r="W34" s="468"/>
      <c r="X34" s="471" t="str">
        <f aca="false">IF(TITLE_DATE_PR_CHANGE="",IF(TITLE_DATE_PR="","",TITLE_DATE_PR),TITLE_DATE_PR_CHANGE)</f>
        <v/>
      </c>
      <c r="Y34" s="471"/>
      <c r="Z34" s="471"/>
      <c r="AA34" s="471"/>
      <c r="AB34" s="471"/>
      <c r="AC34" s="471"/>
      <c r="AD34" s="471"/>
      <c r="AE34" s="471"/>
      <c r="AF34" s="42"/>
      <c r="AG34" s="471" t="str">
        <f aca="false">IF(TITLE_DATE_PR_CHANGE="",IF(TITLE_DATE_PR="","",TITLE_DATE_PR),TITLE_DATE_PR_CHANGE)</f>
        <v/>
      </c>
      <c r="AH34" s="471"/>
      <c r="AI34" s="471"/>
      <c r="AJ34" s="471"/>
      <c r="AK34" s="471"/>
      <c r="AL34" s="471"/>
      <c r="AM34" s="471"/>
      <c r="AN34" s="471"/>
      <c r="AO34" s="42"/>
      <c r="AP34" s="42"/>
      <c r="AQ34" s="470"/>
      <c r="AR34" s="118"/>
      <c r="AS34" s="118"/>
      <c r="AT34" s="118"/>
      <c r="AU34" s="118"/>
      <c r="AV34" s="118"/>
      <c r="AW34" s="175" t="n">
        <v>0</v>
      </c>
    </row>
    <row r="35" s="175" customFormat="true" ht="18.75" hidden="true" customHeight="true" outlineLevel="0" collapsed="false">
      <c r="A35" s="96"/>
      <c r="B35" s="96"/>
      <c r="C35" s="96"/>
      <c r="D35" s="96"/>
      <c r="E35" s="96"/>
      <c r="F35" s="96"/>
      <c r="G35" s="96"/>
      <c r="H35" s="96"/>
      <c r="I35" s="96"/>
      <c r="J35" s="96"/>
      <c r="K35" s="96"/>
      <c r="L35" s="96"/>
      <c r="M35" s="490"/>
      <c r="N35" s="96"/>
      <c r="O35" s="96"/>
      <c r="P35" s="96"/>
      <c r="U35" s="467" t="s">
        <v>437</v>
      </c>
      <c r="V35" s="467"/>
      <c r="W35" s="468"/>
      <c r="X35" s="469" t="str">
        <f aca="false">IF(TITLE_NUMBER_PR_CHANGE="",IF(TITLE_NUMBER_PR="","",TITLE_NUMBER_PR),TITLE_NUMBER_PR_CHANGE)</f>
        <v/>
      </c>
      <c r="Y35" s="469"/>
      <c r="Z35" s="469"/>
      <c r="AA35" s="469"/>
      <c r="AB35" s="469"/>
      <c r="AC35" s="469"/>
      <c r="AD35" s="469"/>
      <c r="AE35" s="469"/>
      <c r="AF35" s="42"/>
      <c r="AG35" s="469" t="str">
        <f aca="false">IF(TITLE_NUMBER_PR_CHANGE="",IF(TITLE_NUMBER_PR="","",TITLE_NUMBER_PR),TITLE_NUMBER_PR_CHANGE)</f>
        <v/>
      </c>
      <c r="AH35" s="469"/>
      <c r="AI35" s="469"/>
      <c r="AJ35" s="469"/>
      <c r="AK35" s="469"/>
      <c r="AL35" s="469"/>
      <c r="AM35" s="469"/>
      <c r="AN35" s="469"/>
      <c r="AO35" s="42"/>
      <c r="AP35" s="42"/>
      <c r="AQ35" s="470"/>
      <c r="AR35" s="118"/>
      <c r="AS35" s="118"/>
      <c r="AT35" s="118"/>
      <c r="AU35" s="118"/>
      <c r="AV35" s="118"/>
      <c r="AW35" s="175" t="n">
        <v>0</v>
      </c>
    </row>
    <row r="36" s="175" customFormat="true" ht="18.75" hidden="true" customHeight="true" outlineLevel="0" collapsed="false">
      <c r="A36" s="96"/>
      <c r="B36" s="96"/>
      <c r="C36" s="96"/>
      <c r="D36" s="96"/>
      <c r="E36" s="96"/>
      <c r="F36" s="96"/>
      <c r="G36" s="96"/>
      <c r="H36" s="96"/>
      <c r="I36" s="96"/>
      <c r="J36" s="96"/>
      <c r="K36" s="96"/>
      <c r="L36" s="96"/>
      <c r="M36" s="490"/>
      <c r="N36" s="96"/>
      <c r="O36" s="96"/>
      <c r="P36" s="96"/>
      <c r="U36" s="467" t="s">
        <v>41</v>
      </c>
      <c r="V36" s="467"/>
      <c r="W36" s="468"/>
      <c r="X36" s="469" t="str">
        <f aca="false">IF(TITLE_IST_PUB_CHANGE="",IF(TITLE_IST_PUB="","",TITLE_IST_PUB),TITLE_IST_PUB_CHANGE)</f>
        <v/>
      </c>
      <c r="Y36" s="469"/>
      <c r="Z36" s="469"/>
      <c r="AA36" s="469"/>
      <c r="AB36" s="469"/>
      <c r="AC36" s="469"/>
      <c r="AD36" s="469"/>
      <c r="AE36" s="469"/>
      <c r="AF36" s="42"/>
      <c r="AG36" s="469" t="str">
        <f aca="false">IF(TITLE_IST_PUB_CHANGE="",IF(TITLE_IST_PUB="","",TITLE_IST_PUB),TITLE_IST_PUB_CHANGE)</f>
        <v/>
      </c>
      <c r="AH36" s="469"/>
      <c r="AI36" s="469"/>
      <c r="AJ36" s="469"/>
      <c r="AK36" s="469"/>
      <c r="AL36" s="469"/>
      <c r="AM36" s="469"/>
      <c r="AN36" s="469"/>
      <c r="AO36" s="42"/>
      <c r="AP36" s="42"/>
      <c r="AQ36" s="470"/>
      <c r="AR36" s="118"/>
      <c r="AS36" s="118"/>
      <c r="AT36" s="118"/>
      <c r="AU36" s="118"/>
      <c r="AV36" s="118"/>
      <c r="AW36" s="175" t="n">
        <v>0</v>
      </c>
    </row>
    <row r="37" customFormat="false" ht="14.25" hidden="true" customHeight="true" outlineLevel="0" collapsed="false">
      <c r="R37" s="464"/>
      <c r="S37" s="464"/>
      <c r="T37" s="464"/>
      <c r="U37" s="465"/>
      <c r="V37" s="80"/>
      <c r="W37" s="80"/>
      <c r="X37" s="466"/>
      <c r="Y37" s="466"/>
      <c r="Z37" s="466"/>
      <c r="AA37" s="466"/>
      <c r="AB37" s="466"/>
      <c r="AC37" s="466"/>
      <c r="AD37" s="466"/>
      <c r="AE37" s="466"/>
      <c r="AF37" s="466"/>
      <c r="AG37" s="466"/>
      <c r="AH37" s="466"/>
      <c r="AI37" s="466"/>
      <c r="AJ37" s="466"/>
      <c r="AK37" s="466"/>
      <c r="AL37" s="466"/>
      <c r="AM37" s="466"/>
      <c r="AN37" s="466"/>
      <c r="AO37" s="466"/>
      <c r="AW37" s="42" t="n">
        <v>0</v>
      </c>
    </row>
    <row r="38" s="175" customFormat="true" ht="18.75" hidden="true" customHeight="true" outlineLevel="0" collapsed="false">
      <c r="A38" s="96"/>
      <c r="B38" s="96"/>
      <c r="C38" s="96"/>
      <c r="D38" s="96"/>
      <c r="E38" s="96"/>
      <c r="F38" s="96"/>
      <c r="G38" s="96"/>
      <c r="H38" s="96"/>
      <c r="I38" s="96"/>
      <c r="J38" s="96"/>
      <c r="K38" s="96"/>
      <c r="L38" s="96"/>
      <c r="M38" s="490"/>
      <c r="N38" s="96"/>
      <c r="O38" s="96"/>
      <c r="P38" s="96"/>
      <c r="U38" s="467" t="s">
        <v>438</v>
      </c>
      <c r="V38" s="467"/>
      <c r="W38" s="468"/>
      <c r="X38" s="471" t="str">
        <f aca="false">IF(TITLE_DATE_PR_CHANGE="",IF(TITLE_DATE_PR="","",TITLE_DATE_PR),TITLE_DATE_PR_CHANGE)</f>
        <v/>
      </c>
      <c r="Y38" s="471"/>
      <c r="Z38" s="471"/>
      <c r="AA38" s="471"/>
      <c r="AB38" s="471"/>
      <c r="AC38" s="471"/>
      <c r="AD38" s="471"/>
      <c r="AE38" s="471"/>
      <c r="AF38" s="42"/>
      <c r="AG38" s="471" t="str">
        <f aca="false">IF(TITLE_DATE_PR_CHANGE="",IF(TITLE_DATE_PR="","",TITLE_DATE_PR),TITLE_DATE_PR_CHANGE)</f>
        <v/>
      </c>
      <c r="AH38" s="471"/>
      <c r="AI38" s="471"/>
      <c r="AJ38" s="471"/>
      <c r="AK38" s="471"/>
      <c r="AL38" s="471"/>
      <c r="AM38" s="471"/>
      <c r="AN38" s="471"/>
      <c r="AO38" s="42"/>
      <c r="AP38" s="42"/>
      <c r="AQ38" s="470"/>
      <c r="AR38" s="118"/>
      <c r="AS38" s="118"/>
      <c r="AT38" s="118"/>
      <c r="AU38" s="118"/>
      <c r="AV38" s="118"/>
      <c r="AW38" s="175" t="n">
        <v>0</v>
      </c>
    </row>
    <row r="39" s="175" customFormat="true" ht="18.75" hidden="true" customHeight="true" outlineLevel="0" collapsed="false">
      <c r="A39" s="96"/>
      <c r="B39" s="96"/>
      <c r="C39" s="96"/>
      <c r="D39" s="96"/>
      <c r="E39" s="96"/>
      <c r="F39" s="96"/>
      <c r="G39" s="96"/>
      <c r="H39" s="96"/>
      <c r="I39" s="96"/>
      <c r="J39" s="96"/>
      <c r="K39" s="96"/>
      <c r="L39" s="96"/>
      <c r="M39" s="490"/>
      <c r="N39" s="96"/>
      <c r="O39" s="96"/>
      <c r="P39" s="96"/>
      <c r="U39" s="467" t="s">
        <v>439</v>
      </c>
      <c r="V39" s="467"/>
      <c r="W39" s="468"/>
      <c r="X39" s="469" t="str">
        <f aca="false">IF(TITLE_NUMBER_PR_CHANGE="",IF(TITLE_NUMBER_PR="","",TITLE_NUMBER_PR),TITLE_NUMBER_PR_CHANGE)</f>
        <v/>
      </c>
      <c r="Y39" s="469"/>
      <c r="Z39" s="469"/>
      <c r="AA39" s="469"/>
      <c r="AB39" s="469"/>
      <c r="AC39" s="469"/>
      <c r="AD39" s="469"/>
      <c r="AE39" s="469"/>
      <c r="AF39" s="42"/>
      <c r="AG39" s="469" t="str">
        <f aca="false">IF(TITLE_NUMBER_PR_CHANGE="",IF(TITLE_NUMBER_PR="","",TITLE_NUMBER_PR),TITLE_NUMBER_PR_CHANGE)</f>
        <v/>
      </c>
      <c r="AH39" s="469"/>
      <c r="AI39" s="469"/>
      <c r="AJ39" s="469"/>
      <c r="AK39" s="469"/>
      <c r="AL39" s="469"/>
      <c r="AM39" s="469"/>
      <c r="AN39" s="469"/>
      <c r="AO39" s="42"/>
      <c r="AP39" s="42"/>
      <c r="AQ39" s="470"/>
      <c r="AR39" s="118"/>
      <c r="AS39" s="118"/>
      <c r="AT39" s="118"/>
      <c r="AU39" s="118"/>
      <c r="AV39" s="118"/>
      <c r="AW39" s="175" t="n">
        <v>0</v>
      </c>
    </row>
    <row r="40" s="175" customFormat="true" ht="12.8" hidden="false" customHeight="false" outlineLevel="0" collapsed="false">
      <c r="A40" s="96"/>
      <c r="B40" s="96"/>
      <c r="C40" s="96"/>
      <c r="D40" s="96"/>
      <c r="E40" s="96"/>
      <c r="F40" s="96"/>
      <c r="G40" s="96"/>
      <c r="H40" s="96"/>
      <c r="I40" s="96"/>
      <c r="J40" s="96"/>
      <c r="K40" s="96"/>
      <c r="L40" s="96"/>
      <c r="M40" s="490"/>
      <c r="N40" s="96"/>
      <c r="O40" s="96"/>
      <c r="P40" s="96"/>
      <c r="U40" s="42"/>
      <c r="V40" s="42"/>
      <c r="W40" s="128"/>
      <c r="X40" s="42"/>
      <c r="Y40" s="42"/>
      <c r="Z40" s="42"/>
      <c r="AA40" s="42"/>
      <c r="AB40" s="42"/>
      <c r="AC40" s="42"/>
      <c r="AD40" s="42"/>
      <c r="AE40" s="42"/>
      <c r="AF40" s="47" t="s">
        <v>440</v>
      </c>
      <c r="AG40" s="42"/>
      <c r="AH40" s="42"/>
      <c r="AI40" s="42"/>
      <c r="AJ40" s="42"/>
      <c r="AK40" s="42"/>
      <c r="AL40" s="42"/>
      <c r="AM40" s="42"/>
      <c r="AN40" s="42"/>
      <c r="AO40" s="47" t="s">
        <v>440</v>
      </c>
      <c r="AR40" s="118"/>
      <c r="AS40" s="118"/>
      <c r="AT40" s="118"/>
      <c r="AU40" s="118"/>
      <c r="AV40" s="118"/>
      <c r="AW40" s="175" t="n">
        <v>0</v>
      </c>
    </row>
    <row r="41" customFormat="false" ht="14.25" hidden="false" customHeight="true" outlineLevel="0" collapsed="false">
      <c r="R41" s="464"/>
      <c r="S41" s="464"/>
      <c r="T41" s="464"/>
      <c r="U41" s="465"/>
      <c r="V41" s="80"/>
      <c r="W41" s="472"/>
      <c r="X41" s="473"/>
      <c r="Y41" s="473"/>
      <c r="Z41" s="473"/>
      <c r="AA41" s="473"/>
      <c r="AB41" s="473"/>
      <c r="AC41" s="473"/>
      <c r="AD41" s="473"/>
      <c r="AE41" s="473"/>
      <c r="AF41" s="473"/>
      <c r="AG41" s="473"/>
      <c r="AH41" s="473"/>
      <c r="AI41" s="473"/>
      <c r="AJ41" s="473"/>
      <c r="AK41" s="473"/>
      <c r="AL41" s="473"/>
      <c r="AM41" s="473"/>
      <c r="AN41" s="473"/>
      <c r="AO41" s="473"/>
      <c r="AW41" s="42" t="n">
        <v>14</v>
      </c>
    </row>
    <row r="42" customFormat="false" ht="14.25" hidden="false" customHeight="true" outlineLevel="0" collapsed="false">
      <c r="R42" s="464"/>
      <c r="S42" s="464"/>
      <c r="T42" s="464"/>
      <c r="U42" s="134" t="s">
        <v>313</v>
      </c>
      <c r="V42" s="134"/>
      <c r="W42" s="134"/>
      <c r="X42" s="134"/>
      <c r="Y42" s="134"/>
      <c r="Z42" s="134"/>
      <c r="AA42" s="134"/>
      <c r="AB42" s="134"/>
      <c r="AC42" s="134"/>
      <c r="AD42" s="134"/>
      <c r="AE42" s="134"/>
      <c r="AF42" s="134"/>
      <c r="AG42" s="134"/>
      <c r="AH42" s="134"/>
      <c r="AI42" s="134"/>
      <c r="AJ42" s="134"/>
      <c r="AK42" s="134"/>
      <c r="AL42" s="134"/>
      <c r="AM42" s="134"/>
      <c r="AN42" s="134"/>
      <c r="AO42" s="134"/>
      <c r="AP42" s="134"/>
      <c r="AQ42" s="146" t="s">
        <v>314</v>
      </c>
      <c r="AW42" s="42" t="n">
        <v>14</v>
      </c>
    </row>
    <row r="43" customFormat="false" ht="14.25" hidden="false" customHeight="true" outlineLevel="0" collapsed="false">
      <c r="R43" s="464"/>
      <c r="S43" s="464"/>
      <c r="T43" s="464"/>
      <c r="U43" s="474" t="s">
        <v>87</v>
      </c>
      <c r="V43" s="391" t="s">
        <v>441</v>
      </c>
      <c r="W43" s="475"/>
      <c r="X43" s="296" t="s">
        <v>442</v>
      </c>
      <c r="Y43" s="296"/>
      <c r="Z43" s="296"/>
      <c r="AA43" s="296"/>
      <c r="AB43" s="296"/>
      <c r="AC43" s="296"/>
      <c r="AD43" s="296"/>
      <c r="AE43" s="296"/>
      <c r="AF43" s="391" t="s">
        <v>443</v>
      </c>
      <c r="AG43" s="296" t="s">
        <v>442</v>
      </c>
      <c r="AH43" s="296"/>
      <c r="AI43" s="296"/>
      <c r="AJ43" s="296"/>
      <c r="AK43" s="296"/>
      <c r="AL43" s="296"/>
      <c r="AM43" s="296"/>
      <c r="AN43" s="296"/>
      <c r="AO43" s="391" t="s">
        <v>444</v>
      </c>
      <c r="AP43" s="476" t="s">
        <v>445</v>
      </c>
      <c r="AQ43" s="146"/>
      <c r="AW43" s="42" t="n">
        <v>14</v>
      </c>
    </row>
    <row r="44" customFormat="false" ht="35.25" hidden="false" customHeight="true" outlineLevel="0" collapsed="false">
      <c r="R44" s="464"/>
      <c r="S44" s="464"/>
      <c r="T44" s="464"/>
      <c r="U44" s="474"/>
      <c r="V44" s="391"/>
      <c r="W44" s="477"/>
      <c r="X44" s="265" t="s">
        <v>468</v>
      </c>
      <c r="Y44" s="134" t="s">
        <v>469</v>
      </c>
      <c r="Z44" s="134"/>
      <c r="AA44" s="134"/>
      <c r="AB44" s="134"/>
      <c r="AC44" s="134" t="s">
        <v>449</v>
      </c>
      <c r="AD44" s="134"/>
      <c r="AE44" s="134"/>
      <c r="AF44" s="391"/>
      <c r="AG44" s="265" t="s">
        <v>468</v>
      </c>
      <c r="AH44" s="134" t="s">
        <v>469</v>
      </c>
      <c r="AI44" s="134"/>
      <c r="AJ44" s="134"/>
      <c r="AK44" s="134"/>
      <c r="AL44" s="134" t="s">
        <v>449</v>
      </c>
      <c r="AM44" s="134"/>
      <c r="AN44" s="134"/>
      <c r="AO44" s="391"/>
      <c r="AP44" s="476"/>
      <c r="AQ44" s="146"/>
      <c r="AW44" s="42" t="n">
        <v>34</v>
      </c>
    </row>
    <row r="45" customFormat="false" ht="14.25" hidden="false" customHeight="true" outlineLevel="0" collapsed="false">
      <c r="R45" s="464"/>
      <c r="S45" s="464"/>
      <c r="T45" s="464"/>
      <c r="U45" s="474"/>
      <c r="V45" s="391"/>
      <c r="W45" s="477"/>
      <c r="X45" s="265"/>
      <c r="Y45" s="185" t="s">
        <v>470</v>
      </c>
      <c r="Z45" s="185" t="s">
        <v>471</v>
      </c>
      <c r="AA45" s="185"/>
      <c r="AB45" s="185"/>
      <c r="AC45" s="134"/>
      <c r="AD45" s="134"/>
      <c r="AE45" s="134"/>
      <c r="AF45" s="391"/>
      <c r="AG45" s="265"/>
      <c r="AH45" s="185" t="s">
        <v>470</v>
      </c>
      <c r="AI45" s="185" t="s">
        <v>471</v>
      </c>
      <c r="AJ45" s="185"/>
      <c r="AK45" s="185"/>
      <c r="AL45" s="134"/>
      <c r="AM45" s="134"/>
      <c r="AN45" s="134"/>
      <c r="AO45" s="391"/>
      <c r="AP45" s="476"/>
      <c r="AQ45" s="146"/>
      <c r="AW45" s="42" t="n">
        <v>14</v>
      </c>
    </row>
    <row r="46" customFormat="false" ht="27" hidden="false" customHeight="true" outlineLevel="0" collapsed="false">
      <c r="R46" s="464"/>
      <c r="S46" s="464"/>
      <c r="T46" s="464"/>
      <c r="U46" s="474"/>
      <c r="V46" s="391"/>
      <c r="W46" s="477"/>
      <c r="X46" s="265"/>
      <c r="Y46" s="185"/>
      <c r="Z46" s="355" t="s">
        <v>472</v>
      </c>
      <c r="AA46" s="185" t="s">
        <v>473</v>
      </c>
      <c r="AB46" s="185"/>
      <c r="AC46" s="355" t="s">
        <v>459</v>
      </c>
      <c r="AD46" s="185" t="s">
        <v>460</v>
      </c>
      <c r="AE46" s="185"/>
      <c r="AF46" s="391"/>
      <c r="AG46" s="265"/>
      <c r="AH46" s="185"/>
      <c r="AI46" s="355" t="s">
        <v>472</v>
      </c>
      <c r="AJ46" s="185" t="s">
        <v>473</v>
      </c>
      <c r="AK46" s="185"/>
      <c r="AL46" s="355" t="s">
        <v>459</v>
      </c>
      <c r="AM46" s="185" t="s">
        <v>460</v>
      </c>
      <c r="AN46" s="185"/>
      <c r="AO46" s="391"/>
      <c r="AP46" s="476"/>
      <c r="AQ46" s="146"/>
      <c r="AW46" s="42" t="n">
        <v>26</v>
      </c>
    </row>
    <row r="47" customFormat="false" ht="65.25" hidden="false" customHeight="true" outlineLevel="0" collapsed="false">
      <c r="A47" s="96"/>
      <c r="B47" s="96" t="s">
        <v>150</v>
      </c>
      <c r="C47" s="96" t="s">
        <v>151</v>
      </c>
      <c r="D47" s="96" t="s">
        <v>152</v>
      </c>
      <c r="E47" s="490" t="s">
        <v>450</v>
      </c>
      <c r="F47" s="490" t="s">
        <v>451</v>
      </c>
      <c r="G47" s="490" t="s">
        <v>452</v>
      </c>
      <c r="H47" s="490" t="s">
        <v>453</v>
      </c>
      <c r="I47" s="490" t="s">
        <v>454</v>
      </c>
      <c r="J47" s="490" t="s">
        <v>455</v>
      </c>
      <c r="K47" s="490" t="s">
        <v>456</v>
      </c>
      <c r="L47" s="490" t="s">
        <v>474</v>
      </c>
      <c r="M47" s="490" t="s">
        <v>431</v>
      </c>
      <c r="R47" s="464"/>
      <c r="S47" s="464"/>
      <c r="T47" s="464"/>
      <c r="U47" s="474"/>
      <c r="V47" s="391"/>
      <c r="W47" s="478"/>
      <c r="X47" s="265"/>
      <c r="Y47" s="185"/>
      <c r="Z47" s="185"/>
      <c r="AA47" s="185" t="s">
        <v>475</v>
      </c>
      <c r="AB47" s="185" t="s">
        <v>476</v>
      </c>
      <c r="AC47" s="355"/>
      <c r="AD47" s="185"/>
      <c r="AE47" s="185"/>
      <c r="AF47" s="391"/>
      <c r="AG47" s="265"/>
      <c r="AH47" s="185"/>
      <c r="AI47" s="185"/>
      <c r="AJ47" s="185" t="s">
        <v>475</v>
      </c>
      <c r="AK47" s="185" t="s">
        <v>476</v>
      </c>
      <c r="AL47" s="355"/>
      <c r="AM47" s="185"/>
      <c r="AN47" s="185"/>
      <c r="AO47" s="391"/>
      <c r="AP47" s="476"/>
      <c r="AQ47" s="146"/>
      <c r="AW47" s="42" t="n">
        <v>62</v>
      </c>
    </row>
    <row r="48" s="120" customFormat="true" ht="11.25" hidden="true" customHeight="true" outlineLevel="0" collapsed="false">
      <c r="A48" s="96"/>
      <c r="B48" s="96"/>
      <c r="C48" s="96"/>
      <c r="D48" s="96"/>
      <c r="E48" s="96"/>
      <c r="F48" s="96"/>
      <c r="G48" s="96"/>
      <c r="H48" s="96"/>
      <c r="I48" s="96"/>
      <c r="J48" s="96"/>
      <c r="K48" s="96"/>
      <c r="L48" s="96"/>
      <c r="M48" s="490"/>
      <c r="N48" s="50"/>
      <c r="O48" s="50"/>
      <c r="P48" s="50"/>
      <c r="Q48" s="479"/>
      <c r="R48" s="480"/>
      <c r="S48" s="481" t="n">
        <v>1</v>
      </c>
      <c r="T48" s="481"/>
      <c r="U48" s="482" t="s">
        <v>120</v>
      </c>
      <c r="V48" s="483" t="s">
        <v>102</v>
      </c>
      <c r="W48" s="484" t="str">
        <f aca="true">OFFSET(W48,0,-1)</f>
        <v>2</v>
      </c>
      <c r="X48" s="485" t="n">
        <f aca="true">OFFSET(X48,0,-1)+1</f>
        <v>3</v>
      </c>
      <c r="Y48" s="364"/>
      <c r="Z48" s="364"/>
      <c r="AA48" s="364" t="n">
        <f aca="true">OFFSET(AA48,0,-1)+1</f>
        <v>1</v>
      </c>
      <c r="AB48" s="364" t="n">
        <f aca="true">OFFSET(AB48,0,-1)+1</f>
        <v>2</v>
      </c>
      <c r="AC48" s="485" t="n">
        <f aca="true">OFFSET(AC48,0,-1)+1</f>
        <v>3</v>
      </c>
      <c r="AD48" s="485" t="n">
        <f aca="true">OFFSET(AD48,0,-1)+1</f>
        <v>4</v>
      </c>
      <c r="AE48" s="485"/>
      <c r="AF48" s="485" t="n">
        <f aca="true">OFFSET(AF48,0,-2)+1</f>
        <v>5</v>
      </c>
      <c r="AG48" s="485" t="n">
        <f aca="true">OFFSET(AG48,0,-1)+1</f>
        <v>6</v>
      </c>
      <c r="AH48" s="485"/>
      <c r="AI48" s="485"/>
      <c r="AJ48" s="485" t="n">
        <f aca="true">OFFSET(AJ48,0,-1)+1</f>
        <v>1</v>
      </c>
      <c r="AK48" s="485" t="n">
        <f aca="true">OFFSET(AK48,0,-1)+1</f>
        <v>2</v>
      </c>
      <c r="AL48" s="485" t="n">
        <f aca="true">OFFSET(AL48,0,-1)+1</f>
        <v>3</v>
      </c>
      <c r="AM48" s="485" t="n">
        <f aca="true">OFFSET(AM48,0,-1)+1</f>
        <v>4</v>
      </c>
      <c r="AN48" s="485"/>
      <c r="AO48" s="485" t="n">
        <f aca="true">OFFSET(AO48,0,-2)+1</f>
        <v>5</v>
      </c>
      <c r="AP48" s="484" t="n">
        <f aca="true">OFFSET(AP48,0,-1)</f>
        <v>5</v>
      </c>
      <c r="AQ48" s="485" t="n">
        <f aca="true">OFFSET(AQ48,0,-1)+1</f>
        <v>6</v>
      </c>
      <c r="AR48" s="47"/>
      <c r="AS48" s="47"/>
      <c r="AT48" s="47"/>
      <c r="AU48" s="47"/>
      <c r="AV48" s="47"/>
      <c r="AW48" s="120" t="n">
        <v>0</v>
      </c>
    </row>
    <row r="49" customFormat="false" ht="21.75" hidden="false" customHeight="true" outlineLevel="0" collapsed="false">
      <c r="A49" s="241" t="s">
        <v>189</v>
      </c>
      <c r="B49" s="241"/>
      <c r="C49" s="241"/>
      <c r="D49" s="241"/>
      <c r="E49" s="489" t="n">
        <v>1</v>
      </c>
      <c r="F49" s="241"/>
      <c r="G49" s="241"/>
      <c r="H49" s="241"/>
      <c r="I49" s="241"/>
      <c r="J49" s="241"/>
      <c r="K49" s="241"/>
      <c r="L49" s="241"/>
      <c r="M49" s="490"/>
      <c r="N49" s="75"/>
      <c r="O49" s="75"/>
      <c r="P49" s="75"/>
      <c r="R49" s="132"/>
      <c r="S49" s="132"/>
      <c r="T49" s="415"/>
      <c r="U49" s="416" t="n">
        <f aca="false">INDEX(PT_DIFFERENTIATION_NUM_NTAR,MATCH(A49,PT_DIFFERENTIATION_NTAR_ID,0))</f>
        <v>0</v>
      </c>
      <c r="V49" s="417" t="s">
        <v>138</v>
      </c>
      <c r="W49" s="418"/>
      <c r="X49" s="420"/>
      <c r="Y49" s="420"/>
      <c r="Z49" s="420"/>
      <c r="AA49" s="420"/>
      <c r="AB49" s="420"/>
      <c r="AC49" s="420"/>
      <c r="AD49" s="420"/>
      <c r="AE49" s="420"/>
      <c r="AF49" s="420"/>
      <c r="AG49" s="420" t="str">
        <f aca="false">INDEX(PT_DIFFERENTIATION_NTAR,MATCH(A49,PT_DIFFERENTIATION_NTAR_ID,0))</f>
        <v/>
      </c>
      <c r="AH49" s="420"/>
      <c r="AI49" s="420"/>
      <c r="AJ49" s="420"/>
      <c r="AK49" s="420"/>
      <c r="AL49" s="420"/>
      <c r="AM49" s="420"/>
      <c r="AN49" s="420"/>
      <c r="AO49" s="420"/>
      <c r="AP49" s="420"/>
      <c r="AQ49" s="421"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18"/>
      <c r="AT49" s="118" t="str">
        <f aca="false">IF(V49="","",V49)</f>
        <v>Наименование тарифа</v>
      </c>
      <c r="AU49" s="118"/>
      <c r="AV49" s="118"/>
      <c r="AW49" s="42" t="n">
        <v>21</v>
      </c>
    </row>
    <row r="50" customFormat="false" ht="21.75" hidden="false" customHeight="true" outlineLevel="0" collapsed="false">
      <c r="A50" s="241" t="s">
        <v>189</v>
      </c>
      <c r="B50" s="241" t="s">
        <v>190</v>
      </c>
      <c r="C50" s="241"/>
      <c r="D50" s="241"/>
      <c r="E50" s="489"/>
      <c r="F50" s="489" t="n">
        <v>1</v>
      </c>
      <c r="G50" s="241"/>
      <c r="H50" s="241"/>
      <c r="I50" s="241"/>
      <c r="J50" s="241"/>
      <c r="K50" s="241"/>
      <c r="L50" s="241"/>
      <c r="M50" s="490"/>
      <c r="N50" s="75"/>
      <c r="O50" s="75"/>
      <c r="P50" s="75"/>
      <c r="Q50" s="43"/>
      <c r="R50" s="422"/>
      <c r="S50" s="42"/>
      <c r="T50" s="423"/>
      <c r="U50" s="416" t="str">
        <f aca="false">INDEX(PT_DIFFERENTIATION_NUM_TER,MATCH(B50,PT_DIFFERENTIATION_TER_ID,0))</f>
        <v>.</v>
      </c>
      <c r="V50" s="424" t="s">
        <v>410</v>
      </c>
      <c r="W50" s="418"/>
      <c r="X50" s="420"/>
      <c r="Y50" s="420"/>
      <c r="Z50" s="420"/>
      <c r="AA50" s="420"/>
      <c r="AB50" s="420"/>
      <c r="AC50" s="420"/>
      <c r="AD50" s="420"/>
      <c r="AE50" s="420"/>
      <c r="AF50" s="420"/>
      <c r="AG50" s="420" t="str">
        <f aca="false">INDEX(PT_DIFFERENTIATION_TER,MATCH(B50,PT_DIFFERENTIATION_TER_ID,0))</f>
        <v/>
      </c>
      <c r="AH50" s="420"/>
      <c r="AI50" s="420"/>
      <c r="AJ50" s="420"/>
      <c r="AK50" s="420"/>
      <c r="AL50" s="420"/>
      <c r="AM50" s="420"/>
      <c r="AN50" s="420"/>
      <c r="AO50" s="420"/>
      <c r="AP50" s="420"/>
      <c r="AQ50" s="421" t="s">
        <v>411</v>
      </c>
      <c r="AS50" s="118"/>
      <c r="AT50" s="118" t="str">
        <f aca="false">IF(V50="","",V50)</f>
        <v>Территория действия тарифа</v>
      </c>
      <c r="AU50" s="118"/>
      <c r="AV50" s="118"/>
      <c r="AW50" s="42" t="n">
        <v>21</v>
      </c>
    </row>
    <row r="51" customFormat="false" ht="24" hidden="false" customHeight="true" outlineLevel="0" collapsed="false">
      <c r="A51" s="241" t="s">
        <v>189</v>
      </c>
      <c r="B51" s="241" t="s">
        <v>190</v>
      </c>
      <c r="C51" s="241" t="s">
        <v>191</v>
      </c>
      <c r="D51" s="241"/>
      <c r="E51" s="489"/>
      <c r="F51" s="489"/>
      <c r="G51" s="489" t="n">
        <v>1</v>
      </c>
      <c r="H51" s="241"/>
      <c r="I51" s="241"/>
      <c r="J51" s="241"/>
      <c r="K51" s="241"/>
      <c r="L51" s="241"/>
      <c r="M51" s="490"/>
      <c r="N51" s="75"/>
      <c r="O51" s="75"/>
      <c r="P51" s="75"/>
      <c r="Q51" s="425"/>
      <c r="R51" s="422"/>
      <c r="S51" s="42"/>
      <c r="T51" s="423"/>
      <c r="U51" s="416" t="str">
        <f aca="false">INDEX(PT_DIFFERENTIATION_NUM_CS,MATCH(C51,PT_DIFFERENTIATION_CS_ID,0))</f>
        <v>..</v>
      </c>
      <c r="V51" s="426" t="s">
        <v>412</v>
      </c>
      <c r="W51" s="418"/>
      <c r="X51" s="420"/>
      <c r="Y51" s="420"/>
      <c r="Z51" s="420"/>
      <c r="AA51" s="420"/>
      <c r="AB51" s="420"/>
      <c r="AC51" s="420"/>
      <c r="AD51" s="420"/>
      <c r="AE51" s="420"/>
      <c r="AF51" s="420"/>
      <c r="AG51" s="420" t="str">
        <f aca="false">INDEX(PT_DIFFERENTIATION_CS,MATCH(C51,PT_DIFFERENTIATION_CS_ID,0))</f>
        <v/>
      </c>
      <c r="AH51" s="420"/>
      <c r="AI51" s="420"/>
      <c r="AJ51" s="420"/>
      <c r="AK51" s="420"/>
      <c r="AL51" s="420"/>
      <c r="AM51" s="420"/>
      <c r="AN51" s="420"/>
      <c r="AO51" s="420"/>
      <c r="AP51" s="420"/>
      <c r="AQ51" s="421" t="s">
        <v>413</v>
      </c>
      <c r="AS51" s="118"/>
      <c r="AT51" s="118" t="str">
        <f aca="false">IF(V51="","",V51)</f>
        <v>Наименование системы теплоснабжения</v>
      </c>
      <c r="AU51" s="118"/>
      <c r="AV51" s="118"/>
      <c r="AW51" s="42" t="n">
        <v>23</v>
      </c>
    </row>
    <row r="52" customFormat="false" ht="21.75" hidden="false" customHeight="true" outlineLevel="0" collapsed="false">
      <c r="A52" s="241" t="s">
        <v>189</v>
      </c>
      <c r="B52" s="241" t="s">
        <v>190</v>
      </c>
      <c r="C52" s="241" t="s">
        <v>191</v>
      </c>
      <c r="D52" s="241" t="s">
        <v>192</v>
      </c>
      <c r="E52" s="489"/>
      <c r="F52" s="489"/>
      <c r="G52" s="489"/>
      <c r="H52" s="489" t="n">
        <v>1</v>
      </c>
      <c r="I52" s="241"/>
      <c r="J52" s="241"/>
      <c r="K52" s="241"/>
      <c r="L52" s="241"/>
      <c r="M52" s="490"/>
      <c r="N52" s="75"/>
      <c r="O52" s="75"/>
      <c r="P52" s="75"/>
      <c r="Q52" s="425"/>
      <c r="R52" s="422"/>
      <c r="S52" s="42"/>
      <c r="T52" s="423"/>
      <c r="U52" s="416" t="str">
        <f aca="false">INDEX(PT_DIFFERENTIATION_NUM_IST_TE,MATCH(D52,PT_DIFFERENTIATION_IST_TE_ID,0))</f>
        <v>...</v>
      </c>
      <c r="V52" s="427" t="s">
        <v>414</v>
      </c>
      <c r="W52" s="418"/>
      <c r="X52" s="420"/>
      <c r="Y52" s="420"/>
      <c r="Z52" s="420"/>
      <c r="AA52" s="420"/>
      <c r="AB52" s="420"/>
      <c r="AC52" s="420"/>
      <c r="AD52" s="420"/>
      <c r="AE52" s="420"/>
      <c r="AF52" s="420"/>
      <c r="AG52" s="420" t="str">
        <f aca="false">INDEX(PT_DIFFERENTIATION_IST_TE,MATCH(D52,PT_DIFFERENTIATION_IST_TE_ID,0))</f>
        <v/>
      </c>
      <c r="AH52" s="420"/>
      <c r="AI52" s="420"/>
      <c r="AJ52" s="420"/>
      <c r="AK52" s="420"/>
      <c r="AL52" s="420"/>
      <c r="AM52" s="420"/>
      <c r="AN52" s="420"/>
      <c r="AO52" s="420"/>
      <c r="AP52" s="420"/>
      <c r="AQ52" s="421" t="s">
        <v>415</v>
      </c>
      <c r="AS52" s="118"/>
      <c r="AT52" s="118" t="str">
        <f aca="false">IF(V52="","",V52)</f>
        <v>Источник тепловой энергии</v>
      </c>
      <c r="AU52" s="118"/>
      <c r="AV52" s="118"/>
      <c r="AW52" s="42" t="n">
        <v>21</v>
      </c>
    </row>
    <row r="53" s="47" customFormat="true" ht="12.8" hidden="false" customHeight="false" outlineLevel="0" collapsed="false">
      <c r="A53" s="491" t="s">
        <v>189</v>
      </c>
      <c r="B53" s="491" t="s">
        <v>190</v>
      </c>
      <c r="C53" s="491" t="s">
        <v>191</v>
      </c>
      <c r="D53" s="491" t="s">
        <v>192</v>
      </c>
      <c r="E53" s="489"/>
      <c r="F53" s="489"/>
      <c r="G53" s="489"/>
      <c r="H53" s="489"/>
      <c r="I53" s="146" t="str">
        <f aca="false">U52&amp;".1"</f>
        <v>....1</v>
      </c>
      <c r="J53" s="491"/>
      <c r="K53" s="491"/>
      <c r="L53" s="491"/>
      <c r="M53" s="492" t="s">
        <v>416</v>
      </c>
      <c r="N53" s="479"/>
      <c r="O53" s="479"/>
      <c r="P53" s="479"/>
      <c r="Q53" s="121" t="n">
        <v>1</v>
      </c>
      <c r="R53" s="121"/>
      <c r="S53" s="121"/>
      <c r="T53" s="429"/>
      <c r="U53" s="301"/>
      <c r="V53" s="498"/>
      <c r="W53" s="499"/>
      <c r="X53" s="500"/>
      <c r="Y53" s="500"/>
      <c r="Z53" s="500"/>
      <c r="AA53" s="500"/>
      <c r="AB53" s="500"/>
      <c r="AC53" s="500"/>
      <c r="AD53" s="500"/>
      <c r="AE53" s="500"/>
      <c r="AF53" s="500"/>
      <c r="AG53" s="500"/>
      <c r="AH53" s="500"/>
      <c r="AI53" s="500"/>
      <c r="AJ53" s="500"/>
      <c r="AK53" s="500"/>
      <c r="AL53" s="500"/>
      <c r="AM53" s="500"/>
      <c r="AN53" s="500"/>
      <c r="AO53" s="500"/>
      <c r="AP53" s="500"/>
      <c r="AQ53" s="501"/>
      <c r="AS53" s="118"/>
      <c r="AT53" s="118" t="str">
        <f aca="false">IF(V53="","",V53)</f>
        <v/>
      </c>
      <c r="AU53" s="118"/>
      <c r="AV53" s="118"/>
      <c r="AW53" s="47" t="n">
        <v>0</v>
      </c>
    </row>
    <row r="54" customFormat="false" ht="21.75" hidden="false" customHeight="true" outlineLevel="0" collapsed="false">
      <c r="A54" s="241" t="s">
        <v>189</v>
      </c>
      <c r="B54" s="241" t="s">
        <v>190</v>
      </c>
      <c r="C54" s="241" t="s">
        <v>191</v>
      </c>
      <c r="D54" s="241" t="s">
        <v>192</v>
      </c>
      <c r="E54" s="489"/>
      <c r="F54" s="489"/>
      <c r="G54" s="489"/>
      <c r="H54" s="489"/>
      <c r="I54" s="146"/>
      <c r="J54" s="146" t="str">
        <f aca="false">I53&amp;".1"</f>
        <v>....1.1</v>
      </c>
      <c r="K54" s="241"/>
      <c r="L54" s="241"/>
      <c r="M54" s="490" t="s">
        <v>419</v>
      </c>
      <c r="Q54" s="121"/>
      <c r="R54" s="121" t="n">
        <v>1</v>
      </c>
      <c r="S54" s="47"/>
      <c r="T54" s="432"/>
      <c r="U54" s="416" t="str">
        <f aca="false">$J54</f>
        <v>....1.1</v>
      </c>
      <c r="V54" s="433" t="s">
        <v>420</v>
      </c>
      <c r="W54" s="418"/>
      <c r="X54" s="431"/>
      <c r="Y54" s="431"/>
      <c r="Z54" s="431"/>
      <c r="AA54" s="431"/>
      <c r="AB54" s="431"/>
      <c r="AC54" s="431"/>
      <c r="AD54" s="431"/>
      <c r="AE54" s="431"/>
      <c r="AF54" s="431"/>
      <c r="AG54" s="431"/>
      <c r="AH54" s="431"/>
      <c r="AI54" s="431"/>
      <c r="AJ54" s="431"/>
      <c r="AK54" s="431"/>
      <c r="AL54" s="431"/>
      <c r="AM54" s="431"/>
      <c r="AN54" s="431"/>
      <c r="AO54" s="431"/>
      <c r="AP54" s="431"/>
      <c r="AQ54" s="421" t="s">
        <v>421</v>
      </c>
      <c r="AS54" s="118"/>
      <c r="AT54" s="118" t="str">
        <f aca="false">IF(V54="","",V54)</f>
        <v>Группа потребителей</v>
      </c>
      <c r="AU54" s="118"/>
      <c r="AV54" s="118"/>
      <c r="AW54" s="42" t="n">
        <v>21</v>
      </c>
    </row>
    <row r="55" customFormat="false" ht="21.75" hidden="false" customHeight="true" outlineLevel="0" collapsed="false">
      <c r="A55" s="241" t="s">
        <v>189</v>
      </c>
      <c r="B55" s="241" t="s">
        <v>190</v>
      </c>
      <c r="C55" s="241" t="s">
        <v>191</v>
      </c>
      <c r="D55" s="241" t="s">
        <v>192</v>
      </c>
      <c r="E55" s="489"/>
      <c r="F55" s="489"/>
      <c r="G55" s="489"/>
      <c r="H55" s="489"/>
      <c r="I55" s="146"/>
      <c r="J55" s="146"/>
      <c r="K55" s="134" t="str">
        <f aca="false">J54&amp;".1"</f>
        <v>....1.1.1</v>
      </c>
      <c r="L55" s="43"/>
      <c r="M55" s="490" t="s">
        <v>422</v>
      </c>
      <c r="Q55" s="121"/>
      <c r="R55" s="121"/>
      <c r="S55" s="47" t="n">
        <v>1</v>
      </c>
      <c r="T55" s="432"/>
      <c r="U55" s="416" t="str">
        <f aca="false">$K55</f>
        <v>....1.1.1</v>
      </c>
      <c r="V55" s="434"/>
      <c r="W55" s="418"/>
      <c r="X55" s="435"/>
      <c r="Y55" s="435"/>
      <c r="Z55" s="435"/>
      <c r="AA55" s="435"/>
      <c r="AB55" s="521"/>
      <c r="AC55" s="438"/>
      <c r="AD55" s="204" t="s">
        <v>61</v>
      </c>
      <c r="AE55" s="438"/>
      <c r="AF55" s="204" t="s">
        <v>61</v>
      </c>
      <c r="AG55" s="522"/>
      <c r="AH55" s="435"/>
      <c r="AI55" s="435"/>
      <c r="AJ55" s="435"/>
      <c r="AK55" s="437"/>
      <c r="AL55" s="438"/>
      <c r="AM55" s="204" t="s">
        <v>61</v>
      </c>
      <c r="AN55" s="438"/>
      <c r="AO55" s="204" t="s">
        <v>61</v>
      </c>
      <c r="AP55" s="486"/>
      <c r="AQ55" s="523" t="s">
        <v>465</v>
      </c>
      <c r="AR55" s="47" t="e">
        <f aca="false">strcheckdate(X57:AP57)</f>
        <v>#NAME?</v>
      </c>
      <c r="AS55" s="118"/>
      <c r="AT55" s="118" t="str">
        <f aca="false">IF(V55="","",V55)</f>
        <v/>
      </c>
      <c r="AU55" s="118"/>
      <c r="AV55" s="118"/>
      <c r="AW55" s="42" t="n">
        <v>21</v>
      </c>
    </row>
    <row r="56" customFormat="false" ht="11.25" hidden="false" customHeight="true" outlineLevel="0" collapsed="false">
      <c r="A56" s="241" t="s">
        <v>189</v>
      </c>
      <c r="B56" s="241" t="s">
        <v>190</v>
      </c>
      <c r="C56" s="241" t="s">
        <v>191</v>
      </c>
      <c r="D56" s="241" t="s">
        <v>192</v>
      </c>
      <c r="E56" s="489"/>
      <c r="F56" s="489"/>
      <c r="G56" s="489"/>
      <c r="H56" s="489"/>
      <c r="I56" s="146"/>
      <c r="J56" s="146"/>
      <c r="K56" s="146"/>
      <c r="L56" s="134" t="str">
        <f aca="false">K55&amp;".1"</f>
        <v>....1.1.1.1</v>
      </c>
      <c r="M56" s="490"/>
      <c r="Q56" s="121"/>
      <c r="R56" s="121"/>
      <c r="S56" s="47" t="n">
        <v>1</v>
      </c>
      <c r="T56" s="432"/>
      <c r="U56" s="416" t="str">
        <f aca="false">$L56</f>
        <v>....1.1.1.1</v>
      </c>
      <c r="V56" s="524"/>
      <c r="W56" s="418"/>
      <c r="X56" s="436"/>
      <c r="Y56" s="435"/>
      <c r="Z56" s="435"/>
      <c r="AA56" s="435"/>
      <c r="AB56" s="521"/>
      <c r="AC56" s="438"/>
      <c r="AD56" s="204"/>
      <c r="AE56" s="438"/>
      <c r="AF56" s="204"/>
      <c r="AG56" s="522"/>
      <c r="AH56" s="435"/>
      <c r="AI56" s="435"/>
      <c r="AJ56" s="435"/>
      <c r="AK56" s="437"/>
      <c r="AL56" s="438"/>
      <c r="AM56" s="204"/>
      <c r="AN56" s="438"/>
      <c r="AO56" s="204"/>
      <c r="AP56" s="486"/>
      <c r="AQ56" s="439" t="s">
        <v>466</v>
      </c>
      <c r="AR56" s="47" t="e">
        <f aca="false">strcheckdate(X58:AP58)</f>
        <v>#NAME?</v>
      </c>
      <c r="AS56" s="118"/>
      <c r="AT56" s="118" t="str">
        <f aca="false">IF(V56="","",V56)</f>
        <v/>
      </c>
      <c r="AU56" s="118"/>
      <c r="AV56" s="118"/>
      <c r="AW56" s="42" t="n">
        <v>11</v>
      </c>
    </row>
    <row r="57" customFormat="false" ht="12.8" hidden="false" customHeight="false" outlineLevel="0" collapsed="false">
      <c r="A57" s="241" t="s">
        <v>189</v>
      </c>
      <c r="B57" s="241" t="s">
        <v>190</v>
      </c>
      <c r="C57" s="241" t="s">
        <v>191</v>
      </c>
      <c r="D57" s="241" t="s">
        <v>192</v>
      </c>
      <c r="E57" s="489"/>
      <c r="F57" s="489"/>
      <c r="G57" s="489"/>
      <c r="H57" s="489"/>
      <c r="I57" s="146"/>
      <c r="J57" s="146"/>
      <c r="K57" s="146"/>
      <c r="L57" s="134"/>
      <c r="M57" s="490"/>
      <c r="Q57" s="121"/>
      <c r="R57" s="121"/>
      <c r="S57" s="47"/>
      <c r="T57" s="432"/>
      <c r="U57" s="393"/>
      <c r="V57" s="418"/>
      <c r="W57" s="418"/>
      <c r="X57" s="436"/>
      <c r="Y57" s="436"/>
      <c r="Z57" s="436"/>
      <c r="AA57" s="436"/>
      <c r="AB57" s="525" t="str">
        <f aca="false">AC55&amp;"-"&amp;AE55</f>
        <v>-</v>
      </c>
      <c r="AC57" s="438"/>
      <c r="AD57" s="204"/>
      <c r="AE57" s="438"/>
      <c r="AF57" s="204"/>
      <c r="AG57" s="526"/>
      <c r="AH57" s="436"/>
      <c r="AI57" s="436"/>
      <c r="AJ57" s="436"/>
      <c r="AK57" s="440" t="str">
        <f aca="false">AL55&amp;"-"&amp;AN55</f>
        <v>-</v>
      </c>
      <c r="AL57" s="438"/>
      <c r="AM57" s="204"/>
      <c r="AN57" s="438"/>
      <c r="AO57" s="204"/>
      <c r="AP57" s="487"/>
      <c r="AQ57" s="439"/>
      <c r="AS57" s="118"/>
      <c r="AT57" s="118" t="str">
        <f aca="false">IF(V57="","",V57)</f>
        <v/>
      </c>
      <c r="AU57" s="118"/>
      <c r="AV57" s="118"/>
      <c r="AW57" s="42" t="n">
        <v>0</v>
      </c>
    </row>
    <row r="58" customFormat="false" ht="11.25" hidden="false" customHeight="true" outlineLevel="0" collapsed="false">
      <c r="A58" s="241" t="s">
        <v>189</v>
      </c>
      <c r="B58" s="241" t="s">
        <v>190</v>
      </c>
      <c r="C58" s="241" t="s">
        <v>191</v>
      </c>
      <c r="D58" s="241" t="s">
        <v>192</v>
      </c>
      <c r="E58" s="489"/>
      <c r="F58" s="489"/>
      <c r="G58" s="489"/>
      <c r="H58" s="489"/>
      <c r="I58" s="146"/>
      <c r="J58" s="146"/>
      <c r="K58" s="134"/>
      <c r="L58" s="241"/>
      <c r="M58" s="490"/>
      <c r="Q58" s="121"/>
      <c r="R58" s="121"/>
      <c r="S58" s="121"/>
      <c r="T58" s="429"/>
      <c r="U58" s="441"/>
      <c r="V58" s="442" t="s">
        <v>467</v>
      </c>
      <c r="W58" s="194"/>
      <c r="X58" s="194"/>
      <c r="Y58" s="194"/>
      <c r="Z58" s="194"/>
      <c r="AA58" s="194"/>
      <c r="AB58" s="194"/>
      <c r="AC58" s="438"/>
      <c r="AD58" s="204"/>
      <c r="AE58" s="438"/>
      <c r="AF58" s="204"/>
      <c r="AG58" s="194"/>
      <c r="AH58" s="194"/>
      <c r="AI58" s="194"/>
      <c r="AJ58" s="194"/>
      <c r="AK58" s="194"/>
      <c r="AL58" s="438"/>
      <c r="AM58" s="204"/>
      <c r="AN58" s="438"/>
      <c r="AO58" s="204"/>
      <c r="AP58" s="443"/>
      <c r="AQ58" s="439"/>
      <c r="AS58" s="118"/>
      <c r="AT58" s="118" t="str">
        <f aca="false">IF(V58="","",V58)</f>
        <v>Добавить наименование поставщика</v>
      </c>
      <c r="AU58" s="118"/>
      <c r="AV58" s="118"/>
      <c r="AW58" s="42" t="n">
        <v>11</v>
      </c>
    </row>
    <row r="59" customFormat="false" ht="11.25" hidden="false" customHeight="true" outlineLevel="0" collapsed="false">
      <c r="A59" s="241" t="s">
        <v>189</v>
      </c>
      <c r="B59" s="241" t="s">
        <v>190</v>
      </c>
      <c r="C59" s="241" t="s">
        <v>191</v>
      </c>
      <c r="D59" s="241" t="s">
        <v>192</v>
      </c>
      <c r="E59" s="489"/>
      <c r="F59" s="489"/>
      <c r="G59" s="489"/>
      <c r="H59" s="489"/>
      <c r="I59" s="146"/>
      <c r="J59" s="146"/>
      <c r="K59" s="241"/>
      <c r="L59" s="241"/>
      <c r="M59" s="490"/>
      <c r="Q59" s="121"/>
      <c r="R59" s="121"/>
      <c r="S59" s="121"/>
      <c r="T59" s="429"/>
      <c r="U59" s="441"/>
      <c r="V59" s="444" t="s">
        <v>424</v>
      </c>
      <c r="W59" s="194"/>
      <c r="X59" s="194"/>
      <c r="Y59" s="194"/>
      <c r="Z59" s="194"/>
      <c r="AA59" s="194"/>
      <c r="AB59" s="194"/>
      <c r="AC59" s="531"/>
      <c r="AD59" s="531"/>
      <c r="AE59" s="531"/>
      <c r="AF59" s="531"/>
      <c r="AG59" s="194"/>
      <c r="AH59" s="194"/>
      <c r="AI59" s="194"/>
      <c r="AJ59" s="194"/>
      <c r="AK59" s="194"/>
      <c r="AL59" s="194"/>
      <c r="AM59" s="194"/>
      <c r="AN59" s="194"/>
      <c r="AO59" s="194"/>
      <c r="AP59" s="443"/>
      <c r="AQ59" s="439"/>
      <c r="AS59" s="118"/>
      <c r="AT59" s="118" t="str">
        <f aca="false">IF(V59="","",V59)</f>
        <v>Добавить вид теплоносителя (параметры теплоносителя)</v>
      </c>
      <c r="AU59" s="118"/>
      <c r="AV59" s="118"/>
      <c r="AW59" s="42" t="n">
        <v>11</v>
      </c>
    </row>
    <row r="60" customFormat="false" ht="11.25" hidden="false" customHeight="true" outlineLevel="0" collapsed="false">
      <c r="A60" s="241" t="s">
        <v>189</v>
      </c>
      <c r="B60" s="241" t="s">
        <v>190</v>
      </c>
      <c r="C60" s="241" t="s">
        <v>191</v>
      </c>
      <c r="D60" s="241" t="s">
        <v>192</v>
      </c>
      <c r="E60" s="489"/>
      <c r="F60" s="489"/>
      <c r="G60" s="489"/>
      <c r="H60" s="489"/>
      <c r="I60" s="146"/>
      <c r="J60" s="241"/>
      <c r="K60" s="241"/>
      <c r="L60" s="241"/>
      <c r="M60" s="490"/>
      <c r="Q60" s="121"/>
      <c r="R60" s="121"/>
      <c r="S60" s="121"/>
      <c r="T60" s="429"/>
      <c r="U60" s="441"/>
      <c r="V60" s="448" t="s">
        <v>425</v>
      </c>
      <c r="W60" s="194"/>
      <c r="X60" s="194"/>
      <c r="Y60" s="194"/>
      <c r="Z60" s="194"/>
      <c r="AA60" s="194"/>
      <c r="AB60" s="194"/>
      <c r="AC60" s="194"/>
      <c r="AD60" s="194"/>
      <c r="AE60" s="194"/>
      <c r="AF60" s="445"/>
      <c r="AG60" s="194"/>
      <c r="AH60" s="194"/>
      <c r="AI60" s="194"/>
      <c r="AJ60" s="194"/>
      <c r="AK60" s="194"/>
      <c r="AL60" s="194"/>
      <c r="AM60" s="194"/>
      <c r="AN60" s="194"/>
      <c r="AO60" s="445"/>
      <c r="AP60" s="194"/>
      <c r="AQ60" s="446"/>
      <c r="AS60" s="118"/>
      <c r="AT60" s="118" t="str">
        <f aca="false">IF(V60="","",V60)</f>
        <v>Добавить группу потребителей</v>
      </c>
      <c r="AU60" s="118"/>
      <c r="AV60" s="118"/>
      <c r="AW60" s="42" t="n">
        <v>11</v>
      </c>
    </row>
    <row r="61" customFormat="false" ht="12.8" hidden="false" customHeight="false" outlineLevel="0" collapsed="false">
      <c r="A61" s="241" t="s">
        <v>189</v>
      </c>
      <c r="B61" s="241" t="s">
        <v>190</v>
      </c>
      <c r="C61" s="241" t="s">
        <v>191</v>
      </c>
      <c r="D61" s="241" t="s">
        <v>192</v>
      </c>
      <c r="E61" s="489"/>
      <c r="F61" s="489"/>
      <c r="G61" s="489"/>
      <c r="H61" s="489"/>
      <c r="I61" s="241"/>
      <c r="J61" s="241"/>
      <c r="K61" s="241"/>
      <c r="L61" s="241"/>
      <c r="M61" s="490"/>
      <c r="N61" s="75"/>
      <c r="O61" s="75"/>
      <c r="P61" s="42"/>
      <c r="Q61" s="132"/>
      <c r="R61" s="447"/>
      <c r="S61" s="415"/>
      <c r="T61" s="132"/>
      <c r="U61" s="502"/>
      <c r="V61" s="503"/>
      <c r="W61" s="504"/>
      <c r="X61" s="504"/>
      <c r="Y61" s="504"/>
      <c r="Z61" s="504"/>
      <c r="AA61" s="504"/>
      <c r="AB61" s="504"/>
      <c r="AC61" s="504"/>
      <c r="AD61" s="504"/>
      <c r="AE61" s="504"/>
      <c r="AF61" s="504"/>
      <c r="AG61" s="504"/>
      <c r="AH61" s="504"/>
      <c r="AI61" s="504"/>
      <c r="AJ61" s="504"/>
      <c r="AK61" s="504"/>
      <c r="AL61" s="504"/>
      <c r="AM61" s="504"/>
      <c r="AN61" s="504"/>
      <c r="AO61" s="504"/>
      <c r="AP61" s="504"/>
      <c r="AQ61" s="505"/>
      <c r="AS61" s="118"/>
      <c r="AT61" s="118" t="str">
        <f aca="false">IF(V61="","",V61)</f>
        <v/>
      </c>
      <c r="AU61" s="118"/>
      <c r="AV61" s="118"/>
      <c r="AW61" s="42" t="n">
        <v>0</v>
      </c>
    </row>
    <row r="62" s="47" customFormat="true" ht="12.8" hidden="false" customHeight="false" outlineLevel="0" collapsed="false">
      <c r="A62" s="491" t="s">
        <v>189</v>
      </c>
      <c r="B62" s="491" t="s">
        <v>190</v>
      </c>
      <c r="C62" s="491" t="s">
        <v>191</v>
      </c>
      <c r="D62" s="491"/>
      <c r="E62" s="489"/>
      <c r="F62" s="489"/>
      <c r="G62" s="489"/>
      <c r="H62" s="491"/>
      <c r="I62" s="491"/>
      <c r="J62" s="491"/>
      <c r="K62" s="491"/>
      <c r="L62" s="491"/>
      <c r="M62" s="492"/>
      <c r="N62" s="493"/>
      <c r="O62" s="493"/>
      <c r="P62" s="120"/>
      <c r="Q62" s="156"/>
      <c r="R62" s="449"/>
      <c r="S62" s="156"/>
      <c r="T62" s="156"/>
      <c r="U62" s="454"/>
      <c r="V62" s="457" t="s">
        <v>427</v>
      </c>
      <c r="W62" s="456"/>
      <c r="X62" s="456"/>
      <c r="Y62" s="456"/>
      <c r="Z62" s="456"/>
      <c r="AA62" s="456"/>
      <c r="AB62" s="456"/>
      <c r="AC62" s="456"/>
      <c r="AD62" s="456"/>
      <c r="AE62" s="456"/>
      <c r="AF62" s="456"/>
      <c r="AG62" s="456"/>
      <c r="AH62" s="456"/>
      <c r="AI62" s="456"/>
      <c r="AJ62" s="456"/>
      <c r="AK62" s="456"/>
      <c r="AL62" s="456"/>
      <c r="AM62" s="456"/>
      <c r="AN62" s="456"/>
      <c r="AO62" s="456"/>
      <c r="AP62" s="456"/>
      <c r="AQ62" s="456"/>
      <c r="AS62" s="118"/>
      <c r="AT62" s="118" t="str">
        <f aca="false">IF(V62="","",V62)</f>
        <v>Добавить источник для дифференциации</v>
      </c>
      <c r="AU62" s="118"/>
      <c r="AV62" s="118"/>
      <c r="AW62" s="47" t="n">
        <v>0</v>
      </c>
    </row>
    <row r="63" s="47" customFormat="true" ht="12.8" hidden="false" customHeight="false" outlineLevel="0" collapsed="false">
      <c r="A63" s="491" t="s">
        <v>189</v>
      </c>
      <c r="B63" s="491" t="s">
        <v>190</v>
      </c>
      <c r="C63" s="491"/>
      <c r="D63" s="491"/>
      <c r="E63" s="489"/>
      <c r="F63" s="489"/>
      <c r="G63" s="491"/>
      <c r="H63" s="491"/>
      <c r="I63" s="491"/>
      <c r="J63" s="491"/>
      <c r="K63" s="491"/>
      <c r="L63" s="491"/>
      <c r="M63" s="492"/>
      <c r="N63" s="494"/>
      <c r="O63" s="494"/>
      <c r="P63" s="120"/>
      <c r="Q63" s="156"/>
      <c r="R63" s="449"/>
      <c r="S63" s="156"/>
      <c r="T63" s="156"/>
      <c r="U63" s="454"/>
      <c r="V63" s="457" t="s">
        <v>428</v>
      </c>
      <c r="W63" s="456"/>
      <c r="X63" s="456"/>
      <c r="Y63" s="456"/>
      <c r="Z63" s="456"/>
      <c r="AA63" s="456"/>
      <c r="AB63" s="456"/>
      <c r="AC63" s="456"/>
      <c r="AD63" s="456"/>
      <c r="AE63" s="456"/>
      <c r="AF63" s="456"/>
      <c r="AG63" s="456"/>
      <c r="AH63" s="456"/>
      <c r="AI63" s="456"/>
      <c r="AJ63" s="456"/>
      <c r="AK63" s="456"/>
      <c r="AL63" s="456"/>
      <c r="AM63" s="456"/>
      <c r="AN63" s="456"/>
      <c r="AO63" s="456"/>
      <c r="AP63" s="456"/>
      <c r="AQ63" s="456"/>
      <c r="AS63" s="118"/>
      <c r="AT63" s="118" t="str">
        <f aca="false">IF(V63="","",V63)</f>
        <v>Добавить централизованную систему для дифференциации</v>
      </c>
      <c r="AU63" s="118"/>
      <c r="AV63" s="118"/>
      <c r="AW63" s="47" t="n">
        <v>0</v>
      </c>
    </row>
    <row r="64" s="47" customFormat="true" ht="12.8" hidden="false" customHeight="false" outlineLevel="0" collapsed="false">
      <c r="A64" s="491" t="s">
        <v>189</v>
      </c>
      <c r="B64" s="491"/>
      <c r="C64" s="491"/>
      <c r="D64" s="491"/>
      <c r="E64" s="489"/>
      <c r="F64" s="491"/>
      <c r="G64" s="491"/>
      <c r="H64" s="491"/>
      <c r="I64" s="491"/>
      <c r="J64" s="491"/>
      <c r="K64" s="491"/>
      <c r="L64" s="491"/>
      <c r="M64" s="492"/>
      <c r="N64" s="494"/>
      <c r="O64" s="494"/>
      <c r="P64" s="120"/>
      <c r="Q64" s="156"/>
      <c r="R64" s="449"/>
      <c r="S64" s="156"/>
      <c r="T64" s="156"/>
      <c r="U64" s="454"/>
      <c r="V64" s="457" t="s">
        <v>429</v>
      </c>
      <c r="W64" s="456"/>
      <c r="X64" s="456"/>
      <c r="Y64" s="456"/>
      <c r="Z64" s="456"/>
      <c r="AA64" s="456"/>
      <c r="AB64" s="456"/>
      <c r="AC64" s="456"/>
      <c r="AD64" s="456"/>
      <c r="AE64" s="456"/>
      <c r="AF64" s="456"/>
      <c r="AG64" s="456"/>
      <c r="AH64" s="456"/>
      <c r="AI64" s="456"/>
      <c r="AJ64" s="456"/>
      <c r="AK64" s="456"/>
      <c r="AL64" s="456"/>
      <c r="AM64" s="456"/>
      <c r="AN64" s="456"/>
      <c r="AO64" s="456"/>
      <c r="AP64" s="456"/>
      <c r="AQ64" s="456"/>
      <c r="AS64" s="118"/>
      <c r="AT64" s="118" t="str">
        <f aca="false">IF(V64="","",V64)</f>
        <v>Добавить территорию для дифференциации</v>
      </c>
      <c r="AU64" s="118"/>
      <c r="AV64" s="118"/>
      <c r="AW64" s="47" t="n">
        <v>0</v>
      </c>
    </row>
    <row r="65" s="47" customFormat="true" ht="3.75" hidden="false" customHeight="true" outlineLevel="0" collapsed="false">
      <c r="A65" s="491"/>
      <c r="B65" s="491"/>
      <c r="C65" s="491"/>
      <c r="D65" s="491"/>
      <c r="E65" s="491"/>
      <c r="F65" s="491"/>
      <c r="G65" s="491"/>
      <c r="H65" s="491"/>
      <c r="I65" s="491"/>
      <c r="J65" s="491"/>
      <c r="K65" s="491"/>
      <c r="L65" s="491"/>
      <c r="M65" s="492"/>
      <c r="N65" s="494"/>
      <c r="O65" s="494"/>
      <c r="P65" s="120"/>
      <c r="Q65" s="156"/>
      <c r="R65" s="449"/>
      <c r="S65" s="156"/>
      <c r="T65" s="156"/>
      <c r="U65" s="454"/>
      <c r="V65" s="457" t="s">
        <v>461</v>
      </c>
      <c r="W65" s="456"/>
      <c r="X65" s="456"/>
      <c r="Y65" s="456"/>
      <c r="Z65" s="456"/>
      <c r="AA65" s="456"/>
      <c r="AB65" s="456"/>
      <c r="AC65" s="456"/>
      <c r="AD65" s="456"/>
      <c r="AE65" s="456"/>
      <c r="AF65" s="456"/>
      <c r="AG65" s="456"/>
      <c r="AH65" s="456"/>
      <c r="AI65" s="456"/>
      <c r="AJ65" s="456"/>
      <c r="AK65" s="456"/>
      <c r="AL65" s="456"/>
      <c r="AM65" s="456"/>
      <c r="AN65" s="456"/>
      <c r="AO65" s="456"/>
      <c r="AP65" s="456"/>
      <c r="AQ65" s="456"/>
      <c r="AS65" s="118"/>
      <c r="AT65" s="118" t="str">
        <f aca="false">IF(V65="","",V65)</f>
        <v>Добавить наименование тарифа</v>
      </c>
      <c r="AU65" s="118"/>
      <c r="AV65" s="118"/>
      <c r="AW65" s="47" t="n">
        <v>4</v>
      </c>
    </row>
    <row r="66" customFormat="false" ht="11.25" hidden="false" customHeight="true" outlineLevel="0" collapsed="false">
      <c r="N66" s="42"/>
      <c r="O66" s="42"/>
      <c r="P66" s="42"/>
      <c r="Q66" s="42"/>
      <c r="R66" s="42"/>
      <c r="S66" s="42"/>
      <c r="T66" s="42"/>
      <c r="U66" s="42"/>
      <c r="AR66" s="42"/>
      <c r="AS66" s="42"/>
      <c r="AT66" s="42"/>
      <c r="AU66" s="42"/>
      <c r="AV66" s="42"/>
      <c r="AW66" s="42" t="n">
        <v>11</v>
      </c>
    </row>
    <row r="67" customFormat="false" ht="35.25" hidden="false" customHeight="true" outlineLevel="0" collapsed="false">
      <c r="P67" s="42"/>
      <c r="U67" s="409"/>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W67" s="42" t="n">
        <v>34</v>
      </c>
    </row>
    <row r="68" customFormat="false" ht="21" hidden="false" customHeight="true" outlineLevel="0" collapsed="false">
      <c r="P68" s="42"/>
      <c r="V68" s="488"/>
      <c r="W68" s="488"/>
      <c r="X68" s="488"/>
      <c r="Y68" s="488"/>
      <c r="Z68" s="488"/>
      <c r="AA68" s="488"/>
      <c r="AB68" s="488"/>
      <c r="AC68" s="488"/>
      <c r="AD68" s="488"/>
      <c r="AE68" s="488"/>
      <c r="AF68" s="488"/>
      <c r="AG68" s="488"/>
      <c r="AH68" s="488"/>
      <c r="AI68" s="488"/>
      <c r="AJ68" s="488"/>
      <c r="AK68" s="488"/>
      <c r="AL68" s="488"/>
      <c r="AM68" s="488"/>
      <c r="AN68" s="488"/>
      <c r="AO68" s="488"/>
      <c r="AP68" s="488"/>
      <c r="AQ68" s="488"/>
      <c r="AW68" s="42" t="n">
        <v>20</v>
      </c>
    </row>
    <row r="69" customFormat="false" ht="14.25" hidden="false" customHeight="true" outlineLevel="0" collapsed="false">
      <c r="P69" s="42"/>
      <c r="AW69" s="42" t="n">
        <v>14</v>
      </c>
    </row>
    <row r="70" customFormat="false" ht="28.5" hidden="false" customHeight="true" outlineLevel="0" collapsed="false">
      <c r="P70" s="42"/>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W70" s="42" t="n">
        <v>27</v>
      </c>
    </row>
    <row r="71" customFormat="false" ht="18.75" hidden="false" customHeight="true" outlineLevel="0" collapsed="false">
      <c r="P71" s="42"/>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W71" s="42" t="n">
        <v>18</v>
      </c>
    </row>
    <row r="72" customFormat="false" ht="22.5" hidden="true" customHeight="true" outlineLevel="0" collapsed="false">
      <c r="A72" s="42" t="s">
        <v>81</v>
      </c>
      <c r="B72" s="42" t="n">
        <v>0</v>
      </c>
      <c r="C72" s="42" t="n">
        <v>0</v>
      </c>
      <c r="D72" s="42" t="n">
        <v>0</v>
      </c>
      <c r="E72" s="42" t="n">
        <v>0</v>
      </c>
      <c r="F72" s="42" t="n">
        <v>0</v>
      </c>
      <c r="G72" s="42" t="n">
        <v>0</v>
      </c>
      <c r="H72" s="42" t="n">
        <v>0</v>
      </c>
      <c r="I72" s="42" t="n">
        <v>0</v>
      </c>
      <c r="J72" s="42" t="n">
        <v>0</v>
      </c>
      <c r="K72" s="42" t="n">
        <v>0</v>
      </c>
      <c r="L72" s="42" t="n">
        <v>0</v>
      </c>
      <c r="M72" s="43" t="n">
        <v>0</v>
      </c>
      <c r="N72" s="50" t="n">
        <v>0</v>
      </c>
      <c r="O72" s="50" t="n">
        <v>0</v>
      </c>
      <c r="P72" s="50" t="n">
        <v>0</v>
      </c>
      <c r="Q72" s="50" t="n">
        <v>0</v>
      </c>
      <c r="R72" s="411" t="n">
        <v>3</v>
      </c>
      <c r="S72" s="411" t="n">
        <v>3</v>
      </c>
      <c r="T72" s="411" t="n">
        <v>3</v>
      </c>
      <c r="U72" s="75" t="n">
        <v>12</v>
      </c>
      <c r="V72" s="42" t="n">
        <v>31</v>
      </c>
      <c r="W72" s="42" t="n">
        <v>0</v>
      </c>
      <c r="X72" s="42" t="n">
        <v>0</v>
      </c>
      <c r="Y72" s="42" t="n">
        <v>0</v>
      </c>
      <c r="Z72" s="42" t="n">
        <v>0</v>
      </c>
      <c r="AA72" s="42" t="n">
        <v>0</v>
      </c>
      <c r="AB72" s="42" t="n">
        <v>0</v>
      </c>
      <c r="AC72" s="42" t="n">
        <v>0</v>
      </c>
      <c r="AD72" s="42" t="n">
        <v>0</v>
      </c>
      <c r="AE72" s="42" t="n">
        <v>0</v>
      </c>
      <c r="AF72" s="42" t="n">
        <v>0</v>
      </c>
      <c r="AG72" s="42" t="n">
        <v>21</v>
      </c>
      <c r="AH72" s="42" t="n">
        <v>21</v>
      </c>
      <c r="AI72" s="42" t="n">
        <v>21</v>
      </c>
      <c r="AJ72" s="42" t="n">
        <v>21</v>
      </c>
      <c r="AK72" s="42" t="n">
        <v>21</v>
      </c>
      <c r="AL72" s="42" t="n">
        <v>11</v>
      </c>
      <c r="AM72" s="42" t="n">
        <v>3</v>
      </c>
      <c r="AN72" s="42" t="n">
        <v>11</v>
      </c>
      <c r="AO72" s="42" t="n">
        <v>8</v>
      </c>
      <c r="AP72" s="42" t="n">
        <v>4</v>
      </c>
      <c r="AQ72" s="42" t="n">
        <v>115</v>
      </c>
      <c r="AR72" s="47" t="n">
        <v>10</v>
      </c>
      <c r="AS72" s="47" t="n">
        <v>10</v>
      </c>
      <c r="AT72" s="47" t="n">
        <v>10</v>
      </c>
      <c r="AU72" s="47" t="n">
        <v>10</v>
      </c>
      <c r="AV72" s="47" t="n">
        <v>10</v>
      </c>
      <c r="AW72" s="42" t="n">
        <v>23</v>
      </c>
    </row>
  </sheetData>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8 AE8 AL8 AN8 AL19:AL21 AN19:AN21 AC55 AE55 AL55 AN55"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8 AF8 AM8 AO8 AM19:AM21 AO19:AO21 AD55 AF55 AM55 AO55" type="none">
      <formula1>0</formula1>
      <formula2>0</formula2>
    </dataValidation>
    <dataValidation allowBlank="true" errorStyle="stop" operator="between" promptTitle="checkPeriodRange" showDropDown="false" showErrorMessage="false" showInputMessage="false" sqref="AB10:AB11 AK10:AK11 AK22 AB57 AK5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A7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1" width="3"/>
    <col collapsed="false" customWidth="true" hidden="false" outlineLevel="0" max="17" min="17" style="463" width="3"/>
    <col collapsed="false" customWidth="true" hidden="false" outlineLevel="0" max="18" min="18" style="411" width="3"/>
    <col collapsed="false" customWidth="true" hidden="false" outlineLevel="0" max="19" min="19" style="75" width="12"/>
    <col collapsed="false" customWidth="true" hidden="false" outlineLevel="0" max="20" min="20" style="42" width="31"/>
    <col collapsed="false" customWidth="true" hidden="false" outlineLevel="0" max="21" min="21" style="42" width="0.14"/>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5.42"/>
    <col collapsed="false" customWidth="true" hidden="false" outlineLevel="0" max="30" min="29" style="42" width="3"/>
    <col collapsed="false" customWidth="true" hidden="false" outlineLevel="0" max="31" min="31" style="42" width="24"/>
    <col collapsed="false" customWidth="true" hidden="false" outlineLevel="0" max="32" min="32" style="42" width="3.71"/>
    <col collapsed="false" customWidth="true" hidden="false" outlineLevel="0" max="34" min="33" style="42" width="3"/>
    <col collapsed="false" customWidth="true" hidden="false" outlineLevel="0" max="35" min="35" style="42" width="24"/>
    <col collapsed="false" customWidth="true" hidden="false" outlineLevel="0" max="36" min="36" style="42" width="3.71"/>
    <col collapsed="false" customWidth="true" hidden="false" outlineLevel="0" max="38" min="37" style="42" width="3"/>
    <col collapsed="false" customWidth="true" hidden="false" outlineLevel="0" max="39" min="39" style="42" width="18"/>
    <col collapsed="false" customWidth="true" hidden="false" outlineLevel="0" max="41" min="40" style="42" width="21"/>
    <col collapsed="false" customWidth="true" hidden="false" outlineLevel="0" max="42" min="42" style="42" width="11"/>
    <col collapsed="false" customWidth="true" hidden="false" outlineLevel="0" max="43" min="43" style="42" width="3.71"/>
    <col collapsed="false" customWidth="true" hidden="false" outlineLevel="0" max="44" min="44" style="42" width="11"/>
    <col collapsed="false" customWidth="true" hidden="true" outlineLevel="0" max="45" min="45" style="42" width="8.57"/>
    <col collapsed="false" customWidth="true" hidden="false" outlineLevel="0" max="46" min="46" style="42" width="4"/>
    <col collapsed="false" customWidth="true" hidden="false" outlineLevel="0" max="47" min="47" style="42" width="115"/>
    <col collapsed="false" customWidth="true" hidden="false" outlineLevel="0" max="52" min="48" style="47" width="10"/>
    <col collapsed="false" customWidth="false" hidden="true" outlineLevel="0" max="53" min="53" style="42" width="10.57"/>
  </cols>
  <sheetData>
    <row r="1" customFormat="false" ht="22.5" hidden="true" customHeight="true" outlineLevel="0" collapsed="false">
      <c r="BA1" s="42" t="s">
        <v>14</v>
      </c>
    </row>
    <row r="2" customFormat="false" ht="21" hidden="true" customHeight="true" outlineLevel="0" collapsed="false">
      <c r="A2" s="412"/>
      <c r="B2" s="412"/>
      <c r="C2" s="412"/>
      <c r="D2" s="412"/>
      <c r="E2" s="413" t="n">
        <v>1</v>
      </c>
      <c r="F2" s="412"/>
      <c r="G2" s="412"/>
      <c r="H2" s="412"/>
      <c r="I2" s="412"/>
      <c r="J2" s="412"/>
      <c r="K2" s="412"/>
      <c r="L2" s="414"/>
      <c r="M2" s="40"/>
      <c r="N2" s="40"/>
      <c r="O2" s="40"/>
      <c r="Q2" s="54"/>
      <c r="R2" s="415"/>
      <c r="S2" s="416" t="e">
        <f aca="false">INDEX(PT_DIFFERENTIATION_NUM_NTAR,MATCH(A2,PT_DIFFERENTIATION_NTAR_ID,0))</f>
        <v>#N/A</v>
      </c>
      <c r="T2" s="417" t="s">
        <v>138</v>
      </c>
      <c r="U2" s="418"/>
      <c r="V2" s="532"/>
      <c r="W2" s="532"/>
      <c r="X2" s="532"/>
      <c r="Y2" s="532"/>
      <c r="Z2" s="532"/>
      <c r="AA2" s="532"/>
      <c r="AB2" s="420" t="e">
        <f aca="false">INDEX(PT_DIFFERENTIATION_NTAR,MATCH(A2,PT_DIFFERENTIATION_NTAR_ID,0))</f>
        <v>#N/A</v>
      </c>
      <c r="AC2" s="420"/>
      <c r="AD2" s="420"/>
      <c r="AE2" s="420"/>
      <c r="AF2" s="420"/>
      <c r="AG2" s="420"/>
      <c r="AH2" s="420"/>
      <c r="AI2" s="420"/>
      <c r="AJ2" s="420"/>
      <c r="AK2" s="420"/>
      <c r="AL2" s="420"/>
      <c r="AM2" s="420"/>
      <c r="AN2" s="420"/>
      <c r="AO2" s="420"/>
      <c r="AP2" s="420"/>
      <c r="AQ2" s="420"/>
      <c r="AR2" s="420"/>
      <c r="AS2" s="420"/>
      <c r="AT2" s="420"/>
      <c r="AU2" s="421" t="s">
        <v>409</v>
      </c>
      <c r="AW2" s="118"/>
      <c r="AX2" s="118" t="str">
        <f aca="false">IF(T2="","",T2)</f>
        <v>Наименование тарифа</v>
      </c>
      <c r="AY2" s="118"/>
      <c r="AZ2" s="118"/>
      <c r="BA2" s="42" t="n">
        <v>0</v>
      </c>
    </row>
    <row r="3" customFormat="false" ht="21" hidden="true" customHeight="true" outlineLevel="0" collapsed="false">
      <c r="A3" s="412"/>
      <c r="B3" s="412"/>
      <c r="C3" s="412"/>
      <c r="D3" s="412"/>
      <c r="E3" s="413"/>
      <c r="F3" s="413" t="n">
        <v>1</v>
      </c>
      <c r="G3" s="412"/>
      <c r="H3" s="412"/>
      <c r="I3" s="412"/>
      <c r="J3" s="412"/>
      <c r="K3" s="412"/>
      <c r="L3" s="414"/>
      <c r="M3" s="40"/>
      <c r="N3" s="40"/>
      <c r="O3" s="40"/>
      <c r="P3" s="44"/>
      <c r="Q3" s="533"/>
      <c r="R3" s="423"/>
      <c r="S3" s="416" t="e">
        <f aca="false">INDEX(PT_DIFFERENTIATION_NUM_TER,MATCH(B3,PT_DIFFERENTIATION_TER_ID,0))</f>
        <v>#N/A</v>
      </c>
      <c r="T3" s="424" t="s">
        <v>410</v>
      </c>
      <c r="U3" s="418"/>
      <c r="V3" s="532"/>
      <c r="W3" s="532"/>
      <c r="X3" s="532"/>
      <c r="Y3" s="532"/>
      <c r="Z3" s="532"/>
      <c r="AA3" s="532"/>
      <c r="AB3" s="420" t="e">
        <f aca="false">INDEX(PT_DIFFERENTIATION_TER,MATCH(B3,PT_DIFFERENTIATION_TER_ID,0))</f>
        <v>#N/A</v>
      </c>
      <c r="AC3" s="420"/>
      <c r="AD3" s="420"/>
      <c r="AE3" s="420"/>
      <c r="AF3" s="420"/>
      <c r="AG3" s="420"/>
      <c r="AH3" s="420"/>
      <c r="AI3" s="420"/>
      <c r="AJ3" s="420"/>
      <c r="AK3" s="420"/>
      <c r="AL3" s="420"/>
      <c r="AM3" s="420"/>
      <c r="AN3" s="420"/>
      <c r="AO3" s="420"/>
      <c r="AP3" s="420"/>
      <c r="AQ3" s="420"/>
      <c r="AR3" s="420"/>
      <c r="AS3" s="420"/>
      <c r="AT3" s="420"/>
      <c r="AU3" s="421" t="s">
        <v>411</v>
      </c>
      <c r="AW3" s="118"/>
      <c r="AX3" s="118" t="str">
        <f aca="false">IF(T3="","",T3)</f>
        <v>Территория действия тарифа</v>
      </c>
      <c r="AY3" s="118"/>
      <c r="AZ3" s="118"/>
      <c r="BA3" s="42" t="n">
        <v>0</v>
      </c>
    </row>
    <row r="4" customFormat="false" ht="22.5" hidden="true" customHeight="true" outlineLevel="0" collapsed="false">
      <c r="A4" s="412"/>
      <c r="B4" s="412"/>
      <c r="C4" s="412"/>
      <c r="D4" s="412"/>
      <c r="E4" s="413"/>
      <c r="F4" s="413"/>
      <c r="G4" s="413" t="n">
        <v>1</v>
      </c>
      <c r="H4" s="412"/>
      <c r="I4" s="412"/>
      <c r="J4" s="412"/>
      <c r="K4" s="412"/>
      <c r="L4" s="414"/>
      <c r="M4" s="40"/>
      <c r="N4" s="40"/>
      <c r="O4" s="40"/>
      <c r="P4" s="127"/>
      <c r="Q4" s="533"/>
      <c r="R4" s="423"/>
      <c r="S4" s="416" t="e">
        <f aca="false">INDEX(PT_DIFFERENTIATION_NUM_CS,MATCH(C4,PT_DIFFERENTIATION_CS_ID,0))</f>
        <v>#N/A</v>
      </c>
      <c r="T4" s="426" t="s">
        <v>412</v>
      </c>
      <c r="U4" s="418"/>
      <c r="V4" s="532"/>
      <c r="W4" s="532"/>
      <c r="X4" s="532"/>
      <c r="Y4" s="532"/>
      <c r="Z4" s="532"/>
      <c r="AA4" s="532"/>
      <c r="AB4" s="420" t="e">
        <f aca="false">INDEX(PT_DIFFERENTIATION_CS,MATCH(C4,PT_DIFFERENTIATION_CS_ID,0))</f>
        <v>#N/A</v>
      </c>
      <c r="AC4" s="420"/>
      <c r="AD4" s="420"/>
      <c r="AE4" s="420"/>
      <c r="AF4" s="420"/>
      <c r="AG4" s="420"/>
      <c r="AH4" s="420"/>
      <c r="AI4" s="420"/>
      <c r="AJ4" s="420"/>
      <c r="AK4" s="420"/>
      <c r="AL4" s="420"/>
      <c r="AM4" s="420"/>
      <c r="AN4" s="420"/>
      <c r="AO4" s="420"/>
      <c r="AP4" s="420"/>
      <c r="AQ4" s="420"/>
      <c r="AR4" s="420"/>
      <c r="AS4" s="420"/>
      <c r="AT4" s="420"/>
      <c r="AU4" s="421" t="s">
        <v>413</v>
      </c>
      <c r="AW4" s="118"/>
      <c r="AX4" s="118" t="str">
        <f aca="false">IF(T4="","",T4)</f>
        <v>Наименование системы теплоснабжения</v>
      </c>
      <c r="AY4" s="118"/>
      <c r="AZ4" s="118"/>
      <c r="BA4" s="42" t="n">
        <v>0</v>
      </c>
    </row>
    <row r="5" customFormat="false" ht="21" hidden="true" customHeight="true" outlineLevel="0" collapsed="false">
      <c r="A5" s="412"/>
      <c r="B5" s="412"/>
      <c r="C5" s="412"/>
      <c r="D5" s="412"/>
      <c r="E5" s="413"/>
      <c r="F5" s="413"/>
      <c r="G5" s="413"/>
      <c r="H5" s="413" t="n">
        <v>1</v>
      </c>
      <c r="I5" s="412"/>
      <c r="J5" s="412"/>
      <c r="K5" s="412"/>
      <c r="L5" s="414"/>
      <c r="M5" s="40"/>
      <c r="N5" s="40"/>
      <c r="O5" s="40"/>
      <c r="P5" s="127"/>
      <c r="Q5" s="533"/>
      <c r="R5" s="423"/>
      <c r="S5" s="416" t="e">
        <f aca="false">INDEX(PT_DIFFERENTIATION_NUM_IST_TE,MATCH(D5,PT_DIFFERENTIATION_IST_TE_ID,0))</f>
        <v>#N/A</v>
      </c>
      <c r="T5" s="427" t="s">
        <v>414</v>
      </c>
      <c r="U5" s="418"/>
      <c r="V5" s="532"/>
      <c r="W5" s="532"/>
      <c r="X5" s="532"/>
      <c r="Y5" s="532"/>
      <c r="Z5" s="532"/>
      <c r="AA5" s="532"/>
      <c r="AB5" s="420" t="e">
        <f aca="false">INDEX(PT_DIFFERENTIATION_IST_TE,MATCH(D5,PT_DIFFERENTIATION_IST_TE_ID,0))</f>
        <v>#N/A</v>
      </c>
      <c r="AC5" s="420"/>
      <c r="AD5" s="420"/>
      <c r="AE5" s="420"/>
      <c r="AF5" s="420"/>
      <c r="AG5" s="420"/>
      <c r="AH5" s="420"/>
      <c r="AI5" s="420"/>
      <c r="AJ5" s="420"/>
      <c r="AK5" s="420"/>
      <c r="AL5" s="420"/>
      <c r="AM5" s="420"/>
      <c r="AN5" s="420"/>
      <c r="AO5" s="420"/>
      <c r="AP5" s="420"/>
      <c r="AQ5" s="420"/>
      <c r="AR5" s="420"/>
      <c r="AS5" s="420"/>
      <c r="AT5" s="420"/>
      <c r="AU5" s="421" t="s">
        <v>415</v>
      </c>
      <c r="AW5" s="118"/>
      <c r="AX5" s="118" t="str">
        <f aca="false">IF(T5="","",T5)</f>
        <v>Источник тепловой энергии</v>
      </c>
      <c r="AY5" s="118"/>
      <c r="AZ5" s="118"/>
      <c r="BA5" s="42" t="n">
        <v>0</v>
      </c>
    </row>
    <row r="6" s="47" customFormat="true" ht="0.75" hidden="true" customHeight="true" outlineLevel="0" collapsed="false">
      <c r="A6" s="122"/>
      <c r="B6" s="122"/>
      <c r="C6" s="122"/>
      <c r="D6" s="122"/>
      <c r="E6" s="413"/>
      <c r="F6" s="413"/>
      <c r="G6" s="413"/>
      <c r="H6" s="413"/>
      <c r="I6" s="428" t="e">
        <f aca="false">S5&amp;".1"</f>
        <v>#N/A</v>
      </c>
      <c r="J6" s="122"/>
      <c r="K6" s="122"/>
      <c r="L6" s="192" t="s">
        <v>416</v>
      </c>
      <c r="M6" s="506"/>
      <c r="N6" s="506"/>
      <c r="O6" s="506"/>
      <c r="P6" s="121" t="n">
        <v>1</v>
      </c>
      <c r="Q6" s="121"/>
      <c r="R6" s="429"/>
      <c r="S6" s="301"/>
      <c r="T6" s="498"/>
      <c r="U6" s="499"/>
      <c r="V6" s="534"/>
      <c r="W6" s="534"/>
      <c r="X6" s="534"/>
      <c r="Y6" s="534"/>
      <c r="Z6" s="534"/>
      <c r="AA6" s="534"/>
      <c r="AB6" s="500"/>
      <c r="AC6" s="500"/>
      <c r="AD6" s="500"/>
      <c r="AE6" s="500"/>
      <c r="AF6" s="500"/>
      <c r="AG6" s="500"/>
      <c r="AH6" s="500"/>
      <c r="AI6" s="500"/>
      <c r="AJ6" s="500"/>
      <c r="AK6" s="500"/>
      <c r="AL6" s="500"/>
      <c r="AM6" s="500"/>
      <c r="AN6" s="500"/>
      <c r="AO6" s="500"/>
      <c r="AP6" s="500"/>
      <c r="AQ6" s="500"/>
      <c r="AR6" s="500"/>
      <c r="AS6" s="500"/>
      <c r="AT6" s="500"/>
      <c r="AU6" s="501"/>
      <c r="AW6" s="118"/>
      <c r="AX6" s="118" t="str">
        <f aca="false">IF(T6="","",T6)</f>
        <v/>
      </c>
      <c r="AY6" s="118"/>
      <c r="AZ6" s="118"/>
      <c r="BA6" s="47" t="n">
        <v>0</v>
      </c>
    </row>
    <row r="7" s="47" customFormat="true" ht="0.75" hidden="true" customHeight="true" outlineLevel="0" collapsed="false">
      <c r="A7" s="122"/>
      <c r="B7" s="122"/>
      <c r="C7" s="122"/>
      <c r="D7" s="122"/>
      <c r="E7" s="413"/>
      <c r="F7" s="413"/>
      <c r="G7" s="413"/>
      <c r="H7" s="413"/>
      <c r="I7" s="428"/>
      <c r="J7" s="428" t="e">
        <f aca="false">S5&amp;".1"</f>
        <v>#N/A</v>
      </c>
      <c r="K7" s="122"/>
      <c r="L7" s="192"/>
      <c r="M7" s="506"/>
      <c r="N7" s="506"/>
      <c r="O7" s="506"/>
      <c r="P7" s="121"/>
      <c r="Q7" s="121" t="n">
        <v>1</v>
      </c>
      <c r="R7" s="432"/>
      <c r="S7" s="301"/>
      <c r="T7" s="535"/>
      <c r="U7" s="499"/>
      <c r="V7" s="534"/>
      <c r="W7" s="534"/>
      <c r="X7" s="534"/>
      <c r="Y7" s="534"/>
      <c r="Z7" s="534"/>
      <c r="AA7" s="534"/>
      <c r="AB7" s="500"/>
      <c r="AC7" s="500"/>
      <c r="AD7" s="500"/>
      <c r="AE7" s="500"/>
      <c r="AF7" s="500"/>
      <c r="AG7" s="500"/>
      <c r="AH7" s="500"/>
      <c r="AI7" s="500"/>
      <c r="AJ7" s="500"/>
      <c r="AK7" s="500"/>
      <c r="AL7" s="500"/>
      <c r="AM7" s="500"/>
      <c r="AN7" s="500"/>
      <c r="AO7" s="500"/>
      <c r="AP7" s="500"/>
      <c r="AQ7" s="500"/>
      <c r="AR7" s="500"/>
      <c r="AS7" s="500"/>
      <c r="AT7" s="500"/>
      <c r="AU7" s="501"/>
      <c r="AW7" s="118"/>
      <c r="AX7" s="118" t="str">
        <f aca="false">IF(T7="","",T7)</f>
        <v/>
      </c>
      <c r="AY7" s="118"/>
      <c r="AZ7" s="118"/>
      <c r="BA7" s="47" t="n">
        <v>0</v>
      </c>
    </row>
    <row r="8" customFormat="false" ht="21" hidden="true" customHeight="true" outlineLevel="0" collapsed="false">
      <c r="A8" s="412"/>
      <c r="B8" s="412"/>
      <c r="C8" s="412"/>
      <c r="D8" s="412"/>
      <c r="E8" s="413"/>
      <c r="F8" s="413"/>
      <c r="G8" s="413"/>
      <c r="H8" s="413"/>
      <c r="I8" s="428"/>
      <c r="J8" s="428"/>
      <c r="K8" s="428" t="e">
        <f aca="false">S5&amp;".1"</f>
        <v>#N/A</v>
      </c>
      <c r="L8" s="414"/>
      <c r="P8" s="121"/>
      <c r="Q8" s="121"/>
      <c r="R8" s="536" t="n">
        <v>1</v>
      </c>
      <c r="S8" s="416" t="e">
        <f aca="false">$K8</f>
        <v>#N/A</v>
      </c>
      <c r="T8" s="537"/>
      <c r="U8" s="418"/>
      <c r="V8" s="435"/>
      <c r="W8" s="437"/>
      <c r="X8" s="438"/>
      <c r="Y8" s="204" t="s">
        <v>61</v>
      </c>
      <c r="Z8" s="438"/>
      <c r="AA8" s="204" t="s">
        <v>61</v>
      </c>
      <c r="AB8" s="204" t="s">
        <v>19</v>
      </c>
      <c r="AC8" s="538"/>
      <c r="AD8" s="297" t="n">
        <v>1</v>
      </c>
      <c r="AE8" s="76"/>
      <c r="AF8" s="204" t="s">
        <v>19</v>
      </c>
      <c r="AG8" s="538"/>
      <c r="AH8" s="297" t="n">
        <v>1</v>
      </c>
      <c r="AI8" s="76"/>
      <c r="AJ8" s="204" t="s">
        <v>19</v>
      </c>
      <c r="AK8" s="539"/>
      <c r="AL8" s="297" t="n">
        <v>1</v>
      </c>
      <c r="AM8" s="104"/>
      <c r="AN8" s="435"/>
      <c r="AO8" s="437"/>
      <c r="AP8" s="438"/>
      <c r="AQ8" s="204" t="s">
        <v>61</v>
      </c>
      <c r="AR8" s="438"/>
      <c r="AS8" s="204" t="s">
        <v>61</v>
      </c>
      <c r="AT8" s="486"/>
      <c r="AU8" s="439" t="s">
        <v>477</v>
      </c>
      <c r="AV8" s="47" t="e">
        <f aca="false">strcheckdate(V11:AT11)</f>
        <v>#NAME?</v>
      </c>
      <c r="AW8" s="118"/>
      <c r="AX8" s="118" t="str">
        <f aca="false">IF(T8="","",T8)</f>
        <v/>
      </c>
      <c r="AY8" s="118"/>
      <c r="AZ8" s="118"/>
      <c r="BA8" s="42" t="n">
        <v>0</v>
      </c>
    </row>
    <row r="9" customFormat="false" ht="11.25" hidden="true" customHeight="true" outlineLevel="0" collapsed="false">
      <c r="A9" s="412"/>
      <c r="B9" s="412"/>
      <c r="C9" s="412"/>
      <c r="D9" s="412"/>
      <c r="E9" s="413"/>
      <c r="F9" s="413"/>
      <c r="G9" s="413"/>
      <c r="H9" s="413"/>
      <c r="I9" s="428"/>
      <c r="J9" s="428"/>
      <c r="K9" s="428"/>
      <c r="L9" s="414"/>
      <c r="P9" s="121"/>
      <c r="Q9" s="121"/>
      <c r="R9" s="536"/>
      <c r="S9" s="416"/>
      <c r="T9" s="537"/>
      <c r="U9" s="418"/>
      <c r="V9" s="528"/>
      <c r="W9" s="540"/>
      <c r="X9" s="438"/>
      <c r="Y9" s="204"/>
      <c r="Z9" s="438"/>
      <c r="AA9" s="204"/>
      <c r="AB9" s="204"/>
      <c r="AC9" s="538"/>
      <c r="AD9" s="297"/>
      <c r="AE9" s="76"/>
      <c r="AF9" s="204"/>
      <c r="AG9" s="538"/>
      <c r="AH9" s="297"/>
      <c r="AI9" s="76"/>
      <c r="AJ9" s="204"/>
      <c r="AK9" s="541"/>
      <c r="AL9" s="168"/>
      <c r="AM9" s="161" t="s">
        <v>478</v>
      </c>
      <c r="AN9" s="528"/>
      <c r="AO9" s="542"/>
      <c r="AP9" s="528"/>
      <c r="AQ9" s="528"/>
      <c r="AR9" s="528"/>
      <c r="AS9" s="528"/>
      <c r="AT9" s="543"/>
      <c r="AU9" s="439"/>
      <c r="AW9" s="118"/>
      <c r="AX9" s="118"/>
      <c r="AY9" s="118"/>
      <c r="AZ9" s="118"/>
      <c r="BA9" s="42" t="n">
        <v>0</v>
      </c>
    </row>
    <row r="10" customFormat="false" ht="11.25" hidden="true" customHeight="true" outlineLevel="0" collapsed="false">
      <c r="A10" s="412"/>
      <c r="B10" s="412"/>
      <c r="C10" s="412"/>
      <c r="D10" s="412"/>
      <c r="E10" s="413"/>
      <c r="F10" s="413"/>
      <c r="G10" s="413"/>
      <c r="H10" s="413"/>
      <c r="I10" s="428"/>
      <c r="J10" s="428"/>
      <c r="K10" s="428"/>
      <c r="L10" s="414"/>
      <c r="P10" s="121"/>
      <c r="Q10" s="121"/>
      <c r="R10" s="536"/>
      <c r="S10" s="416"/>
      <c r="T10" s="537"/>
      <c r="U10" s="418"/>
      <c r="V10" s="528"/>
      <c r="W10" s="540"/>
      <c r="X10" s="438"/>
      <c r="Y10" s="204"/>
      <c r="Z10" s="438"/>
      <c r="AA10" s="204"/>
      <c r="AB10" s="204"/>
      <c r="AC10" s="538"/>
      <c r="AD10" s="297"/>
      <c r="AE10" s="76"/>
      <c r="AF10" s="204"/>
      <c r="AG10" s="544"/>
      <c r="AH10" s="161"/>
      <c r="AI10" s="161" t="s">
        <v>479</v>
      </c>
      <c r="AJ10" s="528"/>
      <c r="AK10" s="528"/>
      <c r="AL10" s="528"/>
      <c r="AM10" s="528"/>
      <c r="AN10" s="528"/>
      <c r="AO10" s="542"/>
      <c r="AP10" s="528"/>
      <c r="AQ10" s="528"/>
      <c r="AR10" s="528"/>
      <c r="AS10" s="528"/>
      <c r="AT10" s="543"/>
      <c r="AU10" s="439"/>
      <c r="AW10" s="118"/>
      <c r="AX10" s="118"/>
      <c r="AY10" s="118"/>
      <c r="AZ10" s="118"/>
      <c r="BA10" s="42" t="n">
        <v>0</v>
      </c>
    </row>
    <row r="11" customFormat="false" ht="11.25" hidden="true" customHeight="true" outlineLevel="0" collapsed="false">
      <c r="A11" s="412"/>
      <c r="B11" s="412"/>
      <c r="C11" s="412"/>
      <c r="D11" s="412"/>
      <c r="E11" s="413"/>
      <c r="F11" s="413"/>
      <c r="G11" s="413"/>
      <c r="H11" s="413"/>
      <c r="I11" s="428"/>
      <c r="J11" s="428"/>
      <c r="K11" s="428"/>
      <c r="L11" s="414"/>
      <c r="P11" s="121"/>
      <c r="Q11" s="121"/>
      <c r="R11" s="536"/>
      <c r="S11" s="416"/>
      <c r="T11" s="537"/>
      <c r="U11" s="418"/>
      <c r="V11" s="528"/>
      <c r="W11" s="545" t="str">
        <f aca="false">X8&amp;"-"&amp;Z8</f>
        <v>-</v>
      </c>
      <c r="X11" s="438"/>
      <c r="Y11" s="204"/>
      <c r="Z11" s="438"/>
      <c r="AA11" s="204"/>
      <c r="AB11" s="204"/>
      <c r="AC11" s="546"/>
      <c r="AD11" s="547"/>
      <c r="AE11" s="161" t="s">
        <v>480</v>
      </c>
      <c r="AF11" s="528"/>
      <c r="AG11" s="528"/>
      <c r="AH11" s="528"/>
      <c r="AI11" s="528"/>
      <c r="AJ11" s="528"/>
      <c r="AK11" s="528"/>
      <c r="AL11" s="528"/>
      <c r="AM11" s="528"/>
      <c r="AN11" s="528"/>
      <c r="AO11" s="529" t="str">
        <f aca="false">AP8&amp;"-"&amp;AR8</f>
        <v>-</v>
      </c>
      <c r="AP11" s="528"/>
      <c r="AQ11" s="528"/>
      <c r="AR11" s="528"/>
      <c r="AS11" s="528"/>
      <c r="AT11" s="487"/>
      <c r="AU11" s="439"/>
      <c r="AW11" s="118"/>
      <c r="AX11" s="118" t="str">
        <f aca="false">IF(T11="","",T11)</f>
        <v/>
      </c>
      <c r="AY11" s="118"/>
      <c r="AZ11" s="118"/>
      <c r="BA11" s="42" t="n">
        <v>0</v>
      </c>
    </row>
    <row r="12" customFormat="false" ht="11.25" hidden="true" customHeight="true" outlineLevel="0" collapsed="false">
      <c r="A12" s="412"/>
      <c r="B12" s="412"/>
      <c r="C12" s="412"/>
      <c r="D12" s="412"/>
      <c r="E12" s="413"/>
      <c r="F12" s="413"/>
      <c r="G12" s="413"/>
      <c r="H12" s="413"/>
      <c r="I12" s="428"/>
      <c r="J12" s="428"/>
      <c r="K12" s="412"/>
      <c r="L12" s="414"/>
      <c r="P12" s="121"/>
      <c r="Q12" s="121"/>
      <c r="R12" s="429"/>
      <c r="S12" s="441"/>
      <c r="T12" s="444" t="s">
        <v>481</v>
      </c>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443"/>
      <c r="AU12" s="439"/>
      <c r="AW12" s="118"/>
      <c r="AX12" s="118" t="str">
        <f aca="false">IF(T12="","",T12)</f>
        <v>Добавить строку</v>
      </c>
      <c r="AY12" s="118"/>
      <c r="AZ12" s="118"/>
      <c r="BA12" s="42" t="n">
        <v>0</v>
      </c>
    </row>
    <row r="13" s="47" customFormat="true" ht="0.75" hidden="true" customHeight="true" outlineLevel="0" collapsed="false">
      <c r="A13" s="122"/>
      <c r="B13" s="122"/>
      <c r="C13" s="122"/>
      <c r="D13" s="122"/>
      <c r="E13" s="413"/>
      <c r="F13" s="413"/>
      <c r="G13" s="413"/>
      <c r="H13" s="413"/>
      <c r="I13" s="428"/>
      <c r="J13" s="122"/>
      <c r="K13" s="122"/>
      <c r="L13" s="192"/>
      <c r="M13" s="506"/>
      <c r="N13" s="506"/>
      <c r="O13" s="506"/>
      <c r="P13" s="121"/>
      <c r="Q13" s="121"/>
      <c r="R13" s="429"/>
      <c r="S13" s="502"/>
      <c r="T13" s="503"/>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5"/>
      <c r="AW13" s="118"/>
      <c r="AX13" s="118" t="str">
        <f aca="false">IF(T13="","",T13)</f>
        <v/>
      </c>
      <c r="AY13" s="118"/>
      <c r="AZ13" s="118"/>
      <c r="BA13" s="47" t="n">
        <v>0</v>
      </c>
    </row>
    <row r="14" s="47" customFormat="true" ht="0.75" hidden="true" customHeight="true" outlineLevel="0" collapsed="false">
      <c r="A14" s="122"/>
      <c r="B14" s="122"/>
      <c r="C14" s="122"/>
      <c r="D14" s="122"/>
      <c r="E14" s="413"/>
      <c r="F14" s="413"/>
      <c r="G14" s="413"/>
      <c r="H14" s="413"/>
      <c r="I14" s="122"/>
      <c r="J14" s="122"/>
      <c r="K14" s="122"/>
      <c r="L14" s="192"/>
      <c r="M14" s="46"/>
      <c r="N14" s="46"/>
      <c r="P14" s="156"/>
      <c r="Q14" s="449"/>
      <c r="R14" s="548"/>
      <c r="S14" s="502"/>
      <c r="T14" s="503"/>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5"/>
      <c r="AW14" s="118"/>
      <c r="AX14" s="118" t="str">
        <f aca="false">IF(T14="","",T14)</f>
        <v/>
      </c>
      <c r="AY14" s="118"/>
      <c r="AZ14" s="118"/>
      <c r="BA14" s="47" t="n">
        <v>0</v>
      </c>
    </row>
    <row r="15" s="47" customFormat="true" ht="0.75" hidden="true" customHeight="true" outlineLevel="0" collapsed="false">
      <c r="A15" s="122"/>
      <c r="B15" s="122"/>
      <c r="C15" s="122"/>
      <c r="D15" s="122"/>
      <c r="E15" s="413"/>
      <c r="F15" s="413"/>
      <c r="G15" s="413"/>
      <c r="H15" s="122"/>
      <c r="I15" s="122"/>
      <c r="J15" s="122"/>
      <c r="K15" s="122"/>
      <c r="L15" s="192"/>
      <c r="M15" s="46"/>
      <c r="N15" s="46"/>
      <c r="P15" s="156"/>
      <c r="Q15" s="449"/>
      <c r="R15" s="156"/>
      <c r="S15" s="454"/>
      <c r="T15" s="457" t="s">
        <v>427</v>
      </c>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W15" s="118"/>
      <c r="AX15" s="118" t="str">
        <f aca="false">IF(T15="","",T15)</f>
        <v>Добавить источник для дифференциации</v>
      </c>
      <c r="AY15" s="118"/>
      <c r="AZ15" s="118"/>
      <c r="BA15" s="47" t="n">
        <v>0</v>
      </c>
    </row>
    <row r="16" s="47" customFormat="true" ht="0.75" hidden="true" customHeight="true" outlineLevel="0" collapsed="false">
      <c r="A16" s="122"/>
      <c r="B16" s="122"/>
      <c r="C16" s="122"/>
      <c r="D16" s="122"/>
      <c r="E16" s="413"/>
      <c r="F16" s="413"/>
      <c r="G16" s="122"/>
      <c r="H16" s="122"/>
      <c r="I16" s="122"/>
      <c r="J16" s="122"/>
      <c r="K16" s="122"/>
      <c r="L16" s="192"/>
      <c r="M16" s="453"/>
      <c r="N16" s="453"/>
      <c r="P16" s="156"/>
      <c r="Q16" s="449"/>
      <c r="R16" s="156"/>
      <c r="S16" s="454"/>
      <c r="T16" s="457" t="s">
        <v>428</v>
      </c>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6"/>
      <c r="AR16" s="456"/>
      <c r="AS16" s="456"/>
      <c r="AT16" s="456"/>
      <c r="AU16" s="456"/>
      <c r="AW16" s="118"/>
      <c r="AX16" s="118" t="str">
        <f aca="false">IF(T16="","",T16)</f>
        <v>Добавить централизованную систему для дифференциации</v>
      </c>
      <c r="AY16" s="118"/>
      <c r="AZ16" s="118"/>
      <c r="BA16" s="47" t="n">
        <v>0</v>
      </c>
    </row>
    <row r="17" s="47" customFormat="true" ht="0.75" hidden="true" customHeight="true" outlineLevel="0" collapsed="false">
      <c r="A17" s="122"/>
      <c r="B17" s="122"/>
      <c r="C17" s="122"/>
      <c r="D17" s="122"/>
      <c r="E17" s="413"/>
      <c r="F17" s="122"/>
      <c r="G17" s="122"/>
      <c r="H17" s="122"/>
      <c r="I17" s="122"/>
      <c r="J17" s="122"/>
      <c r="K17" s="122"/>
      <c r="L17" s="192"/>
      <c r="M17" s="453"/>
      <c r="N17" s="453"/>
      <c r="P17" s="156"/>
      <c r="Q17" s="449"/>
      <c r="R17" s="156"/>
      <c r="S17" s="454"/>
      <c r="T17" s="457" t="s">
        <v>429</v>
      </c>
      <c r="U17" s="456"/>
      <c r="V17" s="456"/>
      <c r="W17" s="456"/>
      <c r="X17" s="456"/>
      <c r="Y17" s="456"/>
      <c r="Z17" s="456"/>
      <c r="AA17" s="456"/>
      <c r="AB17" s="456"/>
      <c r="AC17" s="456"/>
      <c r="AD17" s="456"/>
      <c r="AE17" s="456"/>
      <c r="AF17" s="456"/>
      <c r="AG17" s="456"/>
      <c r="AH17" s="456"/>
      <c r="AI17" s="456"/>
      <c r="AJ17" s="456"/>
      <c r="AK17" s="456"/>
      <c r="AL17" s="456"/>
      <c r="AM17" s="456"/>
      <c r="AN17" s="456"/>
      <c r="AO17" s="456"/>
      <c r="AP17" s="456"/>
      <c r="AQ17" s="456"/>
      <c r="AR17" s="456"/>
      <c r="AS17" s="456"/>
      <c r="AT17" s="456"/>
      <c r="AU17" s="456"/>
      <c r="AW17" s="118"/>
      <c r="AX17" s="118" t="str">
        <f aca="false">IF(T17="","",T17)</f>
        <v>Добавить территорию для дифференциации</v>
      </c>
      <c r="AY17" s="118"/>
      <c r="AZ17" s="118"/>
      <c r="BA17" s="47" t="n">
        <v>0</v>
      </c>
    </row>
    <row r="18" customFormat="false" ht="14.25" hidden="true" customHeight="true" outlineLevel="0" collapsed="false">
      <c r="BA18" s="42" t="n">
        <v>0</v>
      </c>
    </row>
    <row r="19" customFormat="false" ht="14.25" hidden="true" customHeight="true" outlineLevel="0" collapsed="false">
      <c r="AB19" s="456" t="s">
        <v>19</v>
      </c>
      <c r="AC19" s="549"/>
      <c r="AD19" s="456" t="n">
        <v>1</v>
      </c>
      <c r="AE19" s="550"/>
      <c r="AF19" s="456" t="s">
        <v>19</v>
      </c>
      <c r="AG19" s="549"/>
      <c r="AH19" s="456" t="n">
        <v>1</v>
      </c>
      <c r="AI19" s="550"/>
      <c r="AJ19" s="456" t="s">
        <v>19</v>
      </c>
      <c r="AK19" s="551"/>
      <c r="AL19" s="456" t="n">
        <v>1</v>
      </c>
      <c r="AM19" s="552"/>
      <c r="AN19" s="553"/>
      <c r="AO19" s="554"/>
      <c r="AP19" s="555"/>
      <c r="AQ19" s="556" t="s">
        <v>61</v>
      </c>
      <c r="AR19" s="555"/>
      <c r="AS19" s="556" t="s">
        <v>61</v>
      </c>
      <c r="BA19" s="42" t="n">
        <v>0</v>
      </c>
    </row>
    <row r="20" customFormat="false" ht="14.25" hidden="true" customHeight="true" outlineLevel="0" collapsed="false">
      <c r="AV20" s="120"/>
      <c r="AW20" s="120"/>
      <c r="AX20" s="120"/>
      <c r="AY20" s="120"/>
      <c r="AZ20" s="120"/>
      <c r="BA20" s="42" t="n">
        <v>0</v>
      </c>
    </row>
    <row r="21" customFormat="false" ht="14.25" hidden="true" customHeight="true" outlineLevel="0" collapsed="false">
      <c r="O21" s="462" t="s">
        <v>430</v>
      </c>
      <c r="X21" s="495"/>
      <c r="Z21" s="495"/>
      <c r="AP21" s="495"/>
      <c r="AR21" s="495"/>
      <c r="AV21" s="120"/>
      <c r="AW21" s="120"/>
      <c r="AX21" s="120"/>
      <c r="AY21" s="120"/>
      <c r="AZ21" s="120"/>
      <c r="BA21" s="42" t="n">
        <v>0</v>
      </c>
    </row>
    <row r="22" customFormat="false" ht="14.25" hidden="true" customHeight="true" outlineLevel="0" collapsed="false">
      <c r="AV22" s="120"/>
      <c r="AW22" s="120"/>
      <c r="AX22" s="120"/>
      <c r="AY22" s="120"/>
      <c r="AZ22" s="120"/>
      <c r="BA22" s="42" t="n">
        <v>0</v>
      </c>
    </row>
    <row r="23" s="557" customFormat="true" ht="14.25" hidden="true" customHeight="true" outlineLevel="0" collapsed="false">
      <c r="M23" s="558"/>
      <c r="N23" s="558"/>
      <c r="O23" s="557" t="s">
        <v>431</v>
      </c>
      <c r="P23" s="558"/>
      <c r="Q23" s="559"/>
      <c r="R23" s="559"/>
      <c r="Y23" s="557" t="s">
        <v>433</v>
      </c>
      <c r="AA23" s="557" t="s">
        <v>434</v>
      </c>
      <c r="AB23" s="557" t="s">
        <v>482</v>
      </c>
      <c r="AE23" s="557" t="s">
        <v>483</v>
      </c>
      <c r="AF23" s="557" t="s">
        <v>482</v>
      </c>
      <c r="AI23" s="557" t="s">
        <v>484</v>
      </c>
      <c r="AJ23" s="557" t="s">
        <v>482</v>
      </c>
      <c r="AM23" s="557" t="s">
        <v>485</v>
      </c>
      <c r="AQ23" s="557" t="s">
        <v>433</v>
      </c>
      <c r="AS23" s="557" t="s">
        <v>434</v>
      </c>
      <c r="AV23" s="560"/>
      <c r="AW23" s="560"/>
      <c r="AX23" s="560"/>
      <c r="AY23" s="560"/>
      <c r="AZ23" s="560"/>
      <c r="BA23" s="557" t="n">
        <v>0</v>
      </c>
    </row>
    <row r="24" customFormat="false" ht="14.25" hidden="true" customHeight="true" outlineLevel="0" collapsed="false">
      <c r="O24" s="414"/>
      <c r="AV24" s="120"/>
      <c r="AW24" s="120"/>
      <c r="AX24" s="120"/>
      <c r="AY24" s="120"/>
      <c r="AZ24" s="120"/>
      <c r="BA24" s="42" t="n">
        <v>0</v>
      </c>
    </row>
    <row r="25" customFormat="false" ht="14.25" hidden="true" customHeight="true" outlineLevel="0" collapsed="false">
      <c r="O25" s="414"/>
      <c r="AV25" s="120"/>
      <c r="AW25" s="120"/>
      <c r="AX25" s="120"/>
      <c r="AY25" s="120"/>
      <c r="AZ25" s="120"/>
      <c r="BA25" s="42" t="n">
        <v>0</v>
      </c>
    </row>
    <row r="26" customFormat="false" ht="14.25" hidden="false" customHeight="true" outlineLevel="0" collapsed="false">
      <c r="Q26" s="561"/>
      <c r="R26" s="464"/>
      <c r="S26" s="465"/>
      <c r="T26" s="80"/>
      <c r="U26" s="80"/>
      <c r="BA26" s="42" t="n">
        <v>14</v>
      </c>
    </row>
    <row r="27" customFormat="false" ht="27" hidden="false" customHeight="true" outlineLevel="0" collapsed="false">
      <c r="Q27" s="561"/>
      <c r="R27" s="464"/>
      <c r="S27" s="220"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2"/>
      <c r="BA27" s="42" t="n">
        <v>26</v>
      </c>
    </row>
    <row r="28" customFormat="false" ht="14.25" hidden="false" customHeight="true" outlineLevel="0" collapsed="false">
      <c r="Q28" s="561"/>
      <c r="R28" s="464"/>
      <c r="S28" s="261" t="str">
        <f aca="false">IF(org=0,"Не определено",org)</f>
        <v>ООО "Газпром теплоэнерго Ярославль"</v>
      </c>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22"/>
      <c r="BA28" s="42" t="n">
        <v>14</v>
      </c>
    </row>
    <row r="29" customFormat="false" ht="14.25" hidden="true" customHeight="true" outlineLevel="0" collapsed="false">
      <c r="Q29" s="561"/>
      <c r="R29" s="464"/>
      <c r="S29" s="465"/>
      <c r="T29" s="80"/>
      <c r="U29" s="80"/>
      <c r="V29" s="466"/>
      <c r="W29" s="466"/>
      <c r="X29" s="466"/>
      <c r="Y29" s="466"/>
      <c r="Z29" s="466"/>
      <c r="AA29" s="466"/>
      <c r="AB29" s="466"/>
      <c r="AC29" s="466"/>
      <c r="AD29" s="466"/>
      <c r="AE29" s="466"/>
      <c r="AF29" s="466"/>
      <c r="AG29" s="466"/>
      <c r="AH29" s="466"/>
      <c r="AI29" s="466"/>
      <c r="AJ29" s="466"/>
      <c r="AK29" s="466"/>
      <c r="AL29" s="466"/>
      <c r="AM29" s="466"/>
      <c r="AN29" s="466"/>
      <c r="AO29" s="466"/>
      <c r="AP29" s="466"/>
      <c r="AQ29" s="466"/>
      <c r="AR29" s="466"/>
      <c r="AS29" s="466"/>
      <c r="BA29" s="42" t="n">
        <v>0</v>
      </c>
    </row>
    <row r="30" s="175" customFormat="true" ht="25.5" hidden="true" customHeight="true" outlineLevel="0" collapsed="false">
      <c r="A30" s="140"/>
      <c r="B30" s="140"/>
      <c r="C30" s="140"/>
      <c r="D30" s="140"/>
      <c r="E30" s="140"/>
      <c r="F30" s="140"/>
      <c r="G30" s="140"/>
      <c r="H30" s="140"/>
      <c r="I30" s="140"/>
      <c r="J30" s="140"/>
      <c r="K30" s="140"/>
      <c r="L30" s="414"/>
      <c r="M30" s="140"/>
      <c r="N30" s="140"/>
      <c r="O30" s="140"/>
      <c r="P30" s="140"/>
      <c r="Q30" s="140"/>
      <c r="S30" s="467" t="s">
        <v>40</v>
      </c>
      <c r="T30" s="467"/>
      <c r="U30" s="468"/>
      <c r="V30" s="469" t="str">
        <f aca="false">IF(TITLE_NAME_OR_PR_CHANGE="",IF(TITLE_NAME_OR_PR="","",TITLE_NAME_OR_PR),TITLE_NAME_OR_PR_CHANGE)</f>
        <v/>
      </c>
      <c r="W30" s="469"/>
      <c r="X30" s="469"/>
      <c r="Y30" s="469"/>
      <c r="Z30" s="469"/>
      <c r="AA30" s="42"/>
      <c r="AB30" s="469" t="str">
        <f aca="false">IF(TITLE_NAME_OR_PR_CHANGE="",IF(TITLE_NAME_OR_PR="","",TITLE_NAME_OR_PR),TITLE_NAME_OR_PR_CHANGE)</f>
        <v/>
      </c>
      <c r="AC30" s="469"/>
      <c r="AD30" s="469"/>
      <c r="AE30" s="469"/>
      <c r="AF30" s="469"/>
      <c r="AG30" s="469"/>
      <c r="AH30" s="469"/>
      <c r="AI30" s="469"/>
      <c r="AJ30" s="469"/>
      <c r="AK30" s="469"/>
      <c r="AL30" s="469"/>
      <c r="AM30" s="469"/>
      <c r="AN30" s="469"/>
      <c r="AO30" s="469"/>
      <c r="AP30" s="469"/>
      <c r="AQ30" s="469"/>
      <c r="AR30" s="469"/>
      <c r="AS30" s="42"/>
      <c r="AT30" s="42"/>
      <c r="AU30" s="470"/>
      <c r="AV30" s="118"/>
      <c r="AW30" s="118"/>
      <c r="AX30" s="118"/>
      <c r="AY30" s="118"/>
      <c r="AZ30" s="118"/>
      <c r="BA30" s="175" t="n">
        <v>0</v>
      </c>
    </row>
    <row r="31" s="175" customFormat="true" ht="18.75" hidden="true" customHeight="true" outlineLevel="0" collapsed="false">
      <c r="A31" s="140"/>
      <c r="B31" s="140"/>
      <c r="C31" s="140"/>
      <c r="D31" s="140"/>
      <c r="E31" s="140"/>
      <c r="F31" s="140"/>
      <c r="G31" s="140"/>
      <c r="H31" s="140"/>
      <c r="I31" s="140"/>
      <c r="J31" s="140"/>
      <c r="K31" s="140"/>
      <c r="L31" s="414"/>
      <c r="M31" s="140"/>
      <c r="N31" s="140"/>
      <c r="O31" s="140"/>
      <c r="P31" s="140"/>
      <c r="Q31" s="140"/>
      <c r="S31" s="467" t="s">
        <v>436</v>
      </c>
      <c r="T31" s="467"/>
      <c r="U31" s="468"/>
      <c r="V31" s="471" t="str">
        <f aca="false">IF(TITLE_DATE_PR_CHANGE="",IF(TITLE_DATE_PR="","",TITLE_DATE_PR),TITLE_DATE_PR_CHANGE)</f>
        <v/>
      </c>
      <c r="W31" s="471"/>
      <c r="X31" s="471"/>
      <c r="Y31" s="471"/>
      <c r="Z31" s="471"/>
      <c r="AA31" s="42"/>
      <c r="AB31" s="471" t="str">
        <f aca="false">IF(TITLE_DATE_PR_CHANGE="",IF(TITLE_DATE_PR="","",TITLE_DATE_PR),TITLE_DATE_PR_CHANGE)</f>
        <v/>
      </c>
      <c r="AC31" s="471"/>
      <c r="AD31" s="471"/>
      <c r="AE31" s="471"/>
      <c r="AF31" s="471"/>
      <c r="AG31" s="471"/>
      <c r="AH31" s="471"/>
      <c r="AI31" s="471"/>
      <c r="AJ31" s="471"/>
      <c r="AK31" s="471"/>
      <c r="AL31" s="471"/>
      <c r="AM31" s="471"/>
      <c r="AN31" s="471"/>
      <c r="AO31" s="471"/>
      <c r="AP31" s="471"/>
      <c r="AQ31" s="471"/>
      <c r="AR31" s="471"/>
      <c r="AS31" s="42"/>
      <c r="AT31" s="42"/>
      <c r="AU31" s="470"/>
      <c r="AV31" s="118"/>
      <c r="AW31" s="118"/>
      <c r="AX31" s="118"/>
      <c r="AY31" s="118"/>
      <c r="AZ31" s="118"/>
      <c r="BA31" s="175" t="n">
        <v>0</v>
      </c>
    </row>
    <row r="32" s="175" customFormat="true" ht="18.75" hidden="true" customHeight="true" outlineLevel="0" collapsed="false">
      <c r="A32" s="140"/>
      <c r="B32" s="140"/>
      <c r="C32" s="140"/>
      <c r="D32" s="140"/>
      <c r="E32" s="140"/>
      <c r="F32" s="140"/>
      <c r="G32" s="140"/>
      <c r="H32" s="140"/>
      <c r="I32" s="140"/>
      <c r="J32" s="140"/>
      <c r="K32" s="140"/>
      <c r="L32" s="414"/>
      <c r="M32" s="140"/>
      <c r="N32" s="140"/>
      <c r="O32" s="140"/>
      <c r="P32" s="140"/>
      <c r="Q32" s="140"/>
      <c r="S32" s="467" t="s">
        <v>437</v>
      </c>
      <c r="T32" s="467"/>
      <c r="U32" s="468"/>
      <c r="V32" s="469" t="str">
        <f aca="false">IF(TITLE_NUMBER_PR_CHANGE="",IF(TITLE_NUMBER_PR="","",TITLE_NUMBER_PR),TITLE_NUMBER_PR_CHANGE)</f>
        <v/>
      </c>
      <c r="W32" s="469"/>
      <c r="X32" s="469"/>
      <c r="Y32" s="469"/>
      <c r="Z32" s="469"/>
      <c r="AA32" s="42"/>
      <c r="AB32" s="469" t="str">
        <f aca="false">IF(TITLE_NUMBER_PR_CHANGE="",IF(TITLE_NUMBER_PR="","",TITLE_NUMBER_PR),TITLE_NUMBER_PR_CHANGE)</f>
        <v/>
      </c>
      <c r="AC32" s="469"/>
      <c r="AD32" s="469"/>
      <c r="AE32" s="469"/>
      <c r="AF32" s="469"/>
      <c r="AG32" s="469"/>
      <c r="AH32" s="469"/>
      <c r="AI32" s="469"/>
      <c r="AJ32" s="469"/>
      <c r="AK32" s="469"/>
      <c r="AL32" s="469"/>
      <c r="AM32" s="469"/>
      <c r="AN32" s="469"/>
      <c r="AO32" s="469"/>
      <c r="AP32" s="469"/>
      <c r="AQ32" s="469"/>
      <c r="AR32" s="469"/>
      <c r="AS32" s="42"/>
      <c r="AT32" s="42"/>
      <c r="AU32" s="470"/>
      <c r="AV32" s="118"/>
      <c r="AW32" s="118"/>
      <c r="AX32" s="118"/>
      <c r="AY32" s="118"/>
      <c r="AZ32" s="118"/>
      <c r="BA32" s="175" t="n">
        <v>0</v>
      </c>
    </row>
    <row r="33" s="175" customFormat="true" ht="18.75" hidden="true" customHeight="true" outlineLevel="0" collapsed="false">
      <c r="A33" s="140"/>
      <c r="B33" s="140"/>
      <c r="C33" s="140"/>
      <c r="D33" s="140"/>
      <c r="E33" s="140"/>
      <c r="F33" s="140"/>
      <c r="G33" s="140"/>
      <c r="H33" s="140"/>
      <c r="I33" s="140"/>
      <c r="J33" s="140"/>
      <c r="K33" s="140"/>
      <c r="L33" s="414"/>
      <c r="M33" s="140"/>
      <c r="N33" s="140"/>
      <c r="O33" s="140"/>
      <c r="P33" s="140"/>
      <c r="Q33" s="140"/>
      <c r="S33" s="467" t="s">
        <v>41</v>
      </c>
      <c r="T33" s="467"/>
      <c r="U33" s="468"/>
      <c r="V33" s="469" t="str">
        <f aca="false">IF(TITLE_IST_PUB_CHANGE="",IF(TITLE_IST_PUB="","",TITLE_IST_PUB),TITLE_IST_PUB_CHANGE)</f>
        <v/>
      </c>
      <c r="W33" s="469"/>
      <c r="X33" s="469"/>
      <c r="Y33" s="469"/>
      <c r="Z33" s="469"/>
      <c r="AA33" s="42"/>
      <c r="AB33" s="469" t="str">
        <f aca="false">IF(TITLE_IST_PUB_CHANGE="",IF(TITLE_IST_PUB="","",TITLE_IST_PUB),TITLE_IST_PUB_CHANGE)</f>
        <v/>
      </c>
      <c r="AC33" s="469"/>
      <c r="AD33" s="469"/>
      <c r="AE33" s="469"/>
      <c r="AF33" s="469"/>
      <c r="AG33" s="469"/>
      <c r="AH33" s="469"/>
      <c r="AI33" s="469"/>
      <c r="AJ33" s="469"/>
      <c r="AK33" s="469"/>
      <c r="AL33" s="469"/>
      <c r="AM33" s="469"/>
      <c r="AN33" s="469"/>
      <c r="AO33" s="469"/>
      <c r="AP33" s="469"/>
      <c r="AQ33" s="469"/>
      <c r="AR33" s="469"/>
      <c r="AS33" s="42"/>
      <c r="AT33" s="42"/>
      <c r="AU33" s="470"/>
      <c r="AV33" s="118"/>
      <c r="AW33" s="118"/>
      <c r="AX33" s="118"/>
      <c r="AY33" s="118"/>
      <c r="AZ33" s="118"/>
      <c r="BA33" s="175" t="n">
        <v>0</v>
      </c>
    </row>
    <row r="34" customFormat="false" ht="14.25" hidden="true" customHeight="true" outlineLevel="0" collapsed="false">
      <c r="Q34" s="561"/>
      <c r="R34" s="464"/>
      <c r="S34" s="465"/>
      <c r="T34" s="80"/>
      <c r="U34" s="80"/>
      <c r="V34" s="466"/>
      <c r="W34" s="466"/>
      <c r="X34" s="466"/>
      <c r="Y34" s="466"/>
      <c r="Z34" s="466"/>
      <c r="AA34" s="466"/>
      <c r="AB34" s="466"/>
      <c r="AC34" s="466"/>
      <c r="AD34" s="466"/>
      <c r="AE34" s="466"/>
      <c r="AF34" s="466"/>
      <c r="AG34" s="466"/>
      <c r="AH34" s="466"/>
      <c r="AI34" s="466"/>
      <c r="AJ34" s="466"/>
      <c r="AK34" s="466"/>
      <c r="AL34" s="466"/>
      <c r="AM34" s="466"/>
      <c r="AN34" s="466"/>
      <c r="AO34" s="466"/>
      <c r="AP34" s="466"/>
      <c r="AQ34" s="466"/>
      <c r="AR34" s="466"/>
      <c r="AS34" s="466"/>
      <c r="BA34" s="42" t="n">
        <v>0</v>
      </c>
    </row>
    <row r="35" s="175" customFormat="true" ht="18.75" hidden="true" customHeight="true" outlineLevel="0" collapsed="false">
      <c r="A35" s="140"/>
      <c r="B35" s="140"/>
      <c r="C35" s="140"/>
      <c r="D35" s="140"/>
      <c r="E35" s="140"/>
      <c r="F35" s="140"/>
      <c r="G35" s="140"/>
      <c r="H35" s="140"/>
      <c r="I35" s="140"/>
      <c r="J35" s="140"/>
      <c r="K35" s="140"/>
      <c r="L35" s="414"/>
      <c r="M35" s="140"/>
      <c r="N35" s="140"/>
      <c r="O35" s="140"/>
      <c r="P35" s="140"/>
      <c r="Q35" s="140"/>
      <c r="S35" s="467" t="s">
        <v>436</v>
      </c>
      <c r="T35" s="467"/>
      <c r="U35" s="468"/>
      <c r="V35" s="471" t="str">
        <f aca="false">IF(TITLE_DATE_PR_CHANGE="",IF(TITLE_DATE_PR="","",TITLE_DATE_PR),TITLE_DATE_PR_CHANGE)</f>
        <v/>
      </c>
      <c r="W35" s="471"/>
      <c r="X35" s="471"/>
      <c r="Y35" s="471"/>
      <c r="Z35" s="471"/>
      <c r="AA35" s="42"/>
      <c r="AB35" s="471" t="str">
        <f aca="false">IF(TITLE_DATE_PR_CHANGE="",IF(TITLE_DATE_PR="","",TITLE_DATE_PR),TITLE_DATE_PR_CHANGE)</f>
        <v/>
      </c>
      <c r="AC35" s="471"/>
      <c r="AD35" s="471"/>
      <c r="AE35" s="471"/>
      <c r="AF35" s="471"/>
      <c r="AG35" s="471"/>
      <c r="AH35" s="471"/>
      <c r="AI35" s="471"/>
      <c r="AJ35" s="471"/>
      <c r="AK35" s="471"/>
      <c r="AL35" s="471"/>
      <c r="AM35" s="471"/>
      <c r="AN35" s="471"/>
      <c r="AO35" s="471"/>
      <c r="AP35" s="471"/>
      <c r="AQ35" s="471"/>
      <c r="AR35" s="471"/>
      <c r="AS35" s="42"/>
      <c r="AT35" s="42"/>
      <c r="AU35" s="470"/>
      <c r="AV35" s="118"/>
      <c r="AW35" s="118"/>
      <c r="AX35" s="118"/>
      <c r="AY35" s="118"/>
      <c r="AZ35" s="118"/>
      <c r="BA35" s="175" t="n">
        <v>0</v>
      </c>
    </row>
    <row r="36" s="175" customFormat="true" ht="18" hidden="true" customHeight="true" outlineLevel="0" collapsed="false">
      <c r="A36" s="140"/>
      <c r="B36" s="140"/>
      <c r="C36" s="140"/>
      <c r="D36" s="140"/>
      <c r="E36" s="140"/>
      <c r="F36" s="140"/>
      <c r="G36" s="140"/>
      <c r="H36" s="140"/>
      <c r="I36" s="140"/>
      <c r="J36" s="140"/>
      <c r="K36" s="140"/>
      <c r="L36" s="414"/>
      <c r="M36" s="140"/>
      <c r="N36" s="140"/>
      <c r="O36" s="140"/>
      <c r="P36" s="140"/>
      <c r="Q36" s="140"/>
      <c r="S36" s="467" t="s">
        <v>437</v>
      </c>
      <c r="T36" s="467"/>
      <c r="U36" s="468"/>
      <c r="V36" s="469" t="str">
        <f aca="false">IF(TITLE_NUMBER_PR_CHANGE="",IF(TITLE_NUMBER_PR="","",TITLE_NUMBER_PR),TITLE_NUMBER_PR_CHANGE)</f>
        <v/>
      </c>
      <c r="W36" s="469"/>
      <c r="X36" s="469"/>
      <c r="Y36" s="469"/>
      <c r="Z36" s="469"/>
      <c r="AA36" s="42"/>
      <c r="AB36" s="469" t="str">
        <f aca="false">IF(TITLE_NUMBER_PR_CHANGE="",IF(TITLE_NUMBER_PR="","",TITLE_NUMBER_PR),TITLE_NUMBER_PR_CHANGE)</f>
        <v/>
      </c>
      <c r="AC36" s="469"/>
      <c r="AD36" s="469"/>
      <c r="AE36" s="469"/>
      <c r="AF36" s="469"/>
      <c r="AG36" s="469"/>
      <c r="AH36" s="469"/>
      <c r="AI36" s="469"/>
      <c r="AJ36" s="469"/>
      <c r="AK36" s="469"/>
      <c r="AL36" s="469"/>
      <c r="AM36" s="469"/>
      <c r="AN36" s="469"/>
      <c r="AO36" s="469"/>
      <c r="AP36" s="469"/>
      <c r="AQ36" s="469"/>
      <c r="AR36" s="469"/>
      <c r="AS36" s="42"/>
      <c r="AT36" s="42"/>
      <c r="AU36" s="470"/>
      <c r="AV36" s="118"/>
      <c r="AW36" s="118"/>
      <c r="AX36" s="118"/>
      <c r="AY36" s="118"/>
      <c r="AZ36" s="118"/>
      <c r="BA36" s="175" t="n">
        <v>0</v>
      </c>
    </row>
    <row r="37" s="175" customFormat="true" ht="0.75" hidden="false" customHeight="true" outlineLevel="0" collapsed="false">
      <c r="A37" s="140"/>
      <c r="B37" s="140"/>
      <c r="C37" s="140"/>
      <c r="D37" s="140"/>
      <c r="E37" s="140"/>
      <c r="F37" s="140"/>
      <c r="G37" s="140"/>
      <c r="H37" s="140"/>
      <c r="I37" s="140"/>
      <c r="J37" s="140"/>
      <c r="K37" s="140"/>
      <c r="L37" s="414"/>
      <c r="M37" s="140"/>
      <c r="N37" s="140"/>
      <c r="O37" s="140"/>
      <c r="P37" s="140"/>
      <c r="Q37" s="140"/>
      <c r="S37" s="42"/>
      <c r="T37" s="42"/>
      <c r="U37" s="128"/>
      <c r="V37" s="42"/>
      <c r="W37" s="42"/>
      <c r="X37" s="42"/>
      <c r="Y37" s="42"/>
      <c r="Z37" s="42"/>
      <c r="AA37" s="47" t="s">
        <v>440</v>
      </c>
      <c r="AB37" s="42"/>
      <c r="AC37" s="42"/>
      <c r="AD37" s="42"/>
      <c r="AE37" s="42"/>
      <c r="AF37" s="42"/>
      <c r="AG37" s="42"/>
      <c r="AH37" s="42"/>
      <c r="AI37" s="42"/>
      <c r="AJ37" s="42"/>
      <c r="AK37" s="42"/>
      <c r="AL37" s="42"/>
      <c r="AM37" s="42"/>
      <c r="AN37" s="42"/>
      <c r="AO37" s="42"/>
      <c r="AP37" s="42"/>
      <c r="AQ37" s="42"/>
      <c r="AR37" s="42"/>
      <c r="AS37" s="47" t="s">
        <v>440</v>
      </c>
      <c r="AV37" s="118"/>
      <c r="AW37" s="118"/>
      <c r="AX37" s="118"/>
      <c r="AY37" s="118"/>
      <c r="AZ37" s="118"/>
      <c r="BA37" s="175" t="n">
        <v>1</v>
      </c>
    </row>
    <row r="38" customFormat="false" ht="14.25" hidden="false" customHeight="true" outlineLevel="0" collapsed="false">
      <c r="Q38" s="561"/>
      <c r="R38" s="464"/>
      <c r="S38" s="465"/>
      <c r="T38" s="80"/>
      <c r="U38" s="472"/>
      <c r="V38" s="473"/>
      <c r="W38" s="473"/>
      <c r="X38" s="473"/>
      <c r="Y38" s="473"/>
      <c r="Z38" s="473"/>
      <c r="AA38" s="473"/>
      <c r="AB38" s="473"/>
      <c r="AC38" s="473"/>
      <c r="AD38" s="473"/>
      <c r="AE38" s="473"/>
      <c r="AF38" s="473"/>
      <c r="AG38" s="473"/>
      <c r="AH38" s="473"/>
      <c r="AI38" s="473"/>
      <c r="AJ38" s="473"/>
      <c r="AK38" s="473"/>
      <c r="AL38" s="473"/>
      <c r="AM38" s="473"/>
      <c r="AN38" s="473"/>
      <c r="AO38" s="473"/>
      <c r="AP38" s="473"/>
      <c r="AQ38" s="473"/>
      <c r="AR38" s="473"/>
      <c r="AS38" s="473"/>
      <c r="BA38" s="42" t="n">
        <v>14</v>
      </c>
    </row>
    <row r="39" customFormat="false" ht="14.25" hidden="false" customHeight="true" outlineLevel="0" collapsed="false">
      <c r="Q39" s="561"/>
      <c r="R39" s="464"/>
      <c r="S39" s="134" t="s">
        <v>313</v>
      </c>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t="s">
        <v>314</v>
      </c>
      <c r="BA39" s="42" t="n">
        <v>14</v>
      </c>
    </row>
    <row r="40" customFormat="false" ht="14.25" hidden="false" customHeight="true" outlineLevel="0" collapsed="false">
      <c r="Q40" s="561"/>
      <c r="R40" s="464"/>
      <c r="S40" s="416" t="s">
        <v>87</v>
      </c>
      <c r="T40" s="391" t="s">
        <v>486</v>
      </c>
      <c r="U40" s="475"/>
      <c r="V40" s="562"/>
      <c r="W40" s="562"/>
      <c r="X40" s="562"/>
      <c r="Y40" s="562"/>
      <c r="Z40" s="562"/>
      <c r="AA40" s="563" t="s">
        <v>443</v>
      </c>
      <c r="AB40" s="296" t="s">
        <v>487</v>
      </c>
      <c r="AC40" s="296"/>
      <c r="AD40" s="296"/>
      <c r="AE40" s="296"/>
      <c r="AF40" s="562" t="s">
        <v>488</v>
      </c>
      <c r="AG40" s="562"/>
      <c r="AH40" s="562"/>
      <c r="AI40" s="562"/>
      <c r="AJ40" s="296" t="s">
        <v>489</v>
      </c>
      <c r="AK40" s="296"/>
      <c r="AL40" s="296"/>
      <c r="AM40" s="296"/>
      <c r="AN40" s="564" t="s">
        <v>442</v>
      </c>
      <c r="AO40" s="564"/>
      <c r="AP40" s="564"/>
      <c r="AQ40" s="564"/>
      <c r="AR40" s="564"/>
      <c r="AS40" s="391" t="s">
        <v>443</v>
      </c>
      <c r="AT40" s="476" t="s">
        <v>445</v>
      </c>
      <c r="AU40" s="134"/>
      <c r="BA40" s="42" t="n">
        <v>14</v>
      </c>
    </row>
    <row r="41" customFormat="false" ht="35.25" hidden="false" customHeight="true" outlineLevel="0" collapsed="false">
      <c r="Q41" s="561"/>
      <c r="R41" s="464"/>
      <c r="S41" s="416"/>
      <c r="T41" s="391"/>
      <c r="U41" s="477"/>
      <c r="V41" s="134" t="s">
        <v>490</v>
      </c>
      <c r="W41" s="134"/>
      <c r="X41" s="134" t="s">
        <v>449</v>
      </c>
      <c r="Y41" s="134"/>
      <c r="Z41" s="134"/>
      <c r="AA41" s="563"/>
      <c r="AB41" s="296"/>
      <c r="AC41" s="296"/>
      <c r="AD41" s="296"/>
      <c r="AE41" s="296"/>
      <c r="AF41" s="562"/>
      <c r="AG41" s="562"/>
      <c r="AH41" s="562"/>
      <c r="AI41" s="562"/>
      <c r="AJ41" s="296"/>
      <c r="AK41" s="296"/>
      <c r="AL41" s="296"/>
      <c r="AM41" s="296"/>
      <c r="AN41" s="134" t="s">
        <v>490</v>
      </c>
      <c r="AO41" s="134"/>
      <c r="AP41" s="209" t="s">
        <v>449</v>
      </c>
      <c r="AQ41" s="209"/>
      <c r="AR41" s="209"/>
      <c r="AS41" s="391"/>
      <c r="AT41" s="476"/>
      <c r="AU41" s="134"/>
      <c r="BA41" s="42" t="n">
        <v>34</v>
      </c>
    </row>
    <row r="42" customFormat="false" ht="14.25" hidden="false" customHeight="true" outlineLevel="0" collapsed="false">
      <c r="Q42" s="561"/>
      <c r="R42" s="464"/>
      <c r="S42" s="416"/>
      <c r="T42" s="391"/>
      <c r="U42" s="477"/>
      <c r="V42" s="565" t="str">
        <f aca="false">IF($AN$42&lt;&gt;"",$AN$42,"")</f>
        <v/>
      </c>
      <c r="W42" s="565"/>
      <c r="X42" s="134"/>
      <c r="Y42" s="134"/>
      <c r="Z42" s="134"/>
      <c r="AA42" s="563"/>
      <c r="AB42" s="296"/>
      <c r="AC42" s="296"/>
      <c r="AD42" s="296"/>
      <c r="AE42" s="296"/>
      <c r="AF42" s="562"/>
      <c r="AG42" s="562"/>
      <c r="AH42" s="562"/>
      <c r="AI42" s="562"/>
      <c r="AJ42" s="296"/>
      <c r="AK42" s="296"/>
      <c r="AL42" s="296"/>
      <c r="AM42" s="296"/>
      <c r="AN42" s="566"/>
      <c r="AO42" s="566"/>
      <c r="AP42" s="209"/>
      <c r="AQ42" s="209"/>
      <c r="AR42" s="209"/>
      <c r="AS42" s="391"/>
      <c r="AT42" s="476"/>
      <c r="AU42" s="134"/>
      <c r="BA42" s="42" t="n">
        <v>14</v>
      </c>
    </row>
    <row r="43" customFormat="false" ht="14.25" hidden="false" customHeight="true" outlineLevel="0" collapsed="false">
      <c r="A43" s="140"/>
      <c r="B43" s="140" t="s">
        <v>150</v>
      </c>
      <c r="C43" s="140" t="s">
        <v>151</v>
      </c>
      <c r="D43" s="140" t="s">
        <v>152</v>
      </c>
      <c r="E43" s="414" t="s">
        <v>450</v>
      </c>
      <c r="F43" s="414" t="s">
        <v>451</v>
      </c>
      <c r="G43" s="414" t="s">
        <v>452</v>
      </c>
      <c r="H43" s="414" t="s">
        <v>453</v>
      </c>
      <c r="I43" s="414" t="s">
        <v>454</v>
      </c>
      <c r="J43" s="414" t="s">
        <v>455</v>
      </c>
      <c r="K43" s="414" t="s">
        <v>456</v>
      </c>
      <c r="L43" s="414" t="s">
        <v>431</v>
      </c>
      <c r="Q43" s="561"/>
      <c r="R43" s="464"/>
      <c r="S43" s="416"/>
      <c r="T43" s="391"/>
      <c r="U43" s="478"/>
      <c r="V43" s="391" t="s">
        <v>491</v>
      </c>
      <c r="W43" s="391" t="s">
        <v>492</v>
      </c>
      <c r="X43" s="185" t="s">
        <v>459</v>
      </c>
      <c r="Y43" s="185" t="s">
        <v>460</v>
      </c>
      <c r="Z43" s="185"/>
      <c r="AA43" s="563"/>
      <c r="AB43" s="296"/>
      <c r="AC43" s="296"/>
      <c r="AD43" s="296"/>
      <c r="AE43" s="296"/>
      <c r="AF43" s="562"/>
      <c r="AG43" s="562"/>
      <c r="AH43" s="562"/>
      <c r="AI43" s="562"/>
      <c r="AJ43" s="296"/>
      <c r="AK43" s="296"/>
      <c r="AL43" s="296"/>
      <c r="AM43" s="296"/>
      <c r="AN43" s="567" t="s">
        <v>491</v>
      </c>
      <c r="AO43" s="567" t="s">
        <v>492</v>
      </c>
      <c r="AP43" s="185" t="s">
        <v>459</v>
      </c>
      <c r="AQ43" s="185" t="s">
        <v>460</v>
      </c>
      <c r="AR43" s="185"/>
      <c r="AS43" s="391"/>
      <c r="AT43" s="476"/>
      <c r="AU43" s="134"/>
      <c r="BA43" s="42" t="n">
        <v>14</v>
      </c>
    </row>
    <row r="44" s="120" customFormat="true" ht="11.25" hidden="true" customHeight="true" outlineLevel="0" collapsed="false">
      <c r="A44" s="140"/>
      <c r="B44" s="140"/>
      <c r="C44" s="140"/>
      <c r="D44" s="140"/>
      <c r="E44" s="140"/>
      <c r="F44" s="140"/>
      <c r="G44" s="140"/>
      <c r="H44" s="140"/>
      <c r="I44" s="140"/>
      <c r="J44" s="140"/>
      <c r="K44" s="140"/>
      <c r="L44" s="414"/>
      <c r="M44" s="51"/>
      <c r="N44" s="51"/>
      <c r="O44" s="51"/>
      <c r="P44" s="506"/>
      <c r="Q44" s="481"/>
      <c r="R44" s="481" t="n">
        <v>1</v>
      </c>
      <c r="S44" s="482" t="s">
        <v>120</v>
      </c>
      <c r="T44" s="483" t="s">
        <v>102</v>
      </c>
      <c r="U44" s="484" t="str">
        <f aca="true">OFFSET(U44,0,-1)</f>
        <v>2</v>
      </c>
      <c r="V44" s="485" t="n">
        <f aca="true">OFFSET(V44,0,-1)+1</f>
        <v>3</v>
      </c>
      <c r="W44" s="485" t="n">
        <f aca="true">OFFSET(W44,0,-1)+1</f>
        <v>4</v>
      </c>
      <c r="X44" s="485" t="n">
        <f aca="true">OFFSET(X44,0,-1)+1</f>
        <v>5</v>
      </c>
      <c r="Y44" s="485" t="n">
        <f aca="true">OFFSET(Y44,0,-1)+1</f>
        <v>6</v>
      </c>
      <c r="Z44" s="485"/>
      <c r="AA44" s="485" t="n">
        <f aca="true">OFFSET(AA44,0,-2)+1</f>
        <v>7</v>
      </c>
      <c r="AB44" s="364" t="n">
        <f aca="true">OFFSET(AB44,0,-1)+1</f>
        <v>8</v>
      </c>
      <c r="AC44" s="364"/>
      <c r="AD44" s="364"/>
      <c r="AE44" s="364"/>
      <c r="AF44" s="485"/>
      <c r="AG44" s="485"/>
      <c r="AH44" s="485"/>
      <c r="AI44" s="485"/>
      <c r="AJ44" s="485"/>
      <c r="AK44" s="485"/>
      <c r="AL44" s="485"/>
      <c r="AM44" s="485"/>
      <c r="AN44" s="485" t="n">
        <f aca="true">OFFSET(AN44,0,-1)+1</f>
        <v>1</v>
      </c>
      <c r="AO44" s="485" t="n">
        <f aca="true">OFFSET(AO44,0,-1)+1</f>
        <v>2</v>
      </c>
      <c r="AP44" s="485" t="n">
        <f aca="true">OFFSET(AP44,0,-1)+1</f>
        <v>3</v>
      </c>
      <c r="AQ44" s="485" t="n">
        <f aca="true">OFFSET(AQ44,0,-1)+1</f>
        <v>4</v>
      </c>
      <c r="AR44" s="485"/>
      <c r="AS44" s="485" t="n">
        <f aca="true">OFFSET(AS44,0,-2)+1</f>
        <v>5</v>
      </c>
      <c r="AT44" s="484" t="n">
        <f aca="true">OFFSET(AT44,0,-1)</f>
        <v>5</v>
      </c>
      <c r="AU44" s="485" t="n">
        <f aca="true">OFFSET(AU44,0,-1)+1</f>
        <v>6</v>
      </c>
      <c r="AV44" s="47"/>
      <c r="AW44" s="47"/>
      <c r="AX44" s="47"/>
      <c r="AY44" s="47"/>
      <c r="AZ44" s="47"/>
      <c r="BA44" s="120" t="n">
        <v>0</v>
      </c>
    </row>
    <row r="45" customFormat="false" ht="107.25" hidden="false" customHeight="true" outlineLevel="0" collapsed="false">
      <c r="A45" s="412" t="s">
        <v>213</v>
      </c>
      <c r="B45" s="412"/>
      <c r="C45" s="412"/>
      <c r="D45" s="412"/>
      <c r="E45" s="413" t="n">
        <v>1</v>
      </c>
      <c r="F45" s="412"/>
      <c r="G45" s="412"/>
      <c r="H45" s="412"/>
      <c r="I45" s="412"/>
      <c r="J45" s="412"/>
      <c r="K45" s="412"/>
      <c r="L45" s="414"/>
      <c r="M45" s="40"/>
      <c r="N45" s="40"/>
      <c r="O45" s="40"/>
      <c r="Q45" s="54"/>
      <c r="R45" s="415"/>
      <c r="S45" s="416" t="n">
        <f aca="false">INDEX(PT_DIFFERENTIATION_NUM_NTAR,MATCH(A45,PT_DIFFERENTIATION_NTAR_ID,0))</f>
        <v>0</v>
      </c>
      <c r="T45" s="417" t="s">
        <v>138</v>
      </c>
      <c r="U45" s="418"/>
      <c r="V45" s="532"/>
      <c r="W45" s="532"/>
      <c r="X45" s="532"/>
      <c r="Y45" s="532"/>
      <c r="Z45" s="532"/>
      <c r="AA45" s="532"/>
      <c r="AB45" s="420" t="str">
        <f aca="false">INDEX(PT_DIFFERENTIATION_NTAR,MATCH(A45,PT_DIFFERENTIATION_NTAR_ID,0))</f>
        <v/>
      </c>
      <c r="AC45" s="420"/>
      <c r="AD45" s="420"/>
      <c r="AE45" s="420"/>
      <c r="AF45" s="420"/>
      <c r="AG45" s="420"/>
      <c r="AH45" s="420"/>
      <c r="AI45" s="420"/>
      <c r="AJ45" s="420"/>
      <c r="AK45" s="420"/>
      <c r="AL45" s="420"/>
      <c r="AM45" s="420"/>
      <c r="AN45" s="420"/>
      <c r="AO45" s="420"/>
      <c r="AP45" s="420"/>
      <c r="AQ45" s="420"/>
      <c r="AR45" s="420"/>
      <c r="AS45" s="420"/>
      <c r="AT45" s="420"/>
      <c r="AU45" s="421"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18"/>
      <c r="AX45" s="118" t="str">
        <f aca="false">IF(T45="","",T45)</f>
        <v>Наименование тарифа</v>
      </c>
      <c r="AY45" s="118"/>
      <c r="AZ45" s="118"/>
      <c r="BA45" s="42" t="n">
        <v>102</v>
      </c>
    </row>
    <row r="46" customFormat="false" ht="21.75" hidden="false" customHeight="true" outlineLevel="0" collapsed="false">
      <c r="A46" s="412" t="s">
        <v>213</v>
      </c>
      <c r="B46" s="412" t="s">
        <v>214</v>
      </c>
      <c r="C46" s="412"/>
      <c r="D46" s="412"/>
      <c r="E46" s="413"/>
      <c r="F46" s="413" t="n">
        <v>1</v>
      </c>
      <c r="G46" s="412"/>
      <c r="H46" s="412"/>
      <c r="I46" s="412"/>
      <c r="J46" s="412"/>
      <c r="K46" s="412"/>
      <c r="L46" s="414"/>
      <c r="M46" s="40"/>
      <c r="N46" s="40"/>
      <c r="O46" s="40"/>
      <c r="P46" s="44"/>
      <c r="Q46" s="533"/>
      <c r="R46" s="423"/>
      <c r="S46" s="416" t="str">
        <f aca="false">INDEX(PT_DIFFERENTIATION_NUM_TER,MATCH(B46,PT_DIFFERENTIATION_TER_ID,0))</f>
        <v>.</v>
      </c>
      <c r="T46" s="424" t="s">
        <v>410</v>
      </c>
      <c r="U46" s="418"/>
      <c r="V46" s="532"/>
      <c r="W46" s="532"/>
      <c r="X46" s="532"/>
      <c r="Y46" s="532"/>
      <c r="Z46" s="532"/>
      <c r="AA46" s="532"/>
      <c r="AB46" s="420" t="str">
        <f aca="false">INDEX(PT_DIFFERENTIATION_TER,MATCH(B46,PT_DIFFERENTIATION_TER_ID,0))</f>
        <v/>
      </c>
      <c r="AC46" s="420"/>
      <c r="AD46" s="420"/>
      <c r="AE46" s="420"/>
      <c r="AF46" s="420"/>
      <c r="AG46" s="420"/>
      <c r="AH46" s="420"/>
      <c r="AI46" s="420"/>
      <c r="AJ46" s="420"/>
      <c r="AK46" s="420"/>
      <c r="AL46" s="420"/>
      <c r="AM46" s="420"/>
      <c r="AN46" s="420"/>
      <c r="AO46" s="420"/>
      <c r="AP46" s="420"/>
      <c r="AQ46" s="420"/>
      <c r="AR46" s="420"/>
      <c r="AS46" s="420"/>
      <c r="AT46" s="420"/>
      <c r="AU46" s="421" t="s">
        <v>411</v>
      </c>
      <c r="AW46" s="118"/>
      <c r="AX46" s="118" t="str">
        <f aca="false">IF(T46="","",T46)</f>
        <v>Территория действия тарифа</v>
      </c>
      <c r="AY46" s="118"/>
      <c r="AZ46" s="118"/>
      <c r="BA46" s="42" t="n">
        <v>21</v>
      </c>
    </row>
    <row r="47" customFormat="false" ht="24" hidden="false" customHeight="true" outlineLevel="0" collapsed="false">
      <c r="A47" s="412" t="s">
        <v>213</v>
      </c>
      <c r="B47" s="412" t="s">
        <v>214</v>
      </c>
      <c r="C47" s="412" t="s">
        <v>215</v>
      </c>
      <c r="D47" s="412"/>
      <c r="E47" s="413"/>
      <c r="F47" s="413"/>
      <c r="G47" s="413" t="n">
        <v>1</v>
      </c>
      <c r="H47" s="412"/>
      <c r="I47" s="412"/>
      <c r="J47" s="412"/>
      <c r="K47" s="412"/>
      <c r="L47" s="414"/>
      <c r="M47" s="40"/>
      <c r="N47" s="40"/>
      <c r="O47" s="40"/>
      <c r="P47" s="127"/>
      <c r="Q47" s="533"/>
      <c r="R47" s="423"/>
      <c r="S47" s="416" t="str">
        <f aca="false">INDEX(PT_DIFFERENTIATION_NUM_CS,MATCH(C47,PT_DIFFERENTIATION_CS_ID,0))</f>
        <v>..</v>
      </c>
      <c r="T47" s="426" t="s">
        <v>412</v>
      </c>
      <c r="U47" s="418"/>
      <c r="V47" s="532"/>
      <c r="W47" s="532"/>
      <c r="X47" s="532"/>
      <c r="Y47" s="532"/>
      <c r="Z47" s="532"/>
      <c r="AA47" s="532"/>
      <c r="AB47" s="420" t="str">
        <f aca="false">INDEX(PT_DIFFERENTIATION_CS,MATCH(C47,PT_DIFFERENTIATION_CS_ID,0))</f>
        <v/>
      </c>
      <c r="AC47" s="420"/>
      <c r="AD47" s="420"/>
      <c r="AE47" s="420"/>
      <c r="AF47" s="420"/>
      <c r="AG47" s="420"/>
      <c r="AH47" s="420"/>
      <c r="AI47" s="420"/>
      <c r="AJ47" s="420"/>
      <c r="AK47" s="420"/>
      <c r="AL47" s="420"/>
      <c r="AM47" s="420"/>
      <c r="AN47" s="420"/>
      <c r="AO47" s="420"/>
      <c r="AP47" s="420"/>
      <c r="AQ47" s="420"/>
      <c r="AR47" s="420"/>
      <c r="AS47" s="420"/>
      <c r="AT47" s="420"/>
      <c r="AU47" s="421" t="s">
        <v>413</v>
      </c>
      <c r="AW47" s="118"/>
      <c r="AX47" s="118" t="str">
        <f aca="false">IF(T47="","",T47)</f>
        <v>Наименование системы теплоснабжения</v>
      </c>
      <c r="AY47" s="118"/>
      <c r="AZ47" s="118"/>
      <c r="BA47" s="42" t="n">
        <v>23</v>
      </c>
    </row>
    <row r="48" customFormat="false" ht="21" hidden="false" customHeight="true" outlineLevel="0" collapsed="false">
      <c r="A48" s="412" t="s">
        <v>213</v>
      </c>
      <c r="B48" s="412" t="s">
        <v>214</v>
      </c>
      <c r="C48" s="412" t="s">
        <v>215</v>
      </c>
      <c r="D48" s="412" t="s">
        <v>216</v>
      </c>
      <c r="E48" s="413"/>
      <c r="F48" s="413"/>
      <c r="G48" s="413"/>
      <c r="H48" s="413" t="n">
        <v>1</v>
      </c>
      <c r="I48" s="412"/>
      <c r="J48" s="412"/>
      <c r="K48" s="412"/>
      <c r="L48" s="414"/>
      <c r="M48" s="40"/>
      <c r="N48" s="40"/>
      <c r="O48" s="40"/>
      <c r="P48" s="127"/>
      <c r="Q48" s="533"/>
      <c r="R48" s="423"/>
      <c r="S48" s="416" t="str">
        <f aca="false">INDEX(PT_DIFFERENTIATION_NUM_IST_TE,MATCH(D48,PT_DIFFERENTIATION_IST_TE_ID,0))</f>
        <v>...</v>
      </c>
      <c r="T48" s="427" t="s">
        <v>414</v>
      </c>
      <c r="U48" s="418"/>
      <c r="V48" s="532"/>
      <c r="W48" s="532"/>
      <c r="X48" s="532"/>
      <c r="Y48" s="532"/>
      <c r="Z48" s="532"/>
      <c r="AA48" s="532"/>
      <c r="AB48" s="420" t="str">
        <f aca="false">INDEX(PT_DIFFERENTIATION_IST_TE,MATCH(D48,PT_DIFFERENTIATION_IST_TE_ID,0))</f>
        <v/>
      </c>
      <c r="AC48" s="420"/>
      <c r="AD48" s="420"/>
      <c r="AE48" s="420"/>
      <c r="AF48" s="420"/>
      <c r="AG48" s="420"/>
      <c r="AH48" s="420"/>
      <c r="AI48" s="420"/>
      <c r="AJ48" s="420"/>
      <c r="AK48" s="420"/>
      <c r="AL48" s="420"/>
      <c r="AM48" s="420"/>
      <c r="AN48" s="420"/>
      <c r="AO48" s="420"/>
      <c r="AP48" s="420"/>
      <c r="AQ48" s="420"/>
      <c r="AR48" s="420"/>
      <c r="AS48" s="420"/>
      <c r="AT48" s="420"/>
      <c r="AU48" s="421" t="s">
        <v>415</v>
      </c>
      <c r="AW48" s="118"/>
      <c r="AX48" s="118" t="str">
        <f aca="false">IF(T48="","",T48)</f>
        <v>Источник тепловой энергии</v>
      </c>
      <c r="AY48" s="118"/>
      <c r="AZ48" s="118"/>
      <c r="BA48" s="42" t="n">
        <v>20</v>
      </c>
    </row>
    <row r="49" s="47" customFormat="true" ht="0.75" hidden="false" customHeight="true" outlineLevel="0" collapsed="false">
      <c r="A49" s="122" t="s">
        <v>213</v>
      </c>
      <c r="B49" s="122" t="s">
        <v>214</v>
      </c>
      <c r="C49" s="122" t="s">
        <v>215</v>
      </c>
      <c r="D49" s="122" t="s">
        <v>216</v>
      </c>
      <c r="E49" s="413"/>
      <c r="F49" s="413"/>
      <c r="G49" s="413"/>
      <c r="H49" s="413"/>
      <c r="I49" s="428" t="str">
        <f aca="false">S48&amp;".1"</f>
        <v>....1</v>
      </c>
      <c r="J49" s="122"/>
      <c r="K49" s="122"/>
      <c r="L49" s="192" t="s">
        <v>416</v>
      </c>
      <c r="M49" s="506"/>
      <c r="N49" s="506"/>
      <c r="O49" s="506"/>
      <c r="P49" s="121" t="n">
        <v>1</v>
      </c>
      <c r="Q49" s="121"/>
      <c r="R49" s="429"/>
      <c r="S49" s="301"/>
      <c r="T49" s="498"/>
      <c r="U49" s="499"/>
      <c r="V49" s="534"/>
      <c r="W49" s="534"/>
      <c r="X49" s="534"/>
      <c r="Y49" s="534"/>
      <c r="Z49" s="534"/>
      <c r="AA49" s="534"/>
      <c r="AB49" s="500"/>
      <c r="AC49" s="500"/>
      <c r="AD49" s="500"/>
      <c r="AE49" s="500"/>
      <c r="AF49" s="500"/>
      <c r="AG49" s="500"/>
      <c r="AH49" s="500"/>
      <c r="AI49" s="500"/>
      <c r="AJ49" s="500"/>
      <c r="AK49" s="500"/>
      <c r="AL49" s="500"/>
      <c r="AM49" s="500"/>
      <c r="AN49" s="500"/>
      <c r="AO49" s="500"/>
      <c r="AP49" s="500"/>
      <c r="AQ49" s="500"/>
      <c r="AR49" s="500"/>
      <c r="AS49" s="500"/>
      <c r="AT49" s="500"/>
      <c r="AU49" s="501"/>
      <c r="AW49" s="118"/>
      <c r="AX49" s="118" t="str">
        <f aca="false">IF(T49="","",T49)</f>
        <v/>
      </c>
      <c r="AY49" s="118"/>
      <c r="AZ49" s="118"/>
      <c r="BA49" s="47" t="n">
        <v>1</v>
      </c>
    </row>
    <row r="50" s="47" customFormat="true" ht="0.75" hidden="false" customHeight="true" outlineLevel="0" collapsed="false">
      <c r="A50" s="122" t="s">
        <v>213</v>
      </c>
      <c r="B50" s="122" t="s">
        <v>214</v>
      </c>
      <c r="C50" s="122" t="s">
        <v>215</v>
      </c>
      <c r="D50" s="122" t="s">
        <v>216</v>
      </c>
      <c r="E50" s="413"/>
      <c r="F50" s="413"/>
      <c r="G50" s="413"/>
      <c r="H50" s="413"/>
      <c r="I50" s="428"/>
      <c r="J50" s="428" t="str">
        <f aca="false">S48&amp;".1"</f>
        <v>....1</v>
      </c>
      <c r="K50" s="122"/>
      <c r="L50" s="192"/>
      <c r="M50" s="506"/>
      <c r="N50" s="506"/>
      <c r="O50" s="506"/>
      <c r="P50" s="121"/>
      <c r="Q50" s="121" t="n">
        <v>1</v>
      </c>
      <c r="R50" s="432"/>
      <c r="S50" s="301"/>
      <c r="T50" s="535"/>
      <c r="U50" s="499"/>
      <c r="V50" s="534"/>
      <c r="W50" s="534"/>
      <c r="X50" s="534"/>
      <c r="Y50" s="534"/>
      <c r="Z50" s="534"/>
      <c r="AA50" s="534"/>
      <c r="AB50" s="500"/>
      <c r="AC50" s="500"/>
      <c r="AD50" s="500"/>
      <c r="AE50" s="500"/>
      <c r="AF50" s="500"/>
      <c r="AG50" s="500"/>
      <c r="AH50" s="500"/>
      <c r="AI50" s="500"/>
      <c r="AJ50" s="500"/>
      <c r="AK50" s="500"/>
      <c r="AL50" s="500"/>
      <c r="AM50" s="500"/>
      <c r="AN50" s="500"/>
      <c r="AO50" s="500"/>
      <c r="AP50" s="500"/>
      <c r="AQ50" s="500"/>
      <c r="AR50" s="500"/>
      <c r="AS50" s="500"/>
      <c r="AT50" s="500"/>
      <c r="AU50" s="501"/>
      <c r="AW50" s="118"/>
      <c r="AX50" s="118" t="str">
        <f aca="false">IF(T50="","",T50)</f>
        <v/>
      </c>
      <c r="AY50" s="118"/>
      <c r="AZ50" s="118"/>
      <c r="BA50" s="47" t="n">
        <v>1</v>
      </c>
    </row>
    <row r="51" customFormat="false" ht="21.75" hidden="false" customHeight="true" outlineLevel="0" collapsed="false">
      <c r="A51" s="412" t="s">
        <v>213</v>
      </c>
      <c r="B51" s="412" t="s">
        <v>214</v>
      </c>
      <c r="C51" s="412" t="s">
        <v>215</v>
      </c>
      <c r="D51" s="412" t="s">
        <v>216</v>
      </c>
      <c r="E51" s="413"/>
      <c r="F51" s="413"/>
      <c r="G51" s="413"/>
      <c r="H51" s="413"/>
      <c r="I51" s="428"/>
      <c r="J51" s="428"/>
      <c r="K51" s="428" t="str">
        <f aca="false">S48&amp;".1"</f>
        <v>....1</v>
      </c>
      <c r="L51" s="414"/>
      <c r="P51" s="121"/>
      <c r="Q51" s="121"/>
      <c r="R51" s="432" t="n">
        <v>1</v>
      </c>
      <c r="S51" s="416" t="str">
        <f aca="false">$K51</f>
        <v>....1</v>
      </c>
      <c r="T51" s="537"/>
      <c r="U51" s="418"/>
      <c r="V51" s="435"/>
      <c r="W51" s="437"/>
      <c r="X51" s="438"/>
      <c r="Y51" s="204" t="s">
        <v>61</v>
      </c>
      <c r="Z51" s="438"/>
      <c r="AA51" s="204" t="s">
        <v>61</v>
      </c>
      <c r="AB51" s="204" t="s">
        <v>19</v>
      </c>
      <c r="AC51" s="538"/>
      <c r="AD51" s="297" t="n">
        <v>1</v>
      </c>
      <c r="AE51" s="90"/>
      <c r="AF51" s="204" t="s">
        <v>19</v>
      </c>
      <c r="AG51" s="538"/>
      <c r="AH51" s="297" t="n">
        <v>1</v>
      </c>
      <c r="AI51" s="90"/>
      <c r="AJ51" s="204" t="s">
        <v>19</v>
      </c>
      <c r="AK51" s="539"/>
      <c r="AL51" s="297" t="n">
        <v>1</v>
      </c>
      <c r="AM51" s="568"/>
      <c r="AN51" s="435"/>
      <c r="AO51" s="437"/>
      <c r="AP51" s="438"/>
      <c r="AQ51" s="204" t="s">
        <v>61</v>
      </c>
      <c r="AR51" s="438"/>
      <c r="AS51" s="204" t="s">
        <v>61</v>
      </c>
      <c r="AT51" s="486"/>
      <c r="AU51" s="439" t="s">
        <v>493</v>
      </c>
      <c r="AV51" s="47" t="e">
        <f aca="false">strcheckdate(V54:AT54)</f>
        <v>#NAME?</v>
      </c>
      <c r="AW51" s="118"/>
      <c r="AX51" s="118" t="str">
        <f aca="false">IF(T51="","",T51)</f>
        <v/>
      </c>
      <c r="AY51" s="118"/>
      <c r="AZ51" s="118"/>
      <c r="BA51" s="42" t="n">
        <v>21</v>
      </c>
    </row>
    <row r="52" customFormat="false" ht="11.25" hidden="false" customHeight="true" outlineLevel="0" collapsed="false">
      <c r="A52" s="412" t="s">
        <v>213</v>
      </c>
      <c r="B52" s="412"/>
      <c r="C52" s="412"/>
      <c r="D52" s="412"/>
      <c r="E52" s="413"/>
      <c r="F52" s="413"/>
      <c r="G52" s="413"/>
      <c r="H52" s="413"/>
      <c r="I52" s="428"/>
      <c r="J52" s="428"/>
      <c r="K52" s="428"/>
      <c r="L52" s="414"/>
      <c r="P52" s="121"/>
      <c r="Q52" s="121"/>
      <c r="R52" s="432"/>
      <c r="S52" s="416"/>
      <c r="T52" s="537"/>
      <c r="U52" s="418"/>
      <c r="V52" s="528"/>
      <c r="W52" s="542"/>
      <c r="X52" s="528"/>
      <c r="Y52" s="528"/>
      <c r="Z52" s="528"/>
      <c r="AA52" s="528"/>
      <c r="AB52" s="204"/>
      <c r="AC52" s="538"/>
      <c r="AD52" s="297"/>
      <c r="AE52" s="90"/>
      <c r="AF52" s="204"/>
      <c r="AG52" s="538"/>
      <c r="AH52" s="297"/>
      <c r="AI52" s="90"/>
      <c r="AJ52" s="204"/>
      <c r="AK52" s="541"/>
      <c r="AL52" s="168"/>
      <c r="AM52" s="161" t="s">
        <v>478</v>
      </c>
      <c r="AN52" s="528"/>
      <c r="AO52" s="542"/>
      <c r="AP52" s="528"/>
      <c r="AQ52" s="528"/>
      <c r="AR52" s="528"/>
      <c r="AS52" s="528"/>
      <c r="AT52" s="543"/>
      <c r="AU52" s="439"/>
      <c r="AW52" s="118"/>
      <c r="AX52" s="118"/>
      <c r="AY52" s="118"/>
      <c r="AZ52" s="118"/>
      <c r="BA52" s="42" t="n">
        <v>11</v>
      </c>
    </row>
    <row r="53" customFormat="false" ht="11.25" hidden="false" customHeight="true" outlineLevel="0" collapsed="false">
      <c r="A53" s="412" t="s">
        <v>213</v>
      </c>
      <c r="B53" s="412"/>
      <c r="C53" s="412"/>
      <c r="D53" s="412"/>
      <c r="E53" s="413"/>
      <c r="F53" s="413"/>
      <c r="G53" s="413"/>
      <c r="H53" s="413"/>
      <c r="I53" s="428"/>
      <c r="J53" s="428"/>
      <c r="K53" s="428"/>
      <c r="L53" s="414"/>
      <c r="P53" s="121"/>
      <c r="Q53" s="121"/>
      <c r="R53" s="432"/>
      <c r="S53" s="416"/>
      <c r="T53" s="537"/>
      <c r="U53" s="418"/>
      <c r="V53" s="528"/>
      <c r="W53" s="542"/>
      <c r="X53" s="528"/>
      <c r="Y53" s="528"/>
      <c r="Z53" s="528"/>
      <c r="AA53" s="528"/>
      <c r="AB53" s="204"/>
      <c r="AC53" s="538"/>
      <c r="AD53" s="297"/>
      <c r="AE53" s="90"/>
      <c r="AF53" s="204"/>
      <c r="AG53" s="544"/>
      <c r="AH53" s="161"/>
      <c r="AI53" s="161" t="s">
        <v>479</v>
      </c>
      <c r="AJ53" s="528"/>
      <c r="AK53" s="528"/>
      <c r="AL53" s="528"/>
      <c r="AM53" s="528"/>
      <c r="AN53" s="528"/>
      <c r="AO53" s="542"/>
      <c r="AP53" s="528"/>
      <c r="AQ53" s="528"/>
      <c r="AR53" s="528"/>
      <c r="AS53" s="528"/>
      <c r="AT53" s="543"/>
      <c r="AU53" s="439"/>
      <c r="AW53" s="118"/>
      <c r="AX53" s="118"/>
      <c r="AY53" s="118"/>
      <c r="AZ53" s="118"/>
      <c r="BA53" s="42" t="n">
        <v>11</v>
      </c>
    </row>
    <row r="54" customFormat="false" ht="11.25" hidden="false" customHeight="true" outlineLevel="0" collapsed="false">
      <c r="A54" s="412" t="s">
        <v>213</v>
      </c>
      <c r="B54" s="412" t="s">
        <v>214</v>
      </c>
      <c r="C54" s="412" t="s">
        <v>215</v>
      </c>
      <c r="D54" s="412" t="s">
        <v>216</v>
      </c>
      <c r="E54" s="413"/>
      <c r="F54" s="413"/>
      <c r="G54" s="413"/>
      <c r="H54" s="413"/>
      <c r="I54" s="428"/>
      <c r="J54" s="428"/>
      <c r="K54" s="428"/>
      <c r="L54" s="414"/>
      <c r="P54" s="121"/>
      <c r="Q54" s="121"/>
      <c r="R54" s="432"/>
      <c r="S54" s="416"/>
      <c r="T54" s="537"/>
      <c r="U54" s="418"/>
      <c r="V54" s="528"/>
      <c r="W54" s="529" t="str">
        <f aca="false">X51&amp;"-"&amp;Z51</f>
        <v>-</v>
      </c>
      <c r="X54" s="528"/>
      <c r="Y54" s="528"/>
      <c r="Z54" s="528"/>
      <c r="AA54" s="528"/>
      <c r="AB54" s="204"/>
      <c r="AC54" s="546"/>
      <c r="AD54" s="547"/>
      <c r="AE54" s="161" t="s">
        <v>480</v>
      </c>
      <c r="AF54" s="528"/>
      <c r="AG54" s="528"/>
      <c r="AH54" s="528"/>
      <c r="AI54" s="528"/>
      <c r="AJ54" s="528"/>
      <c r="AK54" s="528"/>
      <c r="AL54" s="528"/>
      <c r="AM54" s="528"/>
      <c r="AN54" s="528"/>
      <c r="AO54" s="529" t="str">
        <f aca="false">AP51&amp;"-"&amp;AR51</f>
        <v>-</v>
      </c>
      <c r="AP54" s="528"/>
      <c r="AQ54" s="528"/>
      <c r="AR54" s="528"/>
      <c r="AS54" s="528"/>
      <c r="AT54" s="487"/>
      <c r="AU54" s="439"/>
      <c r="AW54" s="118"/>
      <c r="AX54" s="118" t="str">
        <f aca="false">IF(T54="","",T54)</f>
        <v/>
      </c>
      <c r="AY54" s="118"/>
      <c r="AZ54" s="118"/>
      <c r="BA54" s="42" t="n">
        <v>11</v>
      </c>
    </row>
    <row r="55" customFormat="false" ht="11.25" hidden="false" customHeight="true" outlineLevel="0" collapsed="false">
      <c r="A55" s="412" t="s">
        <v>213</v>
      </c>
      <c r="B55" s="412" t="s">
        <v>214</v>
      </c>
      <c r="C55" s="412" t="s">
        <v>215</v>
      </c>
      <c r="D55" s="412" t="s">
        <v>216</v>
      </c>
      <c r="E55" s="413"/>
      <c r="F55" s="413"/>
      <c r="G55" s="413"/>
      <c r="H55" s="413"/>
      <c r="I55" s="428"/>
      <c r="J55" s="428"/>
      <c r="K55" s="412"/>
      <c r="L55" s="414"/>
      <c r="P55" s="121"/>
      <c r="Q55" s="121"/>
      <c r="R55" s="429"/>
      <c r="S55" s="441"/>
      <c r="T55" s="444" t="s">
        <v>481</v>
      </c>
      <c r="U55" s="194"/>
      <c r="V55" s="194"/>
      <c r="W55" s="194"/>
      <c r="X55" s="194"/>
      <c r="Y55" s="194"/>
      <c r="Z55" s="194"/>
      <c r="AA55" s="443"/>
      <c r="AB55" s="569"/>
      <c r="AC55" s="194"/>
      <c r="AD55" s="194"/>
      <c r="AE55" s="194"/>
      <c r="AF55" s="194"/>
      <c r="AG55" s="194"/>
      <c r="AH55" s="194"/>
      <c r="AI55" s="194"/>
      <c r="AJ55" s="194"/>
      <c r="AK55" s="194"/>
      <c r="AL55" s="194"/>
      <c r="AM55" s="194"/>
      <c r="AN55" s="194"/>
      <c r="AO55" s="194"/>
      <c r="AP55" s="194"/>
      <c r="AQ55" s="194"/>
      <c r="AR55" s="194"/>
      <c r="AS55" s="194"/>
      <c r="AT55" s="443"/>
      <c r="AU55" s="439"/>
      <c r="AW55" s="118"/>
      <c r="AX55" s="118" t="str">
        <f aca="false">IF(T55="","",T55)</f>
        <v>Добавить строку</v>
      </c>
      <c r="AY55" s="118"/>
      <c r="AZ55" s="118"/>
      <c r="BA55" s="42" t="n">
        <v>11</v>
      </c>
    </row>
    <row r="56" s="47" customFormat="true" ht="0.75" hidden="false" customHeight="true" outlineLevel="0" collapsed="false">
      <c r="A56" s="122" t="s">
        <v>213</v>
      </c>
      <c r="B56" s="122" t="s">
        <v>214</v>
      </c>
      <c r="C56" s="122" t="s">
        <v>215</v>
      </c>
      <c r="D56" s="122" t="s">
        <v>216</v>
      </c>
      <c r="E56" s="413"/>
      <c r="F56" s="413"/>
      <c r="G56" s="413"/>
      <c r="H56" s="413"/>
      <c r="I56" s="428"/>
      <c r="J56" s="122"/>
      <c r="K56" s="122"/>
      <c r="L56" s="192"/>
      <c r="M56" s="506"/>
      <c r="N56" s="506"/>
      <c r="O56" s="506"/>
      <c r="P56" s="121"/>
      <c r="Q56" s="121"/>
      <c r="R56" s="429"/>
      <c r="S56" s="502"/>
      <c r="T56" s="503" t="s">
        <v>425</v>
      </c>
      <c r="U56" s="504"/>
      <c r="V56" s="504"/>
      <c r="W56" s="504"/>
      <c r="X56" s="504"/>
      <c r="Y56" s="504"/>
      <c r="Z56" s="504"/>
      <c r="AA56" s="504"/>
      <c r="AB56" s="504"/>
      <c r="AC56" s="504"/>
      <c r="AD56" s="504"/>
      <c r="AE56" s="504"/>
      <c r="AF56" s="504"/>
      <c r="AG56" s="504"/>
      <c r="AH56" s="504"/>
      <c r="AI56" s="504"/>
      <c r="AJ56" s="504"/>
      <c r="AK56" s="504"/>
      <c r="AL56" s="504"/>
      <c r="AM56" s="504"/>
      <c r="AN56" s="504"/>
      <c r="AO56" s="504"/>
      <c r="AP56" s="504"/>
      <c r="AQ56" s="504"/>
      <c r="AR56" s="504"/>
      <c r="AS56" s="504"/>
      <c r="AT56" s="504"/>
      <c r="AU56" s="505"/>
      <c r="AW56" s="118"/>
      <c r="AX56" s="118" t="str">
        <f aca="false">IF(T56="","",T56)</f>
        <v>Добавить группу потребителей</v>
      </c>
      <c r="AY56" s="118"/>
      <c r="AZ56" s="118"/>
      <c r="BA56" s="47" t="n">
        <v>1</v>
      </c>
    </row>
    <row r="57" s="120" customFormat="true" ht="0.75" hidden="false" customHeight="true" outlineLevel="0" collapsed="false">
      <c r="A57" s="122" t="s">
        <v>213</v>
      </c>
      <c r="B57" s="122" t="s">
        <v>214</v>
      </c>
      <c r="C57" s="122" t="s">
        <v>215</v>
      </c>
      <c r="D57" s="122" t="s">
        <v>216</v>
      </c>
      <c r="E57" s="413"/>
      <c r="F57" s="413"/>
      <c r="G57" s="413"/>
      <c r="H57" s="413"/>
      <c r="I57" s="122"/>
      <c r="J57" s="122"/>
      <c r="K57" s="122"/>
      <c r="L57" s="192"/>
      <c r="M57" s="46"/>
      <c r="N57" s="46"/>
      <c r="O57" s="47"/>
      <c r="P57" s="156"/>
      <c r="Q57" s="449"/>
      <c r="R57" s="570"/>
      <c r="S57" s="502"/>
      <c r="T57" s="503"/>
      <c r="U57" s="504"/>
      <c r="V57" s="504"/>
      <c r="W57" s="504"/>
      <c r="X57" s="504"/>
      <c r="Y57" s="504"/>
      <c r="Z57" s="504"/>
      <c r="AA57" s="504"/>
      <c r="AB57" s="504"/>
      <c r="AC57" s="504"/>
      <c r="AD57" s="504"/>
      <c r="AE57" s="504"/>
      <c r="AF57" s="504"/>
      <c r="AG57" s="504"/>
      <c r="AH57" s="504"/>
      <c r="AI57" s="504"/>
      <c r="AJ57" s="504"/>
      <c r="AK57" s="504"/>
      <c r="AL57" s="504"/>
      <c r="AM57" s="504"/>
      <c r="AN57" s="504"/>
      <c r="AO57" s="504"/>
      <c r="AP57" s="504"/>
      <c r="AQ57" s="504"/>
      <c r="AR57" s="504"/>
      <c r="AS57" s="504"/>
      <c r="AT57" s="504"/>
      <c r="AU57" s="505"/>
      <c r="AV57" s="47"/>
      <c r="AW57" s="118"/>
      <c r="AX57" s="118" t="str">
        <f aca="false">IF(T57="","",T57)</f>
        <v/>
      </c>
      <c r="AY57" s="118"/>
      <c r="AZ57" s="118"/>
      <c r="BA57" s="120" t="n">
        <v>1</v>
      </c>
    </row>
    <row r="58" s="47" customFormat="true" ht="0.75" hidden="false" customHeight="true" outlineLevel="0" collapsed="false">
      <c r="A58" s="122" t="s">
        <v>213</v>
      </c>
      <c r="B58" s="122" t="s">
        <v>214</v>
      </c>
      <c r="C58" s="122" t="s">
        <v>215</v>
      </c>
      <c r="D58" s="122"/>
      <c r="E58" s="413"/>
      <c r="F58" s="413"/>
      <c r="G58" s="413"/>
      <c r="H58" s="122"/>
      <c r="I58" s="122"/>
      <c r="J58" s="122"/>
      <c r="K58" s="122"/>
      <c r="L58" s="192"/>
      <c r="M58" s="46"/>
      <c r="N58" s="46"/>
      <c r="P58" s="156"/>
      <c r="Q58" s="449"/>
      <c r="R58" s="156"/>
      <c r="S58" s="454"/>
      <c r="T58" s="457" t="s">
        <v>427</v>
      </c>
      <c r="U58" s="456"/>
      <c r="V58" s="456"/>
      <c r="W58" s="456"/>
      <c r="X58" s="456"/>
      <c r="Y58" s="456"/>
      <c r="Z58" s="456"/>
      <c r="AA58" s="456"/>
      <c r="AB58" s="456"/>
      <c r="AC58" s="456"/>
      <c r="AD58" s="456"/>
      <c r="AE58" s="456"/>
      <c r="AF58" s="456"/>
      <c r="AG58" s="456"/>
      <c r="AH58" s="456"/>
      <c r="AI58" s="456"/>
      <c r="AJ58" s="456"/>
      <c r="AK58" s="456"/>
      <c r="AL58" s="456"/>
      <c r="AM58" s="456"/>
      <c r="AN58" s="456"/>
      <c r="AO58" s="456"/>
      <c r="AP58" s="456"/>
      <c r="AQ58" s="456"/>
      <c r="AR58" s="456"/>
      <c r="AS58" s="456"/>
      <c r="AT58" s="456"/>
      <c r="AU58" s="456"/>
      <c r="AW58" s="118"/>
      <c r="AX58" s="118" t="str">
        <f aca="false">IF(T58="","",T58)</f>
        <v>Добавить источник для дифференциации</v>
      </c>
      <c r="AY58" s="118"/>
      <c r="AZ58" s="118"/>
      <c r="BA58" s="47" t="n">
        <v>1</v>
      </c>
    </row>
    <row r="59" s="47" customFormat="true" ht="0.75" hidden="false" customHeight="true" outlineLevel="0" collapsed="false">
      <c r="A59" s="122" t="s">
        <v>213</v>
      </c>
      <c r="B59" s="122" t="s">
        <v>214</v>
      </c>
      <c r="C59" s="122"/>
      <c r="D59" s="122"/>
      <c r="E59" s="413"/>
      <c r="F59" s="413"/>
      <c r="G59" s="122"/>
      <c r="H59" s="122"/>
      <c r="I59" s="122"/>
      <c r="J59" s="122"/>
      <c r="K59" s="122"/>
      <c r="L59" s="192"/>
      <c r="M59" s="453"/>
      <c r="N59" s="453"/>
      <c r="P59" s="156"/>
      <c r="Q59" s="449"/>
      <c r="R59" s="156"/>
      <c r="S59" s="454"/>
      <c r="T59" s="457" t="s">
        <v>428</v>
      </c>
      <c r="U59" s="456"/>
      <c r="V59" s="456"/>
      <c r="W59" s="456"/>
      <c r="X59" s="456"/>
      <c r="Y59" s="456"/>
      <c r="Z59" s="456"/>
      <c r="AA59" s="456"/>
      <c r="AB59" s="456"/>
      <c r="AC59" s="456"/>
      <c r="AD59" s="456"/>
      <c r="AE59" s="456"/>
      <c r="AF59" s="456"/>
      <c r="AG59" s="456"/>
      <c r="AH59" s="456"/>
      <c r="AI59" s="456"/>
      <c r="AJ59" s="456"/>
      <c r="AK59" s="456"/>
      <c r="AL59" s="456"/>
      <c r="AM59" s="456"/>
      <c r="AN59" s="456"/>
      <c r="AO59" s="456"/>
      <c r="AP59" s="456"/>
      <c r="AQ59" s="456"/>
      <c r="AR59" s="456"/>
      <c r="AS59" s="456"/>
      <c r="AT59" s="456"/>
      <c r="AU59" s="456"/>
      <c r="AW59" s="118"/>
      <c r="AX59" s="118" t="str">
        <f aca="false">IF(T59="","",T59)</f>
        <v>Добавить централизованную систему для дифференциации</v>
      </c>
      <c r="AY59" s="118"/>
      <c r="AZ59" s="118"/>
      <c r="BA59" s="47" t="n">
        <v>1</v>
      </c>
    </row>
    <row r="60" s="47" customFormat="true" ht="0.75" hidden="false" customHeight="true" outlineLevel="0" collapsed="false">
      <c r="A60" s="122" t="s">
        <v>213</v>
      </c>
      <c r="B60" s="122"/>
      <c r="C60" s="122"/>
      <c r="D60" s="122"/>
      <c r="E60" s="413"/>
      <c r="F60" s="122"/>
      <c r="G60" s="122"/>
      <c r="H60" s="122"/>
      <c r="I60" s="122"/>
      <c r="J60" s="122"/>
      <c r="K60" s="122"/>
      <c r="L60" s="192"/>
      <c r="M60" s="453"/>
      <c r="N60" s="453"/>
      <c r="P60" s="156"/>
      <c r="Q60" s="449"/>
      <c r="R60" s="156"/>
      <c r="S60" s="454"/>
      <c r="T60" s="457" t="s">
        <v>429</v>
      </c>
      <c r="U60" s="456"/>
      <c r="V60" s="456"/>
      <c r="W60" s="456"/>
      <c r="X60" s="456"/>
      <c r="Y60" s="456"/>
      <c r="Z60" s="456"/>
      <c r="AA60" s="456"/>
      <c r="AB60" s="456"/>
      <c r="AC60" s="456"/>
      <c r="AD60" s="456"/>
      <c r="AE60" s="456"/>
      <c r="AF60" s="456"/>
      <c r="AG60" s="456"/>
      <c r="AH60" s="456"/>
      <c r="AI60" s="456"/>
      <c r="AJ60" s="456"/>
      <c r="AK60" s="456"/>
      <c r="AL60" s="456"/>
      <c r="AM60" s="456"/>
      <c r="AN60" s="456"/>
      <c r="AO60" s="456"/>
      <c r="AP60" s="456"/>
      <c r="AQ60" s="456"/>
      <c r="AR60" s="456"/>
      <c r="AS60" s="456"/>
      <c r="AT60" s="456"/>
      <c r="AU60" s="456"/>
      <c r="AW60" s="118"/>
      <c r="AX60" s="118" t="str">
        <f aca="false">IF(T60="","",T60)</f>
        <v>Добавить территорию для дифференциации</v>
      </c>
      <c r="AY60" s="118"/>
      <c r="AZ60" s="118"/>
      <c r="BA60" s="47" t="n">
        <v>1</v>
      </c>
    </row>
    <row r="61" s="47" customFormat="true" ht="0.75" hidden="false" customHeight="true" outlineLevel="0" collapsed="false">
      <c r="A61" s="122" t="s">
        <v>213</v>
      </c>
      <c r="B61" s="122"/>
      <c r="C61" s="122"/>
      <c r="D61" s="122"/>
      <c r="E61" s="413"/>
      <c r="F61" s="122"/>
      <c r="G61" s="122"/>
      <c r="H61" s="122"/>
      <c r="I61" s="122"/>
      <c r="J61" s="122"/>
      <c r="K61" s="122"/>
      <c r="L61" s="192"/>
      <c r="M61" s="453"/>
      <c r="N61" s="453"/>
      <c r="P61" s="156"/>
      <c r="Q61" s="449"/>
      <c r="R61" s="156"/>
      <c r="S61" s="454"/>
      <c r="T61" s="457" t="s">
        <v>429</v>
      </c>
      <c r="U61" s="456"/>
      <c r="V61" s="456"/>
      <c r="W61" s="456"/>
      <c r="X61" s="456"/>
      <c r="Y61" s="456"/>
      <c r="Z61" s="456"/>
      <c r="AA61" s="456"/>
      <c r="AB61" s="456"/>
      <c r="AC61" s="456"/>
      <c r="AD61" s="456"/>
      <c r="AE61" s="456"/>
      <c r="AF61" s="456"/>
      <c r="AG61" s="456"/>
      <c r="AH61" s="456"/>
      <c r="AI61" s="456"/>
      <c r="AJ61" s="456"/>
      <c r="AK61" s="456"/>
      <c r="AL61" s="456"/>
      <c r="AM61" s="456"/>
      <c r="AN61" s="456"/>
      <c r="AO61" s="456"/>
      <c r="AP61" s="456"/>
      <c r="AQ61" s="456"/>
      <c r="AR61" s="456"/>
      <c r="AS61" s="456"/>
      <c r="AT61" s="456"/>
      <c r="AU61" s="456"/>
      <c r="AW61" s="118"/>
      <c r="AX61" s="118" t="str">
        <f aca="false">IF(T61="","",T61)</f>
        <v>Добавить территорию для дифференциации</v>
      </c>
      <c r="AY61" s="118"/>
      <c r="AZ61" s="118"/>
      <c r="BA61" s="47" t="n">
        <v>1</v>
      </c>
    </row>
    <row r="62" s="47" customFormat="true" ht="0.75" hidden="false" customHeight="true" outlineLevel="0" collapsed="false">
      <c r="A62" s="122"/>
      <c r="B62" s="122"/>
      <c r="C62" s="122"/>
      <c r="D62" s="122"/>
      <c r="E62" s="122"/>
      <c r="F62" s="122"/>
      <c r="G62" s="122"/>
      <c r="H62" s="122"/>
      <c r="I62" s="122"/>
      <c r="J62" s="122"/>
      <c r="K62" s="122"/>
      <c r="L62" s="192"/>
      <c r="M62" s="453"/>
      <c r="N62" s="453"/>
      <c r="P62" s="156"/>
      <c r="Q62" s="449"/>
      <c r="R62" s="156"/>
      <c r="S62" s="454"/>
      <c r="T62" s="457" t="s">
        <v>461</v>
      </c>
      <c r="U62" s="456"/>
      <c r="V62" s="456"/>
      <c r="W62" s="456"/>
      <c r="X62" s="456"/>
      <c r="Y62" s="456"/>
      <c r="Z62" s="456"/>
      <c r="AA62" s="456"/>
      <c r="AB62" s="456"/>
      <c r="AC62" s="456"/>
      <c r="AD62" s="456"/>
      <c r="AE62" s="456"/>
      <c r="AF62" s="456"/>
      <c r="AG62" s="456"/>
      <c r="AH62" s="456"/>
      <c r="AI62" s="456"/>
      <c r="AJ62" s="456"/>
      <c r="AK62" s="456"/>
      <c r="AL62" s="456"/>
      <c r="AM62" s="456"/>
      <c r="AN62" s="456"/>
      <c r="AO62" s="456"/>
      <c r="AP62" s="456"/>
      <c r="AQ62" s="456"/>
      <c r="AR62" s="456"/>
      <c r="AS62" s="456"/>
      <c r="AT62" s="456"/>
      <c r="AU62" s="456"/>
      <c r="AW62" s="118"/>
      <c r="AX62" s="118" t="str">
        <f aca="false">IF(T62="","",T62)</f>
        <v>Добавить наименование тарифа</v>
      </c>
      <c r="AY62" s="118"/>
      <c r="AZ62" s="118"/>
      <c r="BA62" s="47" t="n">
        <v>1</v>
      </c>
    </row>
    <row r="63" customFormat="false" ht="11.25" hidden="false" customHeight="true" outlineLevel="0" collapsed="false">
      <c r="M63" s="45"/>
      <c r="N63" s="45"/>
      <c r="O63" s="45"/>
      <c r="P63" s="45"/>
      <c r="Q63" s="45"/>
      <c r="R63" s="42"/>
      <c r="S63" s="42"/>
      <c r="AV63" s="42"/>
      <c r="AW63" s="42"/>
      <c r="AX63" s="42"/>
      <c r="AY63" s="42"/>
      <c r="AZ63" s="42"/>
      <c r="BA63" s="42" t="n">
        <v>11</v>
      </c>
    </row>
    <row r="64" customFormat="false" ht="19.5" hidden="false" customHeight="true" outlineLevel="0" collapsed="false">
      <c r="O64" s="45"/>
      <c r="S64" s="409"/>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BA64" s="42" t="n">
        <v>19</v>
      </c>
    </row>
    <row r="65" customFormat="false" ht="21" hidden="false" customHeight="true" outlineLevel="0" collapsed="false">
      <c r="O65" s="45"/>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BA65" s="42" t="n">
        <v>20</v>
      </c>
    </row>
    <row r="66" customFormat="false" ht="14.25" hidden="false" customHeight="true" outlineLevel="0" collapsed="false">
      <c r="O66" s="45"/>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BA66" s="42" t="n">
        <v>14</v>
      </c>
    </row>
    <row r="67" customFormat="false" ht="19.5" hidden="false" customHeight="true" outlineLevel="0" collapsed="false">
      <c r="O67" s="45"/>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BA67" s="42" t="n">
        <v>19</v>
      </c>
    </row>
    <row r="68" customFormat="false" ht="16.5" hidden="false" customHeight="true" outlineLevel="0" collapsed="false">
      <c r="O68" s="45"/>
      <c r="T68" s="488"/>
      <c r="U68" s="488"/>
      <c r="V68" s="488"/>
      <c r="W68" s="488"/>
      <c r="X68" s="488"/>
      <c r="Y68" s="488"/>
      <c r="Z68" s="488"/>
      <c r="AA68" s="488"/>
      <c r="AB68" s="488"/>
      <c r="AC68" s="488"/>
      <c r="AD68" s="488"/>
      <c r="AE68" s="488"/>
      <c r="AF68" s="488"/>
      <c r="AG68" s="488"/>
      <c r="AH68" s="488"/>
      <c r="AI68" s="488"/>
      <c r="AJ68" s="488"/>
      <c r="AK68" s="488"/>
      <c r="AL68" s="488"/>
      <c r="AM68" s="488"/>
      <c r="AN68" s="488"/>
      <c r="AO68" s="488"/>
      <c r="AP68" s="488"/>
      <c r="AQ68" s="488"/>
      <c r="AR68" s="488"/>
      <c r="AS68" s="488"/>
      <c r="AT68" s="488"/>
      <c r="AU68" s="488"/>
      <c r="BA68" s="42" t="n">
        <v>16</v>
      </c>
    </row>
    <row r="69" customFormat="false" ht="14.25" hidden="false" customHeight="true" outlineLevel="0" collapsed="false">
      <c r="O69" s="45"/>
      <c r="BA69" s="42" t="n">
        <v>14</v>
      </c>
    </row>
    <row r="70" customFormat="false" ht="22.5" hidden="true" customHeight="true" outlineLevel="0" collapsed="false">
      <c r="A70" s="45" t="s">
        <v>81</v>
      </c>
      <c r="B70" s="45" t="n">
        <v>0</v>
      </c>
      <c r="C70" s="45" t="n">
        <v>0</v>
      </c>
      <c r="D70" s="45" t="n">
        <v>0</v>
      </c>
      <c r="E70" s="45" t="n">
        <v>0</v>
      </c>
      <c r="F70" s="45" t="n">
        <v>0</v>
      </c>
      <c r="G70" s="45" t="n">
        <v>0</v>
      </c>
      <c r="H70" s="45" t="n">
        <v>0</v>
      </c>
      <c r="I70" s="45" t="n">
        <v>0</v>
      </c>
      <c r="J70" s="45" t="n">
        <v>0</v>
      </c>
      <c r="K70" s="45" t="n">
        <v>0</v>
      </c>
      <c r="L70" s="44" t="n">
        <v>0</v>
      </c>
      <c r="M70" s="51" t="n">
        <v>0</v>
      </c>
      <c r="N70" s="51" t="n">
        <v>0</v>
      </c>
      <c r="O70" s="51" t="n">
        <v>0</v>
      </c>
      <c r="P70" s="51" t="n">
        <v>3</v>
      </c>
      <c r="Q70" s="463" t="n">
        <v>3</v>
      </c>
      <c r="R70" s="411" t="n">
        <v>3</v>
      </c>
      <c r="S70" s="75" t="n">
        <v>12</v>
      </c>
      <c r="T70" s="42" t="n">
        <v>31</v>
      </c>
      <c r="U70" s="42" t="n">
        <v>0</v>
      </c>
      <c r="V70" s="42" t="n">
        <v>0</v>
      </c>
      <c r="W70" s="42" t="n">
        <v>0</v>
      </c>
      <c r="X70" s="42" t="n">
        <v>0</v>
      </c>
      <c r="Y70" s="42" t="n">
        <v>0</v>
      </c>
      <c r="Z70" s="42" t="n">
        <v>0</v>
      </c>
      <c r="AA70" s="42" t="n">
        <v>0</v>
      </c>
      <c r="AB70" s="42" t="n">
        <v>5</v>
      </c>
      <c r="AC70" s="42" t="n">
        <v>3</v>
      </c>
      <c r="AD70" s="42" t="n">
        <v>3</v>
      </c>
      <c r="AE70" s="42" t="n">
        <v>24</v>
      </c>
      <c r="AF70" s="42" t="n">
        <v>3</v>
      </c>
      <c r="AG70" s="42" t="n">
        <v>3</v>
      </c>
      <c r="AH70" s="42" t="n">
        <v>3</v>
      </c>
      <c r="AI70" s="42" t="n">
        <v>24</v>
      </c>
      <c r="AJ70" s="42" t="n">
        <v>3</v>
      </c>
      <c r="AK70" s="42" t="n">
        <v>3</v>
      </c>
      <c r="AL70" s="42" t="n">
        <v>3</v>
      </c>
      <c r="AM70" s="42" t="n">
        <v>18</v>
      </c>
      <c r="AN70" s="42" t="n">
        <v>21</v>
      </c>
      <c r="AO70" s="42" t="n">
        <v>21</v>
      </c>
      <c r="AP70" s="42" t="n">
        <v>11</v>
      </c>
      <c r="AQ70" s="42" t="n">
        <v>3</v>
      </c>
      <c r="AR70" s="42" t="n">
        <v>11</v>
      </c>
      <c r="AS70" s="42" t="n">
        <v>8</v>
      </c>
      <c r="AT70" s="42" t="n">
        <v>4</v>
      </c>
      <c r="AU70" s="42" t="n">
        <v>115</v>
      </c>
      <c r="AV70" s="47" t="n">
        <v>10</v>
      </c>
      <c r="AW70" s="47" t="n">
        <v>10</v>
      </c>
      <c r="AX70" s="47" t="n">
        <v>10</v>
      </c>
      <c r="AY70" s="47" t="n">
        <v>10</v>
      </c>
      <c r="AZ70" s="47" t="n">
        <v>10</v>
      </c>
      <c r="BA70" s="42" t="n">
        <v>23</v>
      </c>
    </row>
  </sheetData>
  <mergeCells count="119">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1"/>
    <mergeCell ref="X41:Z42"/>
    <mergeCell ref="AN41:AO41"/>
    <mergeCell ref="AP41:AR42"/>
    <mergeCell ref="V42:W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6">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P8 AR8 X10 AP19 AR19 X51 Z51 AP51 AR51"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B8 AE8:AF8 AI8:AJ8 AQ8 AS8 AA9:AA10 AB19 AE19:AF19 AI19:AJ19 AQ19 AS19 Y51 AA51:AB51 AE51:AF51 AI51:AJ51 AQ51 AS51" type="none">
      <formula1>0</formula1>
      <formula2>0</formula2>
    </dataValidation>
    <dataValidation allowBlank="true" errorStyle="stop" operator="between" promptTitle="checkPeriodRange" showDropDown="false" showErrorMessage="false" showInputMessage="false" sqref="W11 AO11 W54 AO54"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T8:T11 T51:T54"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N42:AO42" type="list">
      <formula1>UNIT_CONNECT_LIST</formula1>
      <formula2>0</formula2>
    </dataValidation>
    <dataValidation allowBlank="true" error="Выберите значение из списка" errorStyle="stop" errorTitle="Ошибка" operator="between" showDropDown="false" showErrorMessage="false" showInputMessage="false" sqref="V42:W42"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4.14"/>
    <col collapsed="false" customWidth="true" hidden="true" outlineLevel="0" max="10" min="10" style="45" width="9.85"/>
    <col collapsed="false" customWidth="true" hidden="true" outlineLevel="0" max="11" min="11" style="45" width="14.71"/>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
    <col collapsed="false" customWidth="true" hidden="false" outlineLevel="0" max="18" min="17" style="411" width="3"/>
    <col collapsed="false" customWidth="true" hidden="false" outlineLevel="0" max="19" min="19" style="75" width="12"/>
    <col collapsed="false" customWidth="true" hidden="false" outlineLevel="0" max="20" min="20" style="42" width="35"/>
    <col collapsed="false" customWidth="true" hidden="false" outlineLevel="0" max="21" min="21" style="42" width="0.14"/>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7"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2"/>
      <c r="B2" s="412"/>
      <c r="C2" s="412"/>
      <c r="D2" s="412"/>
      <c r="E2" s="413" t="n">
        <v>1</v>
      </c>
      <c r="F2" s="412"/>
      <c r="G2" s="412"/>
      <c r="H2" s="412"/>
      <c r="I2" s="412"/>
      <c r="J2" s="412"/>
      <c r="K2" s="412"/>
      <c r="L2" s="414"/>
      <c r="M2" s="40"/>
      <c r="N2" s="40"/>
      <c r="O2" s="40"/>
      <c r="Q2" s="132"/>
      <c r="R2" s="415"/>
      <c r="S2" s="416" t="e">
        <f aca="false">INDEX(PT_DIFFERENTIATION_NUM_NTAR,MATCH(A2,PT_DIFFERENTIATION_NTAR_ID,0))</f>
        <v>#N/A</v>
      </c>
      <c r="T2" s="417" t="s">
        <v>138</v>
      </c>
      <c r="U2" s="418"/>
      <c r="V2" s="419"/>
      <c r="W2" s="419"/>
      <c r="X2" s="419"/>
      <c r="Y2" s="419"/>
      <c r="Z2" s="419"/>
      <c r="AA2" s="419"/>
      <c r="AB2" s="419"/>
      <c r="AC2" s="419" t="e">
        <f aca="false">INDEX(PT_DIFFERENTIATION_NTAR,MATCH(A2,PT_DIFFERENTIATION_NTAR_ID,0))</f>
        <v>#N/A</v>
      </c>
      <c r="AD2" s="419"/>
      <c r="AE2" s="419"/>
      <c r="AF2" s="419"/>
      <c r="AG2" s="419"/>
      <c r="AH2" s="419"/>
      <c r="AI2" s="419"/>
      <c r="AJ2" s="419"/>
      <c r="AK2" s="42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8"/>
      <c r="AN2" s="118" t="str">
        <f aca="false">IF(T2="","",T2)</f>
        <v>Наименование тарифа</v>
      </c>
      <c r="AO2" s="118"/>
      <c r="AP2" s="118"/>
      <c r="AQ2" s="42" t="n">
        <v>0</v>
      </c>
    </row>
    <row r="3" customFormat="false" ht="23.25" hidden="true" customHeight="true" outlineLevel="0" collapsed="false">
      <c r="A3" s="412"/>
      <c r="B3" s="412"/>
      <c r="C3" s="412"/>
      <c r="D3" s="412"/>
      <c r="E3" s="413"/>
      <c r="F3" s="413" t="n">
        <v>1</v>
      </c>
      <c r="G3" s="412"/>
      <c r="H3" s="412"/>
      <c r="I3" s="412"/>
      <c r="J3" s="412"/>
      <c r="K3" s="412"/>
      <c r="L3" s="414"/>
      <c r="M3" s="40"/>
      <c r="N3" s="40"/>
      <c r="O3" s="40"/>
      <c r="P3" s="43"/>
      <c r="Q3" s="422"/>
      <c r="R3" s="423"/>
      <c r="S3" s="416" t="e">
        <f aca="false">INDEX(PT_DIFFERENTIATION_NUM_TER,MATCH(B3,PT_DIFFERENTIATION_TER_ID,0))</f>
        <v>#N/A</v>
      </c>
      <c r="T3" s="424" t="s">
        <v>410</v>
      </c>
      <c r="U3" s="418"/>
      <c r="V3" s="419"/>
      <c r="W3" s="419"/>
      <c r="X3" s="419"/>
      <c r="Y3" s="419"/>
      <c r="Z3" s="419"/>
      <c r="AA3" s="419"/>
      <c r="AB3" s="419"/>
      <c r="AC3" s="419" t="e">
        <f aca="false">INDEX(PT_DIFFERENTIATION_TER,MATCH(B3,PT_DIFFERENTIATION_TER_ID,0))</f>
        <v>#N/A</v>
      </c>
      <c r="AD3" s="419"/>
      <c r="AE3" s="419"/>
      <c r="AF3" s="419"/>
      <c r="AG3" s="419"/>
      <c r="AH3" s="419"/>
      <c r="AI3" s="419"/>
      <c r="AJ3" s="419"/>
      <c r="AK3" s="421" t="s">
        <v>411</v>
      </c>
      <c r="AM3" s="118"/>
      <c r="AN3" s="118" t="str">
        <f aca="false">IF(T3="","",T3)</f>
        <v>Территория действия тарифа</v>
      </c>
      <c r="AO3" s="118"/>
      <c r="AP3" s="118"/>
      <c r="AQ3" s="42" t="n">
        <v>0</v>
      </c>
    </row>
    <row r="4" customFormat="false" ht="23.25" hidden="true" customHeight="true" outlineLevel="0" collapsed="false">
      <c r="A4" s="412"/>
      <c r="B4" s="412"/>
      <c r="C4" s="412"/>
      <c r="D4" s="412"/>
      <c r="E4" s="413"/>
      <c r="F4" s="413"/>
      <c r="G4" s="413" t="n">
        <v>1</v>
      </c>
      <c r="H4" s="412"/>
      <c r="I4" s="412"/>
      <c r="J4" s="412"/>
      <c r="K4" s="412"/>
      <c r="L4" s="414"/>
      <c r="M4" s="40"/>
      <c r="N4" s="40"/>
      <c r="O4" s="40"/>
      <c r="P4" s="425"/>
      <c r="Q4" s="422"/>
      <c r="R4" s="423"/>
      <c r="S4" s="416" t="e">
        <f aca="false">INDEX(PT_DIFFERENTIATION_NUM_CS,MATCH(C4,PT_DIFFERENTIATION_CS_ID,0))</f>
        <v>#N/A</v>
      </c>
      <c r="T4" s="426" t="s">
        <v>494</v>
      </c>
      <c r="U4" s="418"/>
      <c r="V4" s="419"/>
      <c r="W4" s="419"/>
      <c r="X4" s="419"/>
      <c r="Y4" s="419"/>
      <c r="Z4" s="419"/>
      <c r="AA4" s="419"/>
      <c r="AB4" s="419"/>
      <c r="AC4" s="419" t="e">
        <f aca="false">INDEX(PT_DIFFERENTIATION_CS,MATCH(C4,PT_DIFFERENTIATION_CS_ID,0))</f>
        <v>#N/A</v>
      </c>
      <c r="AD4" s="419"/>
      <c r="AE4" s="419"/>
      <c r="AF4" s="419"/>
      <c r="AG4" s="419"/>
      <c r="AH4" s="419"/>
      <c r="AI4" s="419"/>
      <c r="AJ4" s="419"/>
      <c r="AK4" s="421" t="s">
        <v>495</v>
      </c>
      <c r="AM4" s="118"/>
      <c r="AN4" s="118" t="str">
        <f aca="false">IF(T4="","",T4)</f>
        <v>Наименование централизованной системы холодного водоснабжения</v>
      </c>
      <c r="AO4" s="118"/>
      <c r="AP4" s="118"/>
      <c r="AQ4" s="42" t="n">
        <v>0</v>
      </c>
    </row>
    <row r="5" customFormat="false" ht="23.25" hidden="true" customHeight="true" outlineLevel="0" collapsed="false">
      <c r="A5" s="412"/>
      <c r="B5" s="412"/>
      <c r="C5" s="412"/>
      <c r="D5" s="412"/>
      <c r="E5" s="413"/>
      <c r="F5" s="413"/>
      <c r="G5" s="413"/>
      <c r="H5" s="571"/>
      <c r="I5" s="428" t="e">
        <f aca="false">S4&amp;".1"</f>
        <v>#N/A</v>
      </c>
      <c r="J5" s="412"/>
      <c r="K5" s="412"/>
      <c r="L5" s="414"/>
      <c r="P5" s="121" t="n">
        <v>1</v>
      </c>
      <c r="Q5" s="121"/>
      <c r="R5" s="429"/>
      <c r="S5" s="416" t="e">
        <f aca="false">$I5</f>
        <v>#N/A</v>
      </c>
      <c r="T5" s="430" t="s">
        <v>496</v>
      </c>
      <c r="U5" s="418"/>
      <c r="V5" s="572"/>
      <c r="W5" s="572"/>
      <c r="X5" s="572"/>
      <c r="Y5" s="572"/>
      <c r="Z5" s="572"/>
      <c r="AA5" s="572"/>
      <c r="AB5" s="572"/>
      <c r="AC5" s="334"/>
      <c r="AD5" s="334"/>
      <c r="AE5" s="334"/>
      <c r="AF5" s="334"/>
      <c r="AG5" s="334"/>
      <c r="AH5" s="334"/>
      <c r="AI5" s="334"/>
      <c r="AJ5" s="334"/>
      <c r="AK5" s="421" t="s">
        <v>497</v>
      </c>
      <c r="AM5" s="118"/>
      <c r="AN5" s="118" t="str">
        <f aca="false">IF(T5="","",T5)</f>
        <v>Наименование признака дифференциации</v>
      </c>
      <c r="AO5" s="118"/>
      <c r="AP5" s="118"/>
      <c r="AQ5" s="42" t="n">
        <v>0</v>
      </c>
    </row>
    <row r="6" customFormat="false" ht="23.25" hidden="true" customHeight="true" outlineLevel="0" collapsed="false">
      <c r="A6" s="412"/>
      <c r="B6" s="412"/>
      <c r="C6" s="412"/>
      <c r="D6" s="412"/>
      <c r="E6" s="413"/>
      <c r="F6" s="413"/>
      <c r="G6" s="413"/>
      <c r="H6" s="413"/>
      <c r="I6" s="428"/>
      <c r="J6" s="428" t="e">
        <f aca="false">I5&amp;".1"</f>
        <v>#N/A</v>
      </c>
      <c r="K6" s="412"/>
      <c r="L6" s="414" t="s">
        <v>419</v>
      </c>
      <c r="P6" s="121"/>
      <c r="Q6" s="121" t="n">
        <v>1</v>
      </c>
      <c r="R6" s="432"/>
      <c r="S6" s="416" t="e">
        <f aca="false">$J6</f>
        <v>#N/A</v>
      </c>
      <c r="T6" s="433" t="s">
        <v>420</v>
      </c>
      <c r="U6" s="418"/>
      <c r="V6" s="431"/>
      <c r="W6" s="431"/>
      <c r="X6" s="431"/>
      <c r="Y6" s="431"/>
      <c r="Z6" s="431"/>
      <c r="AA6" s="431"/>
      <c r="AB6" s="431"/>
      <c r="AC6" s="431"/>
      <c r="AD6" s="431"/>
      <c r="AE6" s="431"/>
      <c r="AF6" s="431"/>
      <c r="AG6" s="431"/>
      <c r="AH6" s="431"/>
      <c r="AI6" s="431"/>
      <c r="AJ6" s="431"/>
      <c r="AK6" s="523" t="s">
        <v>498</v>
      </c>
      <c r="AM6" s="118"/>
      <c r="AN6" s="118" t="str">
        <f aca="false">IF(T6="","",T6)</f>
        <v>Группа потребителей</v>
      </c>
      <c r="AO6" s="118"/>
      <c r="AP6" s="118"/>
      <c r="AQ6" s="42" t="n">
        <v>0</v>
      </c>
    </row>
    <row r="7" customFormat="false" ht="23.25" hidden="true" customHeight="true" outlineLevel="0" collapsed="false">
      <c r="A7" s="412"/>
      <c r="B7" s="412"/>
      <c r="C7" s="412"/>
      <c r="D7" s="412"/>
      <c r="E7" s="413"/>
      <c r="F7" s="413"/>
      <c r="G7" s="413"/>
      <c r="H7" s="413"/>
      <c r="I7" s="428"/>
      <c r="J7" s="428"/>
      <c r="K7" s="428" t="e">
        <f aca="false">J6&amp;".1"</f>
        <v>#N/A</v>
      </c>
      <c r="L7" s="414"/>
      <c r="P7" s="121"/>
      <c r="Q7" s="121"/>
      <c r="R7" s="432" t="n">
        <v>1</v>
      </c>
      <c r="S7" s="416" t="e">
        <f aca="false">$K7</f>
        <v>#N/A</v>
      </c>
      <c r="T7" s="573"/>
      <c r="U7" s="418"/>
      <c r="V7" s="435"/>
      <c r="W7" s="435"/>
      <c r="X7" s="437"/>
      <c r="Y7" s="438"/>
      <c r="Z7" s="204" t="s">
        <v>61</v>
      </c>
      <c r="AA7" s="438"/>
      <c r="AB7" s="204" t="s">
        <v>61</v>
      </c>
      <c r="AC7" s="435"/>
      <c r="AD7" s="435"/>
      <c r="AE7" s="437"/>
      <c r="AF7" s="438"/>
      <c r="AG7" s="204" t="s">
        <v>61</v>
      </c>
      <c r="AH7" s="438"/>
      <c r="AI7" s="204" t="s">
        <v>61</v>
      </c>
      <c r="AJ7" s="574"/>
      <c r="AK7" s="57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7" t="e">
        <f aca="false">strcheckdate(V8:AJ8)</f>
        <v>#NAME?</v>
      </c>
      <c r="AM7" s="118"/>
      <c r="AN7" s="118" t="str">
        <f aca="false">IF(T7="","",T7)</f>
        <v/>
      </c>
      <c r="AO7" s="118"/>
      <c r="AP7" s="118"/>
      <c r="AQ7" s="42" t="n">
        <v>0</v>
      </c>
    </row>
    <row r="8" customFormat="false" ht="14.25" hidden="true" customHeight="true" outlineLevel="0" collapsed="false">
      <c r="A8" s="412"/>
      <c r="B8" s="412"/>
      <c r="C8" s="412"/>
      <c r="D8" s="412"/>
      <c r="E8" s="413"/>
      <c r="F8" s="413"/>
      <c r="G8" s="413"/>
      <c r="H8" s="413"/>
      <c r="I8" s="428"/>
      <c r="J8" s="428"/>
      <c r="K8" s="428"/>
      <c r="L8" s="414"/>
      <c r="P8" s="121"/>
      <c r="Q8" s="121"/>
      <c r="R8" s="432"/>
      <c r="S8" s="393"/>
      <c r="T8" s="418"/>
      <c r="U8" s="418"/>
      <c r="V8" s="436"/>
      <c r="W8" s="436"/>
      <c r="X8" s="440" t="str">
        <f aca="false">Y7&amp;"-"&amp;AA7</f>
        <v>-</v>
      </c>
      <c r="Y8" s="438"/>
      <c r="Z8" s="204"/>
      <c r="AA8" s="438"/>
      <c r="AB8" s="204"/>
      <c r="AC8" s="436"/>
      <c r="AD8" s="436"/>
      <c r="AE8" s="440" t="str">
        <f aca="false">AF7&amp;"-"&amp;AH7</f>
        <v>-</v>
      </c>
      <c r="AF8" s="438"/>
      <c r="AG8" s="204"/>
      <c r="AH8" s="438"/>
      <c r="AI8" s="204"/>
      <c r="AJ8" s="576"/>
      <c r="AK8" s="575"/>
      <c r="AM8" s="118"/>
      <c r="AN8" s="118" t="str">
        <f aca="false">IF(T8="","",T8)</f>
        <v/>
      </c>
      <c r="AO8" s="118"/>
      <c r="AP8" s="118"/>
      <c r="AQ8" s="42" t="n">
        <v>0</v>
      </c>
    </row>
    <row r="9" customFormat="false" ht="21" hidden="true" customHeight="true" outlineLevel="0" collapsed="false">
      <c r="A9" s="412"/>
      <c r="B9" s="412"/>
      <c r="C9" s="412"/>
      <c r="D9" s="412"/>
      <c r="E9" s="413"/>
      <c r="F9" s="413"/>
      <c r="G9" s="413"/>
      <c r="H9" s="413"/>
      <c r="I9" s="428"/>
      <c r="J9" s="428"/>
      <c r="K9" s="412"/>
      <c r="L9" s="414"/>
      <c r="P9" s="121"/>
      <c r="Q9" s="121"/>
      <c r="R9" s="429"/>
      <c r="S9" s="441"/>
      <c r="T9" s="444" t="s">
        <v>499</v>
      </c>
      <c r="U9" s="194"/>
      <c r="V9" s="194"/>
      <c r="W9" s="194"/>
      <c r="X9" s="194"/>
      <c r="Y9" s="194"/>
      <c r="Z9" s="194"/>
      <c r="AA9" s="194"/>
      <c r="AB9" s="194"/>
      <c r="AC9" s="194"/>
      <c r="AD9" s="194"/>
      <c r="AE9" s="194"/>
      <c r="AF9" s="194"/>
      <c r="AG9" s="194"/>
      <c r="AH9" s="194"/>
      <c r="AI9" s="194"/>
      <c r="AJ9" s="194"/>
      <c r="AK9" s="421" t="s">
        <v>500</v>
      </c>
      <c r="AM9" s="118"/>
      <c r="AN9" s="118" t="str">
        <f aca="false">IF(T9="","",T9)</f>
        <v>Добавить значение признака дифференциации</v>
      </c>
      <c r="AO9" s="118"/>
      <c r="AP9" s="118"/>
      <c r="AQ9" s="42" t="n">
        <v>0</v>
      </c>
    </row>
    <row r="10" customFormat="false" ht="21" hidden="true" customHeight="true" outlineLevel="0" collapsed="false">
      <c r="A10" s="412"/>
      <c r="B10" s="412"/>
      <c r="C10" s="412"/>
      <c r="D10" s="412"/>
      <c r="E10" s="413"/>
      <c r="F10" s="413"/>
      <c r="G10" s="413"/>
      <c r="H10" s="413"/>
      <c r="I10" s="428"/>
      <c r="J10" s="412"/>
      <c r="K10" s="412"/>
      <c r="L10" s="414"/>
      <c r="P10" s="121"/>
      <c r="Q10" s="121"/>
      <c r="R10" s="429"/>
      <c r="S10" s="441"/>
      <c r="T10" s="448" t="s">
        <v>425</v>
      </c>
      <c r="U10" s="194"/>
      <c r="V10" s="194"/>
      <c r="W10" s="194"/>
      <c r="X10" s="194"/>
      <c r="Y10" s="194"/>
      <c r="Z10" s="194"/>
      <c r="AA10" s="194"/>
      <c r="AB10" s="445"/>
      <c r="AC10" s="194"/>
      <c r="AD10" s="194"/>
      <c r="AE10" s="194"/>
      <c r="AF10" s="194"/>
      <c r="AG10" s="194"/>
      <c r="AH10" s="194"/>
      <c r="AI10" s="445"/>
      <c r="AJ10" s="194"/>
      <c r="AK10" s="577"/>
      <c r="AM10" s="118"/>
      <c r="AN10" s="118" t="str">
        <f aca="false">IF(T10="","",T10)</f>
        <v>Добавить группу потребителей</v>
      </c>
      <c r="AO10" s="118"/>
      <c r="AP10" s="118"/>
      <c r="AQ10" s="42" t="n">
        <v>0</v>
      </c>
    </row>
    <row r="11" customFormat="false" ht="14.25" hidden="true" customHeight="true" outlineLevel="0" collapsed="false">
      <c r="A11" s="412"/>
      <c r="B11" s="412"/>
      <c r="C11" s="412"/>
      <c r="D11" s="412"/>
      <c r="E11" s="413"/>
      <c r="F11" s="413"/>
      <c r="G11" s="413"/>
      <c r="H11" s="571"/>
      <c r="I11" s="412"/>
      <c r="J11" s="412"/>
      <c r="K11" s="412"/>
      <c r="L11" s="414"/>
      <c r="M11" s="40"/>
      <c r="N11" s="40"/>
      <c r="O11" s="45"/>
      <c r="P11" s="132"/>
      <c r="Q11" s="447"/>
      <c r="R11" s="415"/>
      <c r="S11" s="441"/>
      <c r="T11" s="578" t="s">
        <v>501</v>
      </c>
      <c r="U11" s="194"/>
      <c r="V11" s="194"/>
      <c r="W11" s="194"/>
      <c r="X11" s="194"/>
      <c r="Y11" s="194"/>
      <c r="Z11" s="194"/>
      <c r="AA11" s="194"/>
      <c r="AB11" s="445"/>
      <c r="AC11" s="194"/>
      <c r="AD11" s="194"/>
      <c r="AE11" s="194"/>
      <c r="AF11" s="194"/>
      <c r="AG11" s="194"/>
      <c r="AH11" s="194"/>
      <c r="AI11" s="445"/>
      <c r="AJ11" s="194"/>
      <c r="AK11" s="446"/>
      <c r="AM11" s="118"/>
      <c r="AN11" s="118" t="str">
        <f aca="false">IF(T11="","",T11)</f>
        <v>Добавить наименование признака дифференциации</v>
      </c>
      <c r="AO11" s="118"/>
      <c r="AP11" s="118"/>
      <c r="AQ11" s="42" t="n">
        <v>0</v>
      </c>
    </row>
    <row r="12" s="47" customFormat="true" ht="14.25" hidden="true" customHeight="true" outlineLevel="0" collapsed="false">
      <c r="A12" s="122"/>
      <c r="B12" s="122"/>
      <c r="C12" s="122"/>
      <c r="D12" s="122"/>
      <c r="E12" s="413"/>
      <c r="F12" s="413"/>
      <c r="G12" s="122"/>
      <c r="H12" s="122"/>
      <c r="I12" s="122"/>
      <c r="J12" s="122"/>
      <c r="K12" s="122"/>
      <c r="L12" s="192"/>
      <c r="M12" s="453"/>
      <c r="N12" s="453"/>
      <c r="P12" s="156"/>
      <c r="Q12" s="449"/>
      <c r="R12" s="156"/>
      <c r="S12" s="454"/>
      <c r="T12" s="457" t="s">
        <v>428</v>
      </c>
      <c r="U12" s="456"/>
      <c r="V12" s="456"/>
      <c r="W12" s="456"/>
      <c r="X12" s="456"/>
      <c r="Y12" s="456"/>
      <c r="Z12" s="456"/>
      <c r="AA12" s="456"/>
      <c r="AB12" s="456"/>
      <c r="AC12" s="456"/>
      <c r="AD12" s="456"/>
      <c r="AE12" s="456"/>
      <c r="AF12" s="456"/>
      <c r="AG12" s="456"/>
      <c r="AH12" s="456"/>
      <c r="AI12" s="456"/>
      <c r="AJ12" s="456"/>
      <c r="AK12" s="456"/>
      <c r="AM12" s="118"/>
      <c r="AN12" s="118" t="str">
        <f aca="false">IF(T12="","",T12)</f>
        <v>Добавить централизованную систему для дифференциации</v>
      </c>
      <c r="AO12" s="118"/>
      <c r="AP12" s="118"/>
      <c r="AQ12" s="47" t="n">
        <v>0</v>
      </c>
    </row>
    <row r="13" s="47" customFormat="true" ht="14.25" hidden="true" customHeight="true" outlineLevel="0" collapsed="false">
      <c r="A13" s="122"/>
      <c r="B13" s="122"/>
      <c r="C13" s="122"/>
      <c r="D13" s="122"/>
      <c r="E13" s="413"/>
      <c r="F13" s="122"/>
      <c r="G13" s="122"/>
      <c r="H13" s="122"/>
      <c r="I13" s="122"/>
      <c r="J13" s="122"/>
      <c r="K13" s="122"/>
      <c r="L13" s="192"/>
      <c r="M13" s="453"/>
      <c r="N13" s="453"/>
      <c r="P13" s="156"/>
      <c r="Q13" s="449"/>
      <c r="R13" s="156"/>
      <c r="S13" s="454"/>
      <c r="T13" s="457" t="s">
        <v>429</v>
      </c>
      <c r="U13" s="456"/>
      <c r="V13" s="456"/>
      <c r="W13" s="456"/>
      <c r="X13" s="456"/>
      <c r="Y13" s="456"/>
      <c r="Z13" s="456"/>
      <c r="AA13" s="456"/>
      <c r="AB13" s="456"/>
      <c r="AC13" s="456"/>
      <c r="AD13" s="456"/>
      <c r="AE13" s="456"/>
      <c r="AF13" s="456"/>
      <c r="AG13" s="456"/>
      <c r="AH13" s="456"/>
      <c r="AI13" s="456"/>
      <c r="AJ13" s="456"/>
      <c r="AK13" s="456"/>
      <c r="AM13" s="118"/>
      <c r="AN13" s="118" t="str">
        <f aca="false">IF(T13="","",T13)</f>
        <v>Добавить территорию для дифференциации</v>
      </c>
      <c r="AO13" s="118"/>
      <c r="AP13" s="118"/>
      <c r="AQ13" s="47" t="n">
        <v>0</v>
      </c>
    </row>
    <row r="14" customFormat="false" ht="14.25" hidden="true" customHeight="true" outlineLevel="0" collapsed="false">
      <c r="AQ14" s="42" t="n">
        <v>0</v>
      </c>
    </row>
    <row r="15" customFormat="false" ht="14.25" hidden="true" customHeight="true" outlineLevel="0" collapsed="false">
      <c r="AC15" s="458"/>
      <c r="AD15" s="458"/>
      <c r="AE15" s="459"/>
      <c r="AF15" s="460"/>
      <c r="AG15" s="461" t="s">
        <v>61</v>
      </c>
      <c r="AH15" s="460"/>
      <c r="AI15" s="461" t="s">
        <v>61</v>
      </c>
      <c r="AQ15" s="42" t="n">
        <v>0</v>
      </c>
    </row>
    <row r="16" customFormat="false" ht="14.25" hidden="true" customHeight="true" outlineLevel="0" collapsed="false">
      <c r="AC16" s="458"/>
      <c r="AD16" s="458"/>
      <c r="AE16" s="440" t="str">
        <f aca="false">AF15&amp;"-"&amp;AH15</f>
        <v>-</v>
      </c>
      <c r="AF16" s="460"/>
      <c r="AG16" s="460"/>
      <c r="AH16" s="460"/>
      <c r="AI16" s="460"/>
      <c r="AQ16" s="42" t="n">
        <v>0</v>
      </c>
    </row>
    <row r="17" customFormat="false" ht="14.25" hidden="true" customHeight="true" outlineLevel="0" collapsed="false">
      <c r="AQ17" s="42" t="n">
        <v>0</v>
      </c>
    </row>
    <row r="18" s="45" customFormat="true" ht="22.5" hidden="true" customHeight="true" outlineLevel="0" collapsed="false">
      <c r="L18" s="44"/>
      <c r="M18" s="51"/>
      <c r="N18" s="51"/>
      <c r="O18" s="462" t="s">
        <v>430</v>
      </c>
      <c r="P18" s="51"/>
      <c r="Q18" s="463"/>
      <c r="R18" s="463"/>
      <c r="S18" s="40"/>
      <c r="Y18" s="462"/>
      <c r="AA18" s="462"/>
      <c r="AF18" s="462"/>
      <c r="AH18" s="462"/>
      <c r="AL18" s="47"/>
      <c r="AM18" s="47"/>
      <c r="AN18" s="47"/>
      <c r="AO18" s="47"/>
      <c r="AP18" s="47"/>
      <c r="AQ18" s="45" t="n">
        <v>0</v>
      </c>
    </row>
    <row r="19" s="45" customFormat="true" ht="14.25" hidden="true" customHeight="true" outlineLevel="0" collapsed="false">
      <c r="L19" s="44"/>
      <c r="M19" s="51"/>
      <c r="N19" s="51"/>
      <c r="O19" s="51"/>
      <c r="P19" s="51"/>
      <c r="Q19" s="463"/>
      <c r="R19" s="463"/>
      <c r="S19" s="40"/>
      <c r="AL19" s="47"/>
      <c r="AM19" s="47"/>
      <c r="AN19" s="47"/>
      <c r="AO19" s="47"/>
      <c r="AP19" s="47"/>
      <c r="AQ19" s="45" t="n">
        <v>0</v>
      </c>
    </row>
    <row r="20" s="45" customFormat="true" ht="12" hidden="true" customHeight="true" outlineLevel="0" collapsed="false">
      <c r="L20" s="44"/>
      <c r="M20" s="51"/>
      <c r="N20" s="51"/>
      <c r="O20" s="414" t="s">
        <v>431</v>
      </c>
      <c r="P20" s="51"/>
      <c r="Q20" s="579"/>
      <c r="R20" s="579"/>
      <c r="S20" s="40"/>
      <c r="T20" s="45" t="s">
        <v>432</v>
      </c>
      <c r="Z20" s="140" t="s">
        <v>433</v>
      </c>
      <c r="AB20" s="140" t="s">
        <v>434</v>
      </c>
      <c r="AC20" s="45" t="s">
        <v>432</v>
      </c>
      <c r="AG20" s="140" t="s">
        <v>435</v>
      </c>
      <c r="AI20" s="140" t="s">
        <v>434</v>
      </c>
      <c r="AQ20" s="45" t="n">
        <v>0</v>
      </c>
    </row>
    <row r="21" customFormat="false" ht="14.25" hidden="true" customHeight="true" outlineLevel="0" collapsed="false">
      <c r="O21" s="414"/>
      <c r="AQ21" s="42" t="n">
        <v>0</v>
      </c>
    </row>
    <row r="22" customFormat="false" ht="14.25" hidden="true" customHeight="true" outlineLevel="0" collapsed="false">
      <c r="O22" s="414"/>
      <c r="AQ22" s="42" t="n">
        <v>0</v>
      </c>
    </row>
    <row r="23" customFormat="false" ht="14.25" hidden="false" customHeight="true" outlineLevel="0" collapsed="false">
      <c r="Q23" s="464"/>
      <c r="R23" s="464"/>
      <c r="S23" s="465"/>
      <c r="T23" s="80"/>
      <c r="U23" s="80"/>
      <c r="AQ23" s="42" t="n">
        <v>14</v>
      </c>
    </row>
    <row r="24" customFormat="false" ht="14.25" hidden="false" customHeight="true" outlineLevel="0" collapsed="false">
      <c r="Q24" s="464"/>
      <c r="R24" s="46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64"/>
      <c r="R25" s="464"/>
      <c r="S25" s="261" t="str">
        <f aca="false">IF(org=0,"Не определено",org)</f>
        <v>ООО "Газпром теплоэнерго Ярославль"</v>
      </c>
      <c r="T25" s="261"/>
      <c r="U25" s="261"/>
      <c r="V25" s="261"/>
      <c r="W25" s="261"/>
      <c r="X25" s="261"/>
      <c r="Y25" s="261"/>
      <c r="Z25" s="261"/>
      <c r="AA25" s="261"/>
      <c r="AB25" s="261"/>
      <c r="AC25" s="261"/>
      <c r="AD25" s="261"/>
      <c r="AE25" s="261"/>
      <c r="AF25" s="261"/>
      <c r="AG25" s="261"/>
      <c r="AH25" s="261"/>
      <c r="AI25" s="222"/>
      <c r="AQ25" s="42" t="n">
        <v>14</v>
      </c>
    </row>
    <row r="26" customFormat="false" ht="14.25" hidden="true" customHeight="true" outlineLevel="0" collapsed="false">
      <c r="Q26" s="464"/>
      <c r="R26" s="464"/>
      <c r="S26" s="465"/>
      <c r="T26" s="80"/>
      <c r="U26" s="80"/>
      <c r="V26" s="466"/>
      <c r="W26" s="466"/>
      <c r="X26" s="466"/>
      <c r="Y26" s="466"/>
      <c r="Z26" s="466"/>
      <c r="AA26" s="466"/>
      <c r="AB26" s="466"/>
      <c r="AC26" s="466"/>
      <c r="AD26" s="466"/>
      <c r="AE26" s="466"/>
      <c r="AF26" s="466"/>
      <c r="AG26" s="466"/>
      <c r="AH26" s="466"/>
      <c r="AI26" s="466"/>
      <c r="AQ26" s="42" t="n">
        <v>0</v>
      </c>
    </row>
    <row r="27" s="175" customFormat="true" ht="25.5" hidden="true" customHeight="true" outlineLevel="0" collapsed="false">
      <c r="A27" s="140"/>
      <c r="B27" s="140"/>
      <c r="C27" s="140"/>
      <c r="D27" s="140"/>
      <c r="E27" s="140"/>
      <c r="F27" s="140"/>
      <c r="G27" s="140"/>
      <c r="H27" s="140"/>
      <c r="I27" s="140"/>
      <c r="J27" s="140"/>
      <c r="K27" s="140"/>
      <c r="L27" s="414"/>
      <c r="M27" s="140"/>
      <c r="N27" s="140"/>
      <c r="O27" s="140"/>
      <c r="S27" s="467" t="s">
        <v>40</v>
      </c>
      <c r="T27" s="467"/>
      <c r="U27" s="468"/>
      <c r="V27" s="469" t="str">
        <f aca="false">IF(TITLE_NAME_OR_PR_CHANGE="",IF(TITLE_NAME_OR_PR="","",TITLE_NAME_OR_PR),TITLE_NAME_OR_PR_CHANGE)</f>
        <v/>
      </c>
      <c r="W27" s="469"/>
      <c r="X27" s="469"/>
      <c r="Y27" s="469"/>
      <c r="Z27" s="469"/>
      <c r="AA27" s="469"/>
      <c r="AB27" s="42"/>
      <c r="AC27" s="469" t="str">
        <f aca="false">IF(TITLE_NAME_OR_PR_CHANGE="",IF(TITLE_NAME_OR_PR="","",TITLE_NAME_OR_PR),TITLE_NAME_OR_PR_CHANGE)</f>
        <v/>
      </c>
      <c r="AD27" s="469"/>
      <c r="AE27" s="469"/>
      <c r="AF27" s="469"/>
      <c r="AG27" s="469"/>
      <c r="AH27" s="469"/>
      <c r="AI27" s="42"/>
      <c r="AJ27" s="42"/>
      <c r="AK27" s="470"/>
      <c r="AL27" s="118"/>
      <c r="AM27" s="118"/>
      <c r="AN27" s="118"/>
      <c r="AO27" s="118"/>
      <c r="AP27" s="118"/>
      <c r="AQ27" s="175" t="n">
        <v>0</v>
      </c>
    </row>
    <row r="28" s="175" customFormat="true" ht="18.75" hidden="true" customHeight="true" outlineLevel="0" collapsed="false">
      <c r="A28" s="140"/>
      <c r="B28" s="140"/>
      <c r="C28" s="140"/>
      <c r="D28" s="140"/>
      <c r="E28" s="140"/>
      <c r="F28" s="140"/>
      <c r="G28" s="140"/>
      <c r="H28" s="140"/>
      <c r="I28" s="140"/>
      <c r="J28" s="140"/>
      <c r="K28" s="140"/>
      <c r="L28" s="414"/>
      <c r="M28" s="140"/>
      <c r="N28" s="140"/>
      <c r="O28" s="140"/>
      <c r="S28" s="467" t="s">
        <v>436</v>
      </c>
      <c r="T28" s="467"/>
      <c r="U28" s="468"/>
      <c r="V28" s="471" t="str">
        <f aca="false">IF(TITLE_DATE_PR_CHANGE="",IF(TITLE_DATE_PR="","",TITLE_DATE_PR),TITLE_DATE_PR_CHANGE)</f>
        <v/>
      </c>
      <c r="W28" s="471"/>
      <c r="X28" s="471"/>
      <c r="Y28" s="471"/>
      <c r="Z28" s="471"/>
      <c r="AA28" s="471"/>
      <c r="AB28" s="42"/>
      <c r="AC28" s="471" t="str">
        <f aca="false">IF(TITLE_DATE_PR_CHANGE="",IF(TITLE_DATE_PR="","",TITLE_DATE_PR),TITLE_DATE_PR_CHANGE)</f>
        <v/>
      </c>
      <c r="AD28" s="471"/>
      <c r="AE28" s="471"/>
      <c r="AF28" s="471"/>
      <c r="AG28" s="471"/>
      <c r="AH28" s="471"/>
      <c r="AI28" s="42"/>
      <c r="AJ28" s="42"/>
      <c r="AK28" s="470"/>
      <c r="AL28" s="118"/>
      <c r="AM28" s="118"/>
      <c r="AN28" s="118"/>
      <c r="AO28" s="118"/>
      <c r="AP28" s="118"/>
      <c r="AQ28" s="175" t="n">
        <v>0</v>
      </c>
    </row>
    <row r="29" s="175" customFormat="true" ht="18.75" hidden="true" customHeight="true" outlineLevel="0" collapsed="false">
      <c r="A29" s="140"/>
      <c r="B29" s="140"/>
      <c r="C29" s="140"/>
      <c r="D29" s="140"/>
      <c r="E29" s="140"/>
      <c r="F29" s="140"/>
      <c r="G29" s="140"/>
      <c r="H29" s="140"/>
      <c r="I29" s="140"/>
      <c r="J29" s="140"/>
      <c r="K29" s="140"/>
      <c r="L29" s="414"/>
      <c r="M29" s="140"/>
      <c r="N29" s="140"/>
      <c r="O29" s="140"/>
      <c r="S29" s="467" t="s">
        <v>437</v>
      </c>
      <c r="T29" s="467"/>
      <c r="U29" s="468"/>
      <c r="V29" s="469" t="str">
        <f aca="false">IF(TITLE_NUMBER_PR_CHANGE="",IF(TITLE_NUMBER_PR="","",TITLE_NUMBER_PR),TITLE_NUMBER_PR_CHANGE)</f>
        <v/>
      </c>
      <c r="W29" s="469"/>
      <c r="X29" s="469"/>
      <c r="Y29" s="469"/>
      <c r="Z29" s="469"/>
      <c r="AA29" s="469"/>
      <c r="AB29" s="42"/>
      <c r="AC29" s="469" t="str">
        <f aca="false">IF(TITLE_NUMBER_PR_CHANGE="",IF(TITLE_NUMBER_PR="","",TITLE_NUMBER_PR),TITLE_NUMBER_PR_CHANGE)</f>
        <v/>
      </c>
      <c r="AD29" s="469"/>
      <c r="AE29" s="469"/>
      <c r="AF29" s="469"/>
      <c r="AG29" s="469"/>
      <c r="AH29" s="469"/>
      <c r="AI29" s="42"/>
      <c r="AJ29" s="42"/>
      <c r="AK29" s="470"/>
      <c r="AL29" s="118"/>
      <c r="AM29" s="118"/>
      <c r="AN29" s="118"/>
      <c r="AO29" s="118"/>
      <c r="AP29" s="118"/>
      <c r="AQ29" s="175" t="n">
        <v>0</v>
      </c>
    </row>
    <row r="30" s="175" customFormat="true" ht="18.75" hidden="true" customHeight="true" outlineLevel="0" collapsed="false">
      <c r="A30" s="140"/>
      <c r="B30" s="140"/>
      <c r="C30" s="140"/>
      <c r="D30" s="140"/>
      <c r="E30" s="140"/>
      <c r="F30" s="140"/>
      <c r="G30" s="140"/>
      <c r="H30" s="140"/>
      <c r="I30" s="140"/>
      <c r="J30" s="140"/>
      <c r="K30" s="140"/>
      <c r="L30" s="414"/>
      <c r="M30" s="140"/>
      <c r="N30" s="140"/>
      <c r="O30" s="140"/>
      <c r="S30" s="467" t="s">
        <v>41</v>
      </c>
      <c r="T30" s="467"/>
      <c r="U30" s="468"/>
      <c r="V30" s="469" t="str">
        <f aca="false">IF(TITLE_IST_PUB_CHANGE="",IF(TITLE_IST_PUB="","",TITLE_IST_PUB),TITLE_IST_PUB_CHANGE)</f>
        <v/>
      </c>
      <c r="W30" s="469"/>
      <c r="X30" s="469"/>
      <c r="Y30" s="469"/>
      <c r="Z30" s="469"/>
      <c r="AA30" s="469"/>
      <c r="AB30" s="42"/>
      <c r="AC30" s="469" t="str">
        <f aca="false">IF(TITLE_IST_PUB_CHANGE="",IF(TITLE_IST_PUB="","",TITLE_IST_PUB),TITLE_IST_PUB_CHANGE)</f>
        <v/>
      </c>
      <c r="AD30" s="469"/>
      <c r="AE30" s="469"/>
      <c r="AF30" s="469"/>
      <c r="AG30" s="469"/>
      <c r="AH30" s="469"/>
      <c r="AI30" s="42"/>
      <c r="AJ30" s="42"/>
      <c r="AK30" s="470"/>
      <c r="AL30" s="118"/>
      <c r="AM30" s="118"/>
      <c r="AN30" s="118"/>
      <c r="AO30" s="118"/>
      <c r="AP30" s="118"/>
      <c r="AQ30" s="175" t="n">
        <v>0</v>
      </c>
    </row>
    <row r="31" customFormat="false" ht="14.25" hidden="true" customHeight="true" outlineLevel="0" collapsed="false">
      <c r="Q31" s="464"/>
      <c r="R31" s="464"/>
      <c r="S31" s="465"/>
      <c r="T31" s="80"/>
      <c r="U31" s="80"/>
      <c r="V31" s="466"/>
      <c r="W31" s="466"/>
      <c r="X31" s="466"/>
      <c r="Y31" s="466"/>
      <c r="Z31" s="466"/>
      <c r="AA31" s="466"/>
      <c r="AB31" s="466"/>
      <c r="AC31" s="466"/>
      <c r="AD31" s="466"/>
      <c r="AE31" s="466"/>
      <c r="AF31" s="466"/>
      <c r="AG31" s="466"/>
      <c r="AH31" s="466"/>
      <c r="AI31" s="466"/>
      <c r="AQ31" s="42" t="n">
        <v>0</v>
      </c>
    </row>
    <row r="32" s="175" customFormat="true" ht="18.75" hidden="true" customHeight="true" outlineLevel="0" collapsed="false">
      <c r="A32" s="140"/>
      <c r="B32" s="140"/>
      <c r="C32" s="140"/>
      <c r="D32" s="140"/>
      <c r="E32" s="140"/>
      <c r="F32" s="140"/>
      <c r="G32" s="140"/>
      <c r="H32" s="140"/>
      <c r="I32" s="140"/>
      <c r="J32" s="140"/>
      <c r="K32" s="140"/>
      <c r="L32" s="414"/>
      <c r="M32" s="140"/>
      <c r="N32" s="140"/>
      <c r="O32" s="140"/>
      <c r="S32" s="467" t="s">
        <v>438</v>
      </c>
      <c r="T32" s="467"/>
      <c r="U32" s="468"/>
      <c r="V32" s="471" t="str">
        <f aca="false">IF(TITLE_DATE_PR_CHANGE="",IF(TITLE_DATE_PR="","",TITLE_DATE_PR),TITLE_DATE_PR_CHANGE)</f>
        <v/>
      </c>
      <c r="W32" s="471"/>
      <c r="X32" s="471"/>
      <c r="Y32" s="471"/>
      <c r="Z32" s="471"/>
      <c r="AA32" s="471"/>
      <c r="AB32" s="42"/>
      <c r="AC32" s="471" t="str">
        <f aca="false">IF(TITLE_DATE_PR_CHANGE="",IF(TITLE_DATE_PR="","",TITLE_DATE_PR),TITLE_DATE_PR_CHANGE)</f>
        <v/>
      </c>
      <c r="AD32" s="471"/>
      <c r="AE32" s="471"/>
      <c r="AF32" s="471"/>
      <c r="AG32" s="471"/>
      <c r="AH32" s="471"/>
      <c r="AI32" s="42"/>
      <c r="AJ32" s="42"/>
      <c r="AK32" s="470"/>
      <c r="AL32" s="118"/>
      <c r="AM32" s="118"/>
      <c r="AN32" s="118"/>
      <c r="AO32" s="118"/>
      <c r="AP32" s="118"/>
      <c r="AQ32" s="175" t="n">
        <v>0</v>
      </c>
    </row>
    <row r="33" s="175" customFormat="true" ht="18.75" hidden="true" customHeight="true" outlineLevel="0" collapsed="false">
      <c r="A33" s="140"/>
      <c r="B33" s="140"/>
      <c r="C33" s="140"/>
      <c r="D33" s="140"/>
      <c r="E33" s="140"/>
      <c r="F33" s="140"/>
      <c r="G33" s="140"/>
      <c r="H33" s="140"/>
      <c r="I33" s="140"/>
      <c r="J33" s="140"/>
      <c r="K33" s="140"/>
      <c r="L33" s="414"/>
      <c r="M33" s="140"/>
      <c r="N33" s="140"/>
      <c r="O33" s="140"/>
      <c r="S33" s="467" t="s">
        <v>439</v>
      </c>
      <c r="T33" s="467"/>
      <c r="U33" s="468"/>
      <c r="V33" s="469" t="str">
        <f aca="false">IF(TITLE_NUMBER_PR_CHANGE="",IF(TITLE_NUMBER_PR="","",TITLE_NUMBER_PR),TITLE_NUMBER_PR_CHANGE)</f>
        <v/>
      </c>
      <c r="W33" s="469"/>
      <c r="X33" s="469"/>
      <c r="Y33" s="469"/>
      <c r="Z33" s="469"/>
      <c r="AA33" s="469"/>
      <c r="AB33" s="42"/>
      <c r="AC33" s="469" t="str">
        <f aca="false">IF(TITLE_NUMBER_PR_CHANGE="",IF(TITLE_NUMBER_PR="","",TITLE_NUMBER_PR),TITLE_NUMBER_PR_CHANGE)</f>
        <v/>
      </c>
      <c r="AD33" s="469"/>
      <c r="AE33" s="469"/>
      <c r="AF33" s="469"/>
      <c r="AG33" s="469"/>
      <c r="AH33" s="469"/>
      <c r="AI33" s="42"/>
      <c r="AJ33" s="42"/>
      <c r="AK33" s="470"/>
      <c r="AL33" s="118"/>
      <c r="AM33" s="118"/>
      <c r="AN33" s="118"/>
      <c r="AO33" s="118"/>
      <c r="AP33" s="118"/>
      <c r="AQ33" s="175" t="n">
        <v>0</v>
      </c>
    </row>
    <row r="34" s="175" customFormat="true" ht="0.75" hidden="false" customHeight="true" outlineLevel="0" collapsed="false">
      <c r="A34" s="140"/>
      <c r="B34" s="140"/>
      <c r="C34" s="140"/>
      <c r="D34" s="140"/>
      <c r="E34" s="140"/>
      <c r="F34" s="140"/>
      <c r="G34" s="140"/>
      <c r="H34" s="140"/>
      <c r="I34" s="140"/>
      <c r="J34" s="140"/>
      <c r="K34" s="140"/>
      <c r="L34" s="414"/>
      <c r="M34" s="140"/>
      <c r="N34" s="140"/>
      <c r="O34" s="140"/>
      <c r="S34" s="42"/>
      <c r="T34" s="42"/>
      <c r="U34" s="128"/>
      <c r="V34" s="42"/>
      <c r="W34" s="42"/>
      <c r="X34" s="42"/>
      <c r="Y34" s="42"/>
      <c r="Z34" s="42"/>
      <c r="AA34" s="42"/>
      <c r="AB34" s="47" t="s">
        <v>440</v>
      </c>
      <c r="AC34" s="42"/>
      <c r="AD34" s="42"/>
      <c r="AE34" s="42"/>
      <c r="AF34" s="42"/>
      <c r="AG34" s="42"/>
      <c r="AH34" s="42"/>
      <c r="AI34" s="47" t="s">
        <v>440</v>
      </c>
      <c r="AL34" s="118"/>
      <c r="AM34" s="118"/>
      <c r="AN34" s="118"/>
      <c r="AO34" s="118"/>
      <c r="AP34" s="118"/>
      <c r="AQ34" s="175" t="n">
        <v>1</v>
      </c>
    </row>
    <row r="35" customFormat="false" ht="14.25" hidden="false" customHeight="true" outlineLevel="0" collapsed="false">
      <c r="Q35" s="464"/>
      <c r="R35" s="464"/>
      <c r="S35" s="465"/>
      <c r="T35" s="80"/>
      <c r="U35" s="472"/>
      <c r="V35" s="473"/>
      <c r="W35" s="473"/>
      <c r="X35" s="473"/>
      <c r="Y35" s="473"/>
      <c r="Z35" s="473"/>
      <c r="AA35" s="473"/>
      <c r="AB35" s="473"/>
      <c r="AC35" s="473"/>
      <c r="AD35" s="473"/>
      <c r="AE35" s="473"/>
      <c r="AF35" s="473"/>
      <c r="AG35" s="473"/>
      <c r="AH35" s="473"/>
      <c r="AI35" s="473"/>
      <c r="AQ35" s="42" t="n">
        <v>14</v>
      </c>
    </row>
    <row r="36" customFormat="false" ht="14.25" hidden="false" customHeight="true" outlineLevel="0" collapsed="false">
      <c r="Q36" s="464"/>
      <c r="R36" s="464"/>
      <c r="S36" s="134" t="s">
        <v>313</v>
      </c>
      <c r="T36" s="134"/>
      <c r="U36" s="134"/>
      <c r="V36" s="134"/>
      <c r="W36" s="134"/>
      <c r="X36" s="134"/>
      <c r="Y36" s="134"/>
      <c r="Z36" s="134"/>
      <c r="AA36" s="134"/>
      <c r="AB36" s="134"/>
      <c r="AC36" s="134"/>
      <c r="AD36" s="134"/>
      <c r="AE36" s="134"/>
      <c r="AF36" s="134"/>
      <c r="AG36" s="134"/>
      <c r="AH36" s="134"/>
      <c r="AI36" s="134"/>
      <c r="AJ36" s="134"/>
      <c r="AK36" s="134" t="s">
        <v>314</v>
      </c>
      <c r="AQ36" s="42" t="n">
        <v>14</v>
      </c>
    </row>
    <row r="37" customFormat="false" ht="14.25" hidden="false" customHeight="true" outlineLevel="0" collapsed="false">
      <c r="Q37" s="464"/>
      <c r="R37" s="464"/>
      <c r="S37" s="474" t="s">
        <v>87</v>
      </c>
      <c r="T37" s="391" t="s">
        <v>441</v>
      </c>
      <c r="U37" s="475"/>
      <c r="V37" s="296" t="s">
        <v>442</v>
      </c>
      <c r="W37" s="296"/>
      <c r="X37" s="296"/>
      <c r="Y37" s="296"/>
      <c r="Z37" s="296"/>
      <c r="AA37" s="296"/>
      <c r="AB37" s="391" t="s">
        <v>443</v>
      </c>
      <c r="AC37" s="296" t="s">
        <v>442</v>
      </c>
      <c r="AD37" s="296"/>
      <c r="AE37" s="296"/>
      <c r="AF37" s="296"/>
      <c r="AG37" s="296"/>
      <c r="AH37" s="296"/>
      <c r="AI37" s="391" t="s">
        <v>444</v>
      </c>
      <c r="AJ37" s="476" t="s">
        <v>445</v>
      </c>
      <c r="AK37" s="134"/>
      <c r="AQ37" s="42" t="n">
        <v>14</v>
      </c>
    </row>
    <row r="38" customFormat="false" ht="35.25" hidden="false" customHeight="true" outlineLevel="0" collapsed="false">
      <c r="Q38" s="464"/>
      <c r="R38" s="464"/>
      <c r="S38" s="474"/>
      <c r="T38" s="391"/>
      <c r="U38" s="477"/>
      <c r="V38" s="262" t="s">
        <v>502</v>
      </c>
      <c r="W38" s="134" t="s">
        <v>448</v>
      </c>
      <c r="X38" s="134"/>
      <c r="Y38" s="134" t="s">
        <v>449</v>
      </c>
      <c r="Z38" s="134"/>
      <c r="AA38" s="134"/>
      <c r="AB38" s="391"/>
      <c r="AC38" s="262" t="s">
        <v>502</v>
      </c>
      <c r="AD38" s="134" t="s">
        <v>448</v>
      </c>
      <c r="AE38" s="134"/>
      <c r="AF38" s="134" t="s">
        <v>449</v>
      </c>
      <c r="AG38" s="134"/>
      <c r="AH38" s="134"/>
      <c r="AI38" s="391"/>
      <c r="AJ38" s="476"/>
      <c r="AK38" s="134"/>
      <c r="AQ38" s="42" t="n">
        <v>34</v>
      </c>
    </row>
    <row r="39" customFormat="false" ht="35.25" hidden="false" customHeight="true" outlineLevel="0" collapsed="false">
      <c r="A39" s="140"/>
      <c r="B39" s="140" t="s">
        <v>150</v>
      </c>
      <c r="C39" s="140" t="s">
        <v>151</v>
      </c>
      <c r="D39" s="140" t="s">
        <v>152</v>
      </c>
      <c r="E39" s="414" t="s">
        <v>450</v>
      </c>
      <c r="F39" s="414" t="s">
        <v>451</v>
      </c>
      <c r="G39" s="414" t="s">
        <v>452</v>
      </c>
      <c r="H39" s="414"/>
      <c r="I39" s="414" t="s">
        <v>503</v>
      </c>
      <c r="J39" s="414" t="s">
        <v>455</v>
      </c>
      <c r="K39" s="414" t="s">
        <v>504</v>
      </c>
      <c r="L39" s="414" t="s">
        <v>431</v>
      </c>
      <c r="Q39" s="464"/>
      <c r="R39" s="464"/>
      <c r="S39" s="474"/>
      <c r="T39" s="391"/>
      <c r="U39" s="478"/>
      <c r="V39" s="262" t="s">
        <v>505</v>
      </c>
      <c r="W39" s="185" t="s">
        <v>506</v>
      </c>
      <c r="X39" s="185" t="s">
        <v>507</v>
      </c>
      <c r="Y39" s="185" t="s">
        <v>459</v>
      </c>
      <c r="Z39" s="185" t="s">
        <v>460</v>
      </c>
      <c r="AA39" s="185"/>
      <c r="AB39" s="391"/>
      <c r="AC39" s="262" t="s">
        <v>505</v>
      </c>
      <c r="AD39" s="185" t="s">
        <v>506</v>
      </c>
      <c r="AE39" s="185" t="s">
        <v>507</v>
      </c>
      <c r="AF39" s="185" t="s">
        <v>459</v>
      </c>
      <c r="AG39" s="185" t="s">
        <v>460</v>
      </c>
      <c r="AH39" s="185"/>
      <c r="AI39" s="391"/>
      <c r="AJ39" s="476"/>
      <c r="AK39" s="134"/>
      <c r="AQ39" s="42" t="n">
        <v>34</v>
      </c>
    </row>
    <row r="40" s="120" customFormat="true" ht="11.25" hidden="true" customHeight="true" outlineLevel="0" collapsed="false">
      <c r="A40" s="140"/>
      <c r="B40" s="140"/>
      <c r="C40" s="140"/>
      <c r="D40" s="140"/>
      <c r="E40" s="140"/>
      <c r="F40" s="140"/>
      <c r="G40" s="140"/>
      <c r="H40" s="140"/>
      <c r="I40" s="140"/>
      <c r="J40" s="140"/>
      <c r="K40" s="140"/>
      <c r="L40" s="414"/>
      <c r="M40" s="51"/>
      <c r="N40" s="51"/>
      <c r="O40" s="51"/>
      <c r="P40" s="479"/>
      <c r="Q40" s="480"/>
      <c r="R40" s="481" t="n">
        <v>1</v>
      </c>
      <c r="S40" s="482" t="s">
        <v>120</v>
      </c>
      <c r="T40" s="483" t="s">
        <v>102</v>
      </c>
      <c r="U40" s="484" t="str">
        <f aca="true">OFFSET(U40,0,-1)</f>
        <v>2</v>
      </c>
      <c r="V40" s="485" t="n">
        <f aca="true">OFFSET(V40,0,-1)+1</f>
        <v>3</v>
      </c>
      <c r="W40" s="485" t="n">
        <f aca="true">OFFSET(W40,0,-1)+1</f>
        <v>4</v>
      </c>
      <c r="X40" s="485" t="n">
        <f aca="true">OFFSET(X40,0,-1)+1</f>
        <v>5</v>
      </c>
      <c r="Y40" s="485" t="n">
        <f aca="true">OFFSET(Y40,0,-1)+1</f>
        <v>6</v>
      </c>
      <c r="Z40" s="485" t="n">
        <f aca="true">OFFSET(Z40,0,-1)+1</f>
        <v>7</v>
      </c>
      <c r="AA40" s="485"/>
      <c r="AB40" s="485" t="n">
        <f aca="true">OFFSET(AB40,0,-2)+1</f>
        <v>8</v>
      </c>
      <c r="AC40" s="485" t="n">
        <f aca="true">OFFSET(AC40,0,-1)+1</f>
        <v>9</v>
      </c>
      <c r="AD40" s="485" t="n">
        <f aca="true">OFFSET(AD40,0,-1)+1</f>
        <v>10</v>
      </c>
      <c r="AE40" s="485" t="n">
        <f aca="true">OFFSET(AE40,0,-1)+1</f>
        <v>11</v>
      </c>
      <c r="AF40" s="485" t="n">
        <f aca="true">OFFSET(AF40,0,-1)+1</f>
        <v>12</v>
      </c>
      <c r="AG40" s="485" t="n">
        <f aca="true">OFFSET(AG40,0,-1)+1</f>
        <v>13</v>
      </c>
      <c r="AH40" s="485"/>
      <c r="AI40" s="485" t="n">
        <f aca="true">OFFSET(AI40,0,-2)+1</f>
        <v>14</v>
      </c>
      <c r="AJ40" s="484" t="n">
        <f aca="true">OFFSET(AJ40,0,-1)</f>
        <v>14</v>
      </c>
      <c r="AK40" s="485" t="n">
        <f aca="true">OFFSET(AK40,0,-1)+1</f>
        <v>15</v>
      </c>
      <c r="AL40" s="47"/>
      <c r="AM40" s="47"/>
      <c r="AN40" s="47"/>
      <c r="AO40" s="47"/>
      <c r="AP40" s="47"/>
      <c r="AQ40" s="120" t="n">
        <v>0</v>
      </c>
    </row>
    <row r="41" customFormat="false" ht="24" hidden="false" customHeight="true" outlineLevel="0" collapsed="false">
      <c r="A41" s="412" t="s">
        <v>239</v>
      </c>
      <c r="B41" s="412"/>
      <c r="C41" s="412"/>
      <c r="D41" s="412"/>
      <c r="E41" s="413" t="n">
        <v>1</v>
      </c>
      <c r="F41" s="412"/>
      <c r="G41" s="412"/>
      <c r="H41" s="412"/>
      <c r="I41" s="412"/>
      <c r="J41" s="412"/>
      <c r="K41" s="412"/>
      <c r="L41" s="414"/>
      <c r="M41" s="40"/>
      <c r="N41" s="40"/>
      <c r="O41" s="40"/>
      <c r="Q41" s="132"/>
      <c r="R41" s="415"/>
      <c r="S41" s="416" t="n">
        <f aca="false">INDEX(PT_DIFFERENTIATION_NUM_NTAR,MATCH(A41,PT_DIFFERENTIATION_NTAR_ID,0))</f>
        <v>0</v>
      </c>
      <c r="T41" s="417" t="s">
        <v>138</v>
      </c>
      <c r="U41" s="418"/>
      <c r="V41" s="419"/>
      <c r="W41" s="419"/>
      <c r="X41" s="419"/>
      <c r="Y41" s="419"/>
      <c r="Z41" s="419"/>
      <c r="AA41" s="419"/>
      <c r="AB41" s="419"/>
      <c r="AC41" s="419" t="str">
        <f aca="false">INDEX(PT_DIFFERENTIATION_NTAR,MATCH(A41,PT_DIFFERENTIATION_NTAR_ID,0))</f>
        <v/>
      </c>
      <c r="AD41" s="419"/>
      <c r="AE41" s="419"/>
      <c r="AF41" s="419"/>
      <c r="AG41" s="419"/>
      <c r="AH41" s="419"/>
      <c r="AI41" s="419"/>
      <c r="AJ41" s="419"/>
      <c r="AK41" s="42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8"/>
      <c r="AN41" s="118" t="str">
        <f aca="false">IF(T41="","",T41)</f>
        <v>Наименование тарифа</v>
      </c>
      <c r="AO41" s="118"/>
      <c r="AP41" s="118"/>
      <c r="AQ41" s="42" t="n">
        <v>23</v>
      </c>
    </row>
    <row r="42" customFormat="false" ht="24" hidden="false" customHeight="true" outlineLevel="0" collapsed="false">
      <c r="A42" s="412" t="s">
        <v>239</v>
      </c>
      <c r="B42" s="412" t="s">
        <v>240</v>
      </c>
      <c r="C42" s="412"/>
      <c r="D42" s="412"/>
      <c r="E42" s="413"/>
      <c r="F42" s="413" t="n">
        <v>1</v>
      </c>
      <c r="G42" s="412"/>
      <c r="H42" s="412"/>
      <c r="I42" s="412"/>
      <c r="J42" s="412"/>
      <c r="K42" s="412"/>
      <c r="L42" s="414"/>
      <c r="M42" s="40"/>
      <c r="N42" s="40"/>
      <c r="O42" s="40"/>
      <c r="P42" s="43"/>
      <c r="Q42" s="422"/>
      <c r="R42" s="423"/>
      <c r="S42" s="416" t="str">
        <f aca="false">INDEX(PT_DIFFERENTIATION_NUM_TER,MATCH(B42,PT_DIFFERENTIATION_TER_ID,0))</f>
        <v>.</v>
      </c>
      <c r="T42" s="424" t="s">
        <v>410</v>
      </c>
      <c r="U42" s="418"/>
      <c r="V42" s="419"/>
      <c r="W42" s="419"/>
      <c r="X42" s="419"/>
      <c r="Y42" s="419"/>
      <c r="Z42" s="419"/>
      <c r="AA42" s="419"/>
      <c r="AB42" s="419"/>
      <c r="AC42" s="419" t="str">
        <f aca="false">INDEX(PT_DIFFERENTIATION_TER,MATCH(B42,PT_DIFFERENTIATION_TER_ID,0))</f>
        <v/>
      </c>
      <c r="AD42" s="419"/>
      <c r="AE42" s="419"/>
      <c r="AF42" s="419"/>
      <c r="AG42" s="419"/>
      <c r="AH42" s="419"/>
      <c r="AI42" s="419"/>
      <c r="AJ42" s="419"/>
      <c r="AK42" s="421" t="s">
        <v>411</v>
      </c>
      <c r="AM42" s="118"/>
      <c r="AN42" s="118" t="str">
        <f aca="false">IF(T42="","",T42)</f>
        <v>Территория действия тарифа</v>
      </c>
      <c r="AO42" s="118"/>
      <c r="AP42" s="118"/>
      <c r="AQ42" s="42" t="n">
        <v>23</v>
      </c>
    </row>
    <row r="43" customFormat="false" ht="24" hidden="false" customHeight="true" outlineLevel="0" collapsed="false">
      <c r="A43" s="412" t="s">
        <v>239</v>
      </c>
      <c r="B43" s="412" t="s">
        <v>240</v>
      </c>
      <c r="C43" s="412" t="s">
        <v>241</v>
      </c>
      <c r="D43" s="412"/>
      <c r="E43" s="413"/>
      <c r="F43" s="413"/>
      <c r="G43" s="413" t="n">
        <v>1</v>
      </c>
      <c r="H43" s="412"/>
      <c r="I43" s="412"/>
      <c r="J43" s="412"/>
      <c r="K43" s="412"/>
      <c r="L43" s="414"/>
      <c r="M43" s="40"/>
      <c r="N43" s="40"/>
      <c r="O43" s="40"/>
      <c r="P43" s="425"/>
      <c r="Q43" s="422"/>
      <c r="R43" s="423"/>
      <c r="S43" s="416" t="str">
        <f aca="false">INDEX(PT_DIFFERENTIATION_NUM_CS,MATCH(C43,PT_DIFFERENTIATION_CS_ID,0))</f>
        <v>..</v>
      </c>
      <c r="T43" s="426" t="s">
        <v>494</v>
      </c>
      <c r="U43" s="418"/>
      <c r="V43" s="419"/>
      <c r="W43" s="419"/>
      <c r="X43" s="419"/>
      <c r="Y43" s="419"/>
      <c r="Z43" s="419"/>
      <c r="AA43" s="419"/>
      <c r="AB43" s="419"/>
      <c r="AC43" s="419" t="str">
        <f aca="false">INDEX(PT_DIFFERENTIATION_CS,MATCH(C43,PT_DIFFERENTIATION_CS_ID,0))</f>
        <v/>
      </c>
      <c r="AD43" s="419"/>
      <c r="AE43" s="419"/>
      <c r="AF43" s="419"/>
      <c r="AG43" s="419"/>
      <c r="AH43" s="419"/>
      <c r="AI43" s="419"/>
      <c r="AJ43" s="419"/>
      <c r="AK43" s="421" t="s">
        <v>495</v>
      </c>
      <c r="AM43" s="118"/>
      <c r="AN43" s="118" t="str">
        <f aca="false">IF(T43="","",T43)</f>
        <v>Наименование централизованной системы холодного водоснабжения</v>
      </c>
      <c r="AO43" s="118"/>
      <c r="AP43" s="118"/>
      <c r="AQ43" s="42" t="n">
        <v>23</v>
      </c>
    </row>
    <row r="44" customFormat="false" ht="24" hidden="false" customHeight="true" outlineLevel="0" collapsed="false">
      <c r="A44" s="412" t="s">
        <v>239</v>
      </c>
      <c r="B44" s="412" t="s">
        <v>240</v>
      </c>
      <c r="C44" s="412" t="s">
        <v>241</v>
      </c>
      <c r="D44" s="412" t="s">
        <v>508</v>
      </c>
      <c r="E44" s="413"/>
      <c r="F44" s="413"/>
      <c r="G44" s="413"/>
      <c r="H44" s="571"/>
      <c r="I44" s="428" t="str">
        <f aca="false">S43&amp;".1"</f>
        <v>...1</v>
      </c>
      <c r="J44" s="412"/>
      <c r="K44" s="412"/>
      <c r="L44" s="414"/>
      <c r="P44" s="121" t="n">
        <v>1</v>
      </c>
      <c r="Q44" s="121"/>
      <c r="R44" s="429"/>
      <c r="S44" s="416" t="str">
        <f aca="false">$I44</f>
        <v>...1</v>
      </c>
      <c r="T44" s="430" t="s">
        <v>496</v>
      </c>
      <c r="U44" s="418"/>
      <c r="V44" s="572"/>
      <c r="W44" s="572"/>
      <c r="X44" s="572"/>
      <c r="Y44" s="572"/>
      <c r="Z44" s="572"/>
      <c r="AA44" s="572"/>
      <c r="AB44" s="572"/>
      <c r="AC44" s="334"/>
      <c r="AD44" s="334"/>
      <c r="AE44" s="334"/>
      <c r="AF44" s="334"/>
      <c r="AG44" s="334"/>
      <c r="AH44" s="334"/>
      <c r="AI44" s="334"/>
      <c r="AJ44" s="334"/>
      <c r="AK44" s="421" t="s">
        <v>497</v>
      </c>
      <c r="AM44" s="118"/>
      <c r="AN44" s="118" t="str">
        <f aca="false">IF(T44="","",T44)</f>
        <v>Наименование признака дифференциации</v>
      </c>
      <c r="AO44" s="118"/>
      <c r="AP44" s="118"/>
      <c r="AQ44" s="42" t="n">
        <v>23</v>
      </c>
    </row>
    <row r="45" customFormat="false" ht="24" hidden="false" customHeight="true" outlineLevel="0" collapsed="false">
      <c r="A45" s="412" t="s">
        <v>239</v>
      </c>
      <c r="B45" s="412" t="s">
        <v>240</v>
      </c>
      <c r="C45" s="412" t="s">
        <v>241</v>
      </c>
      <c r="D45" s="412" t="s">
        <v>508</v>
      </c>
      <c r="E45" s="413"/>
      <c r="F45" s="413"/>
      <c r="G45" s="413"/>
      <c r="H45" s="413"/>
      <c r="I45" s="428"/>
      <c r="J45" s="428" t="str">
        <f aca="false">I44&amp;".1"</f>
        <v>...1.1</v>
      </c>
      <c r="K45" s="412"/>
      <c r="L45" s="414" t="s">
        <v>419</v>
      </c>
      <c r="P45" s="121"/>
      <c r="Q45" s="121" t="n">
        <v>1</v>
      </c>
      <c r="R45" s="432"/>
      <c r="S45" s="416" t="str">
        <f aca="false">$J45</f>
        <v>...1.1</v>
      </c>
      <c r="T45" s="433" t="s">
        <v>420</v>
      </c>
      <c r="U45" s="418"/>
      <c r="V45" s="431"/>
      <c r="W45" s="431"/>
      <c r="X45" s="431"/>
      <c r="Y45" s="431"/>
      <c r="Z45" s="431"/>
      <c r="AA45" s="431"/>
      <c r="AB45" s="431"/>
      <c r="AC45" s="431"/>
      <c r="AD45" s="431"/>
      <c r="AE45" s="431"/>
      <c r="AF45" s="431"/>
      <c r="AG45" s="431"/>
      <c r="AH45" s="431"/>
      <c r="AI45" s="431"/>
      <c r="AJ45" s="431"/>
      <c r="AK45" s="523" t="s">
        <v>498</v>
      </c>
      <c r="AM45" s="118"/>
      <c r="AN45" s="118" t="str">
        <f aca="false">IF(T45="","",T45)</f>
        <v>Группа потребителей</v>
      </c>
      <c r="AO45" s="118"/>
      <c r="AP45" s="118"/>
      <c r="AQ45" s="42" t="n">
        <v>23</v>
      </c>
    </row>
    <row r="46" customFormat="false" ht="24" hidden="false" customHeight="true" outlineLevel="0" collapsed="false">
      <c r="A46" s="412" t="s">
        <v>239</v>
      </c>
      <c r="B46" s="412" t="s">
        <v>240</v>
      </c>
      <c r="C46" s="412" t="s">
        <v>241</v>
      </c>
      <c r="D46" s="412" t="s">
        <v>508</v>
      </c>
      <c r="E46" s="413"/>
      <c r="F46" s="413"/>
      <c r="G46" s="413"/>
      <c r="H46" s="413"/>
      <c r="I46" s="428"/>
      <c r="J46" s="428"/>
      <c r="K46" s="428" t="str">
        <f aca="false">J45&amp;".1"</f>
        <v>...1.1.1</v>
      </c>
      <c r="L46" s="414"/>
      <c r="P46" s="121"/>
      <c r="Q46" s="121"/>
      <c r="R46" s="432" t="n">
        <v>1</v>
      </c>
      <c r="S46" s="416" t="str">
        <f aca="false">$K46</f>
        <v>...1.1.1</v>
      </c>
      <c r="T46" s="573"/>
      <c r="U46" s="418"/>
      <c r="V46" s="458"/>
      <c r="W46" s="458"/>
      <c r="X46" s="459"/>
      <c r="Y46" s="460"/>
      <c r="Z46" s="461" t="s">
        <v>61</v>
      </c>
      <c r="AA46" s="460"/>
      <c r="AB46" s="461" t="s">
        <v>61</v>
      </c>
      <c r="AC46" s="435"/>
      <c r="AD46" s="435"/>
      <c r="AE46" s="437"/>
      <c r="AF46" s="438"/>
      <c r="AG46" s="204" t="s">
        <v>61</v>
      </c>
      <c r="AH46" s="438"/>
      <c r="AI46" s="204" t="s">
        <v>19</v>
      </c>
      <c r="AJ46" s="574"/>
      <c r="AK46" s="57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7" t="e">
        <f aca="false">strcheckdate(V47:AJ47)</f>
        <v>#NAME?</v>
      </c>
      <c r="AM46" s="118"/>
      <c r="AN46" s="118" t="str">
        <f aca="false">IF(T46="","",T46)</f>
        <v/>
      </c>
      <c r="AO46" s="118"/>
      <c r="AP46" s="118"/>
      <c r="AQ46" s="42" t="n">
        <v>23</v>
      </c>
    </row>
    <row r="47" customFormat="false" ht="12.8" hidden="false" customHeight="false" outlineLevel="0" collapsed="false">
      <c r="A47" s="412" t="s">
        <v>239</v>
      </c>
      <c r="B47" s="412" t="s">
        <v>240</v>
      </c>
      <c r="C47" s="412" t="s">
        <v>241</v>
      </c>
      <c r="D47" s="412" t="s">
        <v>508</v>
      </c>
      <c r="E47" s="413"/>
      <c r="F47" s="413"/>
      <c r="G47" s="413"/>
      <c r="H47" s="413"/>
      <c r="I47" s="428"/>
      <c r="J47" s="428"/>
      <c r="K47" s="428"/>
      <c r="L47" s="414"/>
      <c r="P47" s="121"/>
      <c r="Q47" s="121"/>
      <c r="R47" s="432"/>
      <c r="S47" s="393"/>
      <c r="T47" s="418"/>
      <c r="U47" s="418"/>
      <c r="V47" s="458"/>
      <c r="W47" s="458"/>
      <c r="X47" s="440" t="str">
        <f aca="false">Y46&amp;"-"&amp;AA46</f>
        <v>-</v>
      </c>
      <c r="Y47" s="460"/>
      <c r="Z47" s="460"/>
      <c r="AA47" s="460"/>
      <c r="AB47" s="460"/>
      <c r="AC47" s="436"/>
      <c r="AD47" s="436"/>
      <c r="AE47" s="440" t="str">
        <f aca="false">AF46&amp;"-"&amp;AH46</f>
        <v>-</v>
      </c>
      <c r="AF47" s="438"/>
      <c r="AG47" s="204"/>
      <c r="AH47" s="438"/>
      <c r="AI47" s="204"/>
      <c r="AJ47" s="576"/>
      <c r="AK47" s="575"/>
      <c r="AM47" s="118"/>
      <c r="AN47" s="118" t="str">
        <f aca="false">IF(T47="","",T47)</f>
        <v/>
      </c>
      <c r="AO47" s="118"/>
      <c r="AP47" s="118"/>
      <c r="AQ47" s="42" t="n">
        <v>0</v>
      </c>
    </row>
    <row r="48" customFormat="false" ht="21" hidden="false" customHeight="true" outlineLevel="0" collapsed="false">
      <c r="A48" s="412" t="s">
        <v>239</v>
      </c>
      <c r="B48" s="412" t="s">
        <v>240</v>
      </c>
      <c r="C48" s="412" t="s">
        <v>241</v>
      </c>
      <c r="D48" s="412" t="s">
        <v>508</v>
      </c>
      <c r="E48" s="413"/>
      <c r="F48" s="413"/>
      <c r="G48" s="413"/>
      <c r="H48" s="413"/>
      <c r="I48" s="428"/>
      <c r="J48" s="428"/>
      <c r="K48" s="412"/>
      <c r="L48" s="414"/>
      <c r="P48" s="121"/>
      <c r="Q48" s="121"/>
      <c r="R48" s="429"/>
      <c r="S48" s="441"/>
      <c r="T48" s="444" t="s">
        <v>499</v>
      </c>
      <c r="U48" s="194"/>
      <c r="V48" s="194"/>
      <c r="W48" s="194"/>
      <c r="X48" s="194"/>
      <c r="Y48" s="194"/>
      <c r="Z48" s="194"/>
      <c r="AA48" s="194"/>
      <c r="AB48" s="194"/>
      <c r="AC48" s="194"/>
      <c r="AD48" s="194"/>
      <c r="AE48" s="194"/>
      <c r="AF48" s="194"/>
      <c r="AG48" s="194"/>
      <c r="AH48" s="194"/>
      <c r="AI48" s="194"/>
      <c r="AJ48" s="194"/>
      <c r="AK48" s="421" t="s">
        <v>500</v>
      </c>
      <c r="AM48" s="118"/>
      <c r="AN48" s="118" t="str">
        <f aca="false">IF(T48="","",T48)</f>
        <v>Добавить значение признака дифференциации</v>
      </c>
      <c r="AO48" s="118"/>
      <c r="AP48" s="118"/>
      <c r="AQ48" s="42" t="n">
        <v>20</v>
      </c>
    </row>
    <row r="49" customFormat="false" ht="21.75" hidden="false" customHeight="true" outlineLevel="0" collapsed="false">
      <c r="A49" s="412" t="s">
        <v>239</v>
      </c>
      <c r="B49" s="412" t="s">
        <v>240</v>
      </c>
      <c r="C49" s="412" t="s">
        <v>241</v>
      </c>
      <c r="D49" s="412" t="s">
        <v>508</v>
      </c>
      <c r="E49" s="413"/>
      <c r="F49" s="413"/>
      <c r="G49" s="413"/>
      <c r="H49" s="413"/>
      <c r="I49" s="428"/>
      <c r="J49" s="412"/>
      <c r="K49" s="412"/>
      <c r="L49" s="414"/>
      <c r="P49" s="121"/>
      <c r="Q49" s="121"/>
      <c r="R49" s="429"/>
      <c r="S49" s="441"/>
      <c r="T49" s="448" t="s">
        <v>425</v>
      </c>
      <c r="U49" s="194"/>
      <c r="V49" s="194"/>
      <c r="W49" s="194"/>
      <c r="X49" s="194"/>
      <c r="Y49" s="194"/>
      <c r="Z49" s="194"/>
      <c r="AA49" s="194"/>
      <c r="AB49" s="445"/>
      <c r="AC49" s="194"/>
      <c r="AD49" s="194"/>
      <c r="AE49" s="194"/>
      <c r="AF49" s="194"/>
      <c r="AG49" s="194"/>
      <c r="AH49" s="194"/>
      <c r="AI49" s="445"/>
      <c r="AJ49" s="194"/>
      <c r="AK49" s="577"/>
      <c r="AM49" s="118"/>
      <c r="AN49" s="118" t="str">
        <f aca="false">IF(T49="","",T49)</f>
        <v>Добавить группу потребителей</v>
      </c>
      <c r="AO49" s="118"/>
      <c r="AP49" s="118"/>
      <c r="AQ49" s="42" t="n">
        <v>21</v>
      </c>
    </row>
    <row r="50" customFormat="false" ht="21.75" hidden="false" customHeight="true" outlineLevel="0" collapsed="false">
      <c r="A50" s="412" t="s">
        <v>239</v>
      </c>
      <c r="B50" s="412" t="s">
        <v>240</v>
      </c>
      <c r="C50" s="412" t="s">
        <v>241</v>
      </c>
      <c r="D50" s="412" t="s">
        <v>508</v>
      </c>
      <c r="E50" s="413"/>
      <c r="F50" s="413"/>
      <c r="G50" s="413"/>
      <c r="H50" s="571"/>
      <c r="I50" s="412"/>
      <c r="J50" s="412"/>
      <c r="K50" s="412"/>
      <c r="L50" s="414"/>
      <c r="M50" s="40"/>
      <c r="N50" s="40"/>
      <c r="O50" s="45"/>
      <c r="P50" s="132"/>
      <c r="Q50" s="447"/>
      <c r="R50" s="415"/>
      <c r="S50" s="441"/>
      <c r="T50" s="578" t="s">
        <v>501</v>
      </c>
      <c r="U50" s="194"/>
      <c r="V50" s="194"/>
      <c r="W50" s="194"/>
      <c r="X50" s="194"/>
      <c r="Y50" s="194"/>
      <c r="Z50" s="194"/>
      <c r="AA50" s="194"/>
      <c r="AB50" s="445"/>
      <c r="AC50" s="194"/>
      <c r="AD50" s="194"/>
      <c r="AE50" s="194"/>
      <c r="AF50" s="194"/>
      <c r="AG50" s="194"/>
      <c r="AH50" s="194"/>
      <c r="AI50" s="445"/>
      <c r="AJ50" s="194"/>
      <c r="AK50" s="446"/>
      <c r="AM50" s="118"/>
      <c r="AN50" s="118" t="str">
        <f aca="false">IF(T50="","",T50)</f>
        <v>Добавить наименование признака дифференциации</v>
      </c>
      <c r="AO50" s="118"/>
      <c r="AP50" s="118"/>
      <c r="AQ50" s="42" t="n">
        <v>21</v>
      </c>
    </row>
    <row r="51" s="47" customFormat="true" ht="12.8" hidden="false" customHeight="false" outlineLevel="0" collapsed="false">
      <c r="A51" s="122" t="s">
        <v>239</v>
      </c>
      <c r="B51" s="122" t="s">
        <v>240</v>
      </c>
      <c r="C51" s="122"/>
      <c r="D51" s="122"/>
      <c r="E51" s="413"/>
      <c r="F51" s="413"/>
      <c r="G51" s="122"/>
      <c r="H51" s="122"/>
      <c r="I51" s="122"/>
      <c r="J51" s="122"/>
      <c r="K51" s="122"/>
      <c r="L51" s="192"/>
      <c r="M51" s="453"/>
      <c r="N51" s="453"/>
      <c r="P51" s="156"/>
      <c r="Q51" s="449"/>
      <c r="R51" s="156"/>
      <c r="S51" s="454"/>
      <c r="T51" s="457" t="s">
        <v>428</v>
      </c>
      <c r="U51" s="456"/>
      <c r="V51" s="456"/>
      <c r="W51" s="456"/>
      <c r="X51" s="456"/>
      <c r="Y51" s="456"/>
      <c r="Z51" s="456"/>
      <c r="AA51" s="456"/>
      <c r="AB51" s="456"/>
      <c r="AC51" s="456"/>
      <c r="AD51" s="456"/>
      <c r="AE51" s="456"/>
      <c r="AF51" s="456"/>
      <c r="AG51" s="456"/>
      <c r="AH51" s="456"/>
      <c r="AI51" s="456"/>
      <c r="AJ51" s="456"/>
      <c r="AK51" s="456"/>
      <c r="AM51" s="118"/>
      <c r="AN51" s="118" t="str">
        <f aca="false">IF(T51="","",T51)</f>
        <v>Добавить централизованную систему для дифференциации</v>
      </c>
      <c r="AO51" s="118"/>
      <c r="AP51" s="118"/>
      <c r="AQ51" s="47" t="n">
        <v>0</v>
      </c>
    </row>
    <row r="52" s="47" customFormat="true" ht="12.8" hidden="false" customHeight="false" outlineLevel="0" collapsed="false">
      <c r="A52" s="122" t="s">
        <v>239</v>
      </c>
      <c r="B52" s="122"/>
      <c r="C52" s="122"/>
      <c r="D52" s="122"/>
      <c r="E52" s="413"/>
      <c r="F52" s="122"/>
      <c r="G52" s="122"/>
      <c r="H52" s="122"/>
      <c r="I52" s="122"/>
      <c r="J52" s="122"/>
      <c r="K52" s="122"/>
      <c r="L52" s="192"/>
      <c r="M52" s="453"/>
      <c r="N52" s="453"/>
      <c r="P52" s="156"/>
      <c r="Q52" s="449"/>
      <c r="R52" s="156"/>
      <c r="S52" s="454"/>
      <c r="T52" s="457" t="s">
        <v>429</v>
      </c>
      <c r="U52" s="456"/>
      <c r="V52" s="456"/>
      <c r="W52" s="456"/>
      <c r="X52" s="456"/>
      <c r="Y52" s="456"/>
      <c r="Z52" s="456"/>
      <c r="AA52" s="456"/>
      <c r="AB52" s="456"/>
      <c r="AC52" s="456"/>
      <c r="AD52" s="456"/>
      <c r="AE52" s="456"/>
      <c r="AF52" s="456"/>
      <c r="AG52" s="456"/>
      <c r="AH52" s="456"/>
      <c r="AI52" s="456"/>
      <c r="AJ52" s="456"/>
      <c r="AK52" s="456"/>
      <c r="AM52" s="118"/>
      <c r="AN52" s="118" t="str">
        <f aca="false">IF(T52="","",T52)</f>
        <v>Добавить территорию для дифференциации</v>
      </c>
      <c r="AO52" s="118"/>
      <c r="AP52" s="118"/>
      <c r="AQ52" s="47" t="n">
        <v>0</v>
      </c>
    </row>
    <row r="53" s="47" customFormat="true" ht="12.8" hidden="false" customHeight="false" outlineLevel="0" collapsed="false">
      <c r="A53" s="122"/>
      <c r="B53" s="122"/>
      <c r="C53" s="122"/>
      <c r="D53" s="122"/>
      <c r="E53" s="122"/>
      <c r="F53" s="122"/>
      <c r="G53" s="122"/>
      <c r="H53" s="122"/>
      <c r="I53" s="122"/>
      <c r="J53" s="122"/>
      <c r="K53" s="122"/>
      <c r="L53" s="192"/>
      <c r="M53" s="453"/>
      <c r="N53" s="453"/>
      <c r="P53" s="156"/>
      <c r="Q53" s="449"/>
      <c r="R53" s="156"/>
      <c r="S53" s="454"/>
      <c r="T53" s="457" t="s">
        <v>461</v>
      </c>
      <c r="U53" s="456"/>
      <c r="V53" s="456"/>
      <c r="W53" s="456"/>
      <c r="X53" s="456"/>
      <c r="Y53" s="456"/>
      <c r="Z53" s="456"/>
      <c r="AA53" s="456"/>
      <c r="AB53" s="456"/>
      <c r="AC53" s="456"/>
      <c r="AD53" s="456"/>
      <c r="AE53" s="456"/>
      <c r="AF53" s="456"/>
      <c r="AG53" s="456"/>
      <c r="AH53" s="456"/>
      <c r="AI53" s="456"/>
      <c r="AJ53" s="456"/>
      <c r="AK53" s="456"/>
      <c r="AM53" s="118"/>
      <c r="AN53" s="118" t="str">
        <f aca="false">IF(T53="","",T53)</f>
        <v>Добавить наименование тарифа</v>
      </c>
      <c r="AO53" s="118"/>
      <c r="AP53" s="118"/>
      <c r="AQ53" s="47"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09"/>
      <c r="T55" s="488"/>
      <c r="U55" s="488"/>
      <c r="V55" s="488"/>
      <c r="W55" s="488"/>
      <c r="X55" s="488"/>
      <c r="Y55" s="488"/>
      <c r="Z55" s="488"/>
      <c r="AA55" s="488"/>
      <c r="AB55" s="488"/>
      <c r="AC55" s="488"/>
      <c r="AD55" s="488"/>
      <c r="AE55" s="488"/>
      <c r="AF55" s="488"/>
      <c r="AG55" s="488"/>
      <c r="AH55" s="488"/>
      <c r="AI55" s="488"/>
      <c r="AJ55" s="488"/>
      <c r="AK55" s="488"/>
      <c r="AQ55" s="42" t="n">
        <v>14</v>
      </c>
    </row>
    <row r="56" customFormat="false" ht="14.25" hidden="false" customHeight="true" outlineLevel="0" collapsed="false">
      <c r="O56" s="45"/>
      <c r="AQ56" s="42" t="n">
        <v>14</v>
      </c>
    </row>
    <row r="57" customFormat="false" ht="14.25" hidden="false" customHeight="true" outlineLevel="0" collapsed="false">
      <c r="O57" s="45"/>
      <c r="S57" s="409"/>
      <c r="T57" s="488"/>
      <c r="U57" s="488"/>
      <c r="V57" s="488"/>
      <c r="W57" s="488"/>
      <c r="X57" s="488"/>
      <c r="Y57" s="488"/>
      <c r="Z57" s="488"/>
      <c r="AA57" s="488"/>
      <c r="AB57" s="488"/>
      <c r="AC57" s="488"/>
      <c r="AD57" s="488"/>
      <c r="AE57" s="488"/>
      <c r="AF57" s="488"/>
      <c r="AG57" s="488"/>
      <c r="AH57" s="488"/>
      <c r="AI57" s="488"/>
      <c r="AJ57" s="488"/>
      <c r="AK57" s="488"/>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44" t="n">
        <v>0</v>
      </c>
      <c r="M58" s="51" t="n">
        <v>0</v>
      </c>
      <c r="N58" s="51" t="n">
        <v>0</v>
      </c>
      <c r="O58" s="51" t="n">
        <v>0</v>
      </c>
      <c r="P58" s="50" t="n">
        <v>3</v>
      </c>
      <c r="Q58" s="411" t="n">
        <v>3</v>
      </c>
      <c r="R58" s="411" t="n">
        <v>3</v>
      </c>
      <c r="S58" s="75"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7" t="n">
        <v>10</v>
      </c>
      <c r="AM58" s="47" t="n">
        <v>10</v>
      </c>
      <c r="AN58" s="47" t="n">
        <v>10</v>
      </c>
      <c r="AO58" s="47" t="n">
        <v>10</v>
      </c>
      <c r="AP58" s="47"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4.14"/>
    <col collapsed="false" customWidth="true" hidden="true" outlineLevel="0" max="10" min="10" style="45" width="9.85"/>
    <col collapsed="false" customWidth="true" hidden="true" outlineLevel="0" max="11" min="11" style="45" width="14.71"/>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
    <col collapsed="false" customWidth="true" hidden="false" outlineLevel="0" max="18" min="17" style="411" width="3"/>
    <col collapsed="false" customWidth="true" hidden="false" outlineLevel="0" max="19" min="19" style="75" width="12"/>
    <col collapsed="false" customWidth="true" hidden="false" outlineLevel="0" max="20" min="20" style="42" width="35"/>
    <col collapsed="false" customWidth="true" hidden="false" outlineLevel="0" max="21" min="21" style="42" width="0.14"/>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7"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2"/>
      <c r="B2" s="412"/>
      <c r="C2" s="412"/>
      <c r="D2" s="412"/>
      <c r="E2" s="413" t="n">
        <v>1</v>
      </c>
      <c r="F2" s="412"/>
      <c r="G2" s="412"/>
      <c r="H2" s="412"/>
      <c r="I2" s="412"/>
      <c r="J2" s="412"/>
      <c r="K2" s="412"/>
      <c r="L2" s="414"/>
      <c r="M2" s="40"/>
      <c r="N2" s="40"/>
      <c r="O2" s="40"/>
      <c r="Q2" s="132"/>
      <c r="R2" s="415"/>
      <c r="S2" s="416" t="e">
        <f aca="false">INDEX(PT_DIFFERENTIATION_NUM_NTAR,MATCH(A2,PT_DIFFERENTIATION_NTAR_ID,0))</f>
        <v>#N/A</v>
      </c>
      <c r="T2" s="417" t="s">
        <v>138</v>
      </c>
      <c r="U2" s="418"/>
      <c r="V2" s="419"/>
      <c r="W2" s="419"/>
      <c r="X2" s="419"/>
      <c r="Y2" s="419"/>
      <c r="Z2" s="419"/>
      <c r="AA2" s="419"/>
      <c r="AB2" s="419"/>
      <c r="AC2" s="419" t="e">
        <f aca="false">INDEX(PT_DIFFERENTIATION_NTAR,MATCH(A2,PT_DIFFERENTIATION_NTAR_ID,0))</f>
        <v>#N/A</v>
      </c>
      <c r="AD2" s="419"/>
      <c r="AE2" s="419"/>
      <c r="AF2" s="419"/>
      <c r="AG2" s="419"/>
      <c r="AH2" s="419"/>
      <c r="AI2" s="419"/>
      <c r="AJ2" s="419"/>
      <c r="AK2" s="42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8"/>
      <c r="AN2" s="118" t="str">
        <f aca="false">IF(T2="","",T2)</f>
        <v>Наименование тарифа</v>
      </c>
      <c r="AO2" s="118"/>
      <c r="AP2" s="118"/>
      <c r="AQ2" s="42" t="n">
        <v>0</v>
      </c>
    </row>
    <row r="3" customFormat="false" ht="23.25" hidden="true" customHeight="true" outlineLevel="0" collapsed="false">
      <c r="A3" s="412"/>
      <c r="B3" s="412"/>
      <c r="C3" s="412"/>
      <c r="D3" s="412"/>
      <c r="E3" s="413"/>
      <c r="F3" s="413" t="n">
        <v>1</v>
      </c>
      <c r="G3" s="412"/>
      <c r="H3" s="412"/>
      <c r="I3" s="412"/>
      <c r="J3" s="412"/>
      <c r="K3" s="412"/>
      <c r="L3" s="414"/>
      <c r="M3" s="40"/>
      <c r="N3" s="40"/>
      <c r="O3" s="40"/>
      <c r="P3" s="43"/>
      <c r="Q3" s="422"/>
      <c r="R3" s="423"/>
      <c r="S3" s="416" t="e">
        <f aca="false">INDEX(PT_DIFFERENTIATION_NUM_TER,MATCH(B3,PT_DIFFERENTIATION_TER_ID,0))</f>
        <v>#N/A</v>
      </c>
      <c r="T3" s="424" t="s">
        <v>410</v>
      </c>
      <c r="U3" s="418"/>
      <c r="V3" s="419"/>
      <c r="W3" s="419"/>
      <c r="X3" s="419"/>
      <c r="Y3" s="419"/>
      <c r="Z3" s="419"/>
      <c r="AA3" s="419"/>
      <c r="AB3" s="419"/>
      <c r="AC3" s="419" t="e">
        <f aca="false">INDEX(PT_DIFFERENTIATION_TER,MATCH(B3,PT_DIFFERENTIATION_TER_ID,0))</f>
        <v>#N/A</v>
      </c>
      <c r="AD3" s="419"/>
      <c r="AE3" s="419"/>
      <c r="AF3" s="419"/>
      <c r="AG3" s="419"/>
      <c r="AH3" s="419"/>
      <c r="AI3" s="419"/>
      <c r="AJ3" s="419"/>
      <c r="AK3" s="421" t="s">
        <v>411</v>
      </c>
      <c r="AM3" s="118"/>
      <c r="AN3" s="118" t="str">
        <f aca="false">IF(T3="","",T3)</f>
        <v>Территория действия тарифа</v>
      </c>
      <c r="AO3" s="118"/>
      <c r="AP3" s="118"/>
      <c r="AQ3" s="42" t="n">
        <v>0</v>
      </c>
    </row>
    <row r="4" customFormat="false" ht="23.25" hidden="true" customHeight="true" outlineLevel="0" collapsed="false">
      <c r="A4" s="412"/>
      <c r="B4" s="412"/>
      <c r="C4" s="412"/>
      <c r="D4" s="412"/>
      <c r="E4" s="413"/>
      <c r="F4" s="413"/>
      <c r="G4" s="413" t="n">
        <v>1</v>
      </c>
      <c r="H4" s="412"/>
      <c r="I4" s="412"/>
      <c r="J4" s="412"/>
      <c r="K4" s="412"/>
      <c r="L4" s="414"/>
      <c r="M4" s="40"/>
      <c r="N4" s="40"/>
      <c r="O4" s="40"/>
      <c r="P4" s="425"/>
      <c r="Q4" s="422"/>
      <c r="R4" s="423"/>
      <c r="S4" s="416" t="e">
        <f aca="false">INDEX(PT_DIFFERENTIATION_NUM_CS,MATCH(C4,PT_DIFFERENTIATION_CS_ID,0))</f>
        <v>#N/A</v>
      </c>
      <c r="T4" s="426" t="s">
        <v>494</v>
      </c>
      <c r="U4" s="418"/>
      <c r="V4" s="419"/>
      <c r="W4" s="419"/>
      <c r="X4" s="419"/>
      <c r="Y4" s="419"/>
      <c r="Z4" s="419"/>
      <c r="AA4" s="419"/>
      <c r="AB4" s="419"/>
      <c r="AC4" s="419" t="e">
        <f aca="false">INDEX(PT_DIFFERENTIATION_CS,MATCH(C4,PT_DIFFERENTIATION_CS_ID,0))</f>
        <v>#N/A</v>
      </c>
      <c r="AD4" s="419"/>
      <c r="AE4" s="419"/>
      <c r="AF4" s="419"/>
      <c r="AG4" s="419"/>
      <c r="AH4" s="419"/>
      <c r="AI4" s="419"/>
      <c r="AJ4" s="419"/>
      <c r="AK4" s="421" t="s">
        <v>495</v>
      </c>
      <c r="AM4" s="118"/>
      <c r="AN4" s="118" t="str">
        <f aca="false">IF(T4="","",T4)</f>
        <v>Наименование централизованной системы холодного водоснабжения</v>
      </c>
      <c r="AO4" s="118"/>
      <c r="AP4" s="118"/>
      <c r="AQ4" s="42" t="n">
        <v>0</v>
      </c>
    </row>
    <row r="5" customFormat="false" ht="23.25" hidden="true" customHeight="true" outlineLevel="0" collapsed="false">
      <c r="A5" s="412"/>
      <c r="B5" s="412"/>
      <c r="C5" s="412"/>
      <c r="D5" s="412"/>
      <c r="E5" s="413"/>
      <c r="F5" s="413"/>
      <c r="G5" s="413"/>
      <c r="H5" s="571"/>
      <c r="I5" s="428" t="e">
        <f aca="false">S4&amp;".1"</f>
        <v>#N/A</v>
      </c>
      <c r="J5" s="412"/>
      <c r="K5" s="412"/>
      <c r="L5" s="414"/>
      <c r="P5" s="121" t="n">
        <v>1</v>
      </c>
      <c r="Q5" s="121"/>
      <c r="R5" s="429"/>
      <c r="S5" s="416" t="e">
        <f aca="false">$I5</f>
        <v>#N/A</v>
      </c>
      <c r="T5" s="430" t="s">
        <v>496</v>
      </c>
      <c r="U5" s="418"/>
      <c r="V5" s="572"/>
      <c r="W5" s="572"/>
      <c r="X5" s="572"/>
      <c r="Y5" s="572"/>
      <c r="Z5" s="572"/>
      <c r="AA5" s="572"/>
      <c r="AB5" s="572"/>
      <c r="AC5" s="334"/>
      <c r="AD5" s="334"/>
      <c r="AE5" s="334"/>
      <c r="AF5" s="334"/>
      <c r="AG5" s="334"/>
      <c r="AH5" s="334"/>
      <c r="AI5" s="334"/>
      <c r="AJ5" s="334"/>
      <c r="AK5" s="421" t="s">
        <v>497</v>
      </c>
      <c r="AM5" s="118"/>
      <c r="AN5" s="118" t="str">
        <f aca="false">IF(T5="","",T5)</f>
        <v>Наименование признака дифференциации</v>
      </c>
      <c r="AO5" s="118"/>
      <c r="AP5" s="118"/>
      <c r="AQ5" s="42" t="n">
        <v>0</v>
      </c>
    </row>
    <row r="6" customFormat="false" ht="23.25" hidden="true" customHeight="true" outlineLevel="0" collapsed="false">
      <c r="A6" s="412"/>
      <c r="B6" s="412"/>
      <c r="C6" s="412"/>
      <c r="D6" s="412"/>
      <c r="E6" s="413"/>
      <c r="F6" s="413"/>
      <c r="G6" s="413"/>
      <c r="H6" s="413"/>
      <c r="I6" s="428"/>
      <c r="J6" s="428" t="e">
        <f aca="false">I5&amp;".1"</f>
        <v>#N/A</v>
      </c>
      <c r="K6" s="412"/>
      <c r="L6" s="414" t="s">
        <v>419</v>
      </c>
      <c r="P6" s="121"/>
      <c r="Q6" s="121" t="n">
        <v>1</v>
      </c>
      <c r="R6" s="432"/>
      <c r="S6" s="416" t="e">
        <f aca="false">$J6</f>
        <v>#N/A</v>
      </c>
      <c r="T6" s="433" t="s">
        <v>420</v>
      </c>
      <c r="U6" s="418"/>
      <c r="V6" s="431"/>
      <c r="W6" s="431"/>
      <c r="X6" s="431"/>
      <c r="Y6" s="431"/>
      <c r="Z6" s="431"/>
      <c r="AA6" s="431"/>
      <c r="AB6" s="431"/>
      <c r="AC6" s="431"/>
      <c r="AD6" s="431"/>
      <c r="AE6" s="431"/>
      <c r="AF6" s="431"/>
      <c r="AG6" s="431"/>
      <c r="AH6" s="431"/>
      <c r="AI6" s="431"/>
      <c r="AJ6" s="431"/>
      <c r="AK6" s="523" t="s">
        <v>498</v>
      </c>
      <c r="AM6" s="118"/>
      <c r="AN6" s="118" t="str">
        <f aca="false">IF(T6="","",T6)</f>
        <v>Группа потребителей</v>
      </c>
      <c r="AO6" s="118"/>
      <c r="AP6" s="118"/>
      <c r="AQ6" s="42" t="n">
        <v>0</v>
      </c>
    </row>
    <row r="7" customFormat="false" ht="23.25" hidden="true" customHeight="true" outlineLevel="0" collapsed="false">
      <c r="A7" s="412"/>
      <c r="B7" s="412"/>
      <c r="C7" s="412"/>
      <c r="D7" s="412"/>
      <c r="E7" s="413"/>
      <c r="F7" s="413"/>
      <c r="G7" s="413"/>
      <c r="H7" s="413"/>
      <c r="I7" s="428"/>
      <c r="J7" s="428"/>
      <c r="K7" s="428" t="e">
        <f aca="false">J6&amp;".1"</f>
        <v>#N/A</v>
      </c>
      <c r="L7" s="414"/>
      <c r="P7" s="121"/>
      <c r="Q7" s="121"/>
      <c r="R7" s="432" t="n">
        <v>1</v>
      </c>
      <c r="S7" s="416" t="e">
        <f aca="false">$K7</f>
        <v>#N/A</v>
      </c>
      <c r="T7" s="573"/>
      <c r="U7" s="418"/>
      <c r="V7" s="435"/>
      <c r="W7" s="435"/>
      <c r="X7" s="437"/>
      <c r="Y7" s="438"/>
      <c r="Z7" s="204" t="s">
        <v>61</v>
      </c>
      <c r="AA7" s="438"/>
      <c r="AB7" s="204" t="s">
        <v>61</v>
      </c>
      <c r="AC7" s="435"/>
      <c r="AD7" s="435"/>
      <c r="AE7" s="437"/>
      <c r="AF7" s="438"/>
      <c r="AG7" s="204" t="s">
        <v>61</v>
      </c>
      <c r="AH7" s="438"/>
      <c r="AI7" s="204" t="s">
        <v>61</v>
      </c>
      <c r="AJ7" s="574"/>
      <c r="AK7" s="57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7" t="e">
        <f aca="false">strcheckdate(V8:AJ8)</f>
        <v>#NAME?</v>
      </c>
      <c r="AM7" s="118"/>
      <c r="AN7" s="118" t="str">
        <f aca="false">IF(T7="","",T7)</f>
        <v/>
      </c>
      <c r="AO7" s="118"/>
      <c r="AP7" s="118"/>
      <c r="AQ7" s="42" t="n">
        <v>0</v>
      </c>
    </row>
    <row r="8" customFormat="false" ht="14.25" hidden="true" customHeight="true" outlineLevel="0" collapsed="false">
      <c r="A8" s="412"/>
      <c r="B8" s="412"/>
      <c r="C8" s="412"/>
      <c r="D8" s="412"/>
      <c r="E8" s="413"/>
      <c r="F8" s="413"/>
      <c r="G8" s="413"/>
      <c r="H8" s="413"/>
      <c r="I8" s="428"/>
      <c r="J8" s="428"/>
      <c r="K8" s="428"/>
      <c r="L8" s="414"/>
      <c r="P8" s="121"/>
      <c r="Q8" s="121"/>
      <c r="R8" s="432"/>
      <c r="S8" s="393"/>
      <c r="T8" s="418"/>
      <c r="U8" s="418"/>
      <c r="V8" s="436"/>
      <c r="W8" s="436"/>
      <c r="X8" s="440" t="str">
        <f aca="false">Y7&amp;"-"&amp;AA7</f>
        <v>-</v>
      </c>
      <c r="Y8" s="438"/>
      <c r="Z8" s="204"/>
      <c r="AA8" s="438"/>
      <c r="AB8" s="204"/>
      <c r="AC8" s="436"/>
      <c r="AD8" s="436"/>
      <c r="AE8" s="440" t="str">
        <f aca="false">AF7&amp;"-"&amp;AH7</f>
        <v>-</v>
      </c>
      <c r="AF8" s="438"/>
      <c r="AG8" s="204"/>
      <c r="AH8" s="438"/>
      <c r="AI8" s="204"/>
      <c r="AJ8" s="576"/>
      <c r="AK8" s="575"/>
      <c r="AM8" s="118"/>
      <c r="AN8" s="118" t="str">
        <f aca="false">IF(T8="","",T8)</f>
        <v/>
      </c>
      <c r="AO8" s="118"/>
      <c r="AP8" s="118"/>
      <c r="AQ8" s="42" t="n">
        <v>0</v>
      </c>
    </row>
    <row r="9" customFormat="false" ht="21" hidden="true" customHeight="true" outlineLevel="0" collapsed="false">
      <c r="A9" s="412"/>
      <c r="B9" s="412"/>
      <c r="C9" s="412"/>
      <c r="D9" s="412"/>
      <c r="E9" s="413"/>
      <c r="F9" s="413"/>
      <c r="G9" s="413"/>
      <c r="H9" s="413"/>
      <c r="I9" s="428"/>
      <c r="J9" s="428"/>
      <c r="K9" s="412"/>
      <c r="L9" s="414"/>
      <c r="P9" s="121"/>
      <c r="Q9" s="121"/>
      <c r="R9" s="429"/>
      <c r="S9" s="441"/>
      <c r="T9" s="444" t="s">
        <v>499</v>
      </c>
      <c r="U9" s="194"/>
      <c r="V9" s="194"/>
      <c r="W9" s="194"/>
      <c r="X9" s="194"/>
      <c r="Y9" s="194"/>
      <c r="Z9" s="194"/>
      <c r="AA9" s="194"/>
      <c r="AB9" s="194"/>
      <c r="AC9" s="194"/>
      <c r="AD9" s="194"/>
      <c r="AE9" s="194"/>
      <c r="AF9" s="194"/>
      <c r="AG9" s="194"/>
      <c r="AH9" s="194"/>
      <c r="AI9" s="194"/>
      <c r="AJ9" s="194"/>
      <c r="AK9" s="421" t="s">
        <v>500</v>
      </c>
      <c r="AM9" s="118"/>
      <c r="AN9" s="118" t="str">
        <f aca="false">IF(T9="","",T9)</f>
        <v>Добавить значение признака дифференциации</v>
      </c>
      <c r="AO9" s="118"/>
      <c r="AP9" s="118"/>
      <c r="AQ9" s="42" t="n">
        <v>0</v>
      </c>
    </row>
    <row r="10" customFormat="false" ht="21" hidden="true" customHeight="true" outlineLevel="0" collapsed="false">
      <c r="A10" s="412"/>
      <c r="B10" s="412"/>
      <c r="C10" s="412"/>
      <c r="D10" s="412"/>
      <c r="E10" s="413"/>
      <c r="F10" s="413"/>
      <c r="G10" s="413"/>
      <c r="H10" s="413"/>
      <c r="I10" s="428"/>
      <c r="J10" s="412"/>
      <c r="K10" s="412"/>
      <c r="L10" s="414"/>
      <c r="P10" s="121"/>
      <c r="Q10" s="121"/>
      <c r="R10" s="429"/>
      <c r="S10" s="441"/>
      <c r="T10" s="448" t="s">
        <v>425</v>
      </c>
      <c r="U10" s="194"/>
      <c r="V10" s="194"/>
      <c r="W10" s="194"/>
      <c r="X10" s="194"/>
      <c r="Y10" s="194"/>
      <c r="Z10" s="194"/>
      <c r="AA10" s="194"/>
      <c r="AB10" s="445"/>
      <c r="AC10" s="194"/>
      <c r="AD10" s="194"/>
      <c r="AE10" s="194"/>
      <c r="AF10" s="194"/>
      <c r="AG10" s="194"/>
      <c r="AH10" s="194"/>
      <c r="AI10" s="445"/>
      <c r="AJ10" s="194"/>
      <c r="AK10" s="577"/>
      <c r="AM10" s="118"/>
      <c r="AN10" s="118" t="str">
        <f aca="false">IF(T10="","",T10)</f>
        <v>Добавить группу потребителей</v>
      </c>
      <c r="AO10" s="118"/>
      <c r="AP10" s="118"/>
      <c r="AQ10" s="42" t="n">
        <v>0</v>
      </c>
    </row>
    <row r="11" customFormat="false" ht="21" hidden="true" customHeight="true" outlineLevel="0" collapsed="false">
      <c r="A11" s="412"/>
      <c r="B11" s="412"/>
      <c r="C11" s="412"/>
      <c r="D11" s="412"/>
      <c r="E11" s="413"/>
      <c r="F11" s="413"/>
      <c r="G11" s="413"/>
      <c r="H11" s="571"/>
      <c r="I11" s="412"/>
      <c r="J11" s="412"/>
      <c r="K11" s="412"/>
      <c r="L11" s="414"/>
      <c r="M11" s="40"/>
      <c r="N11" s="40"/>
      <c r="O11" s="45"/>
      <c r="P11" s="132"/>
      <c r="Q11" s="447"/>
      <c r="R11" s="415"/>
      <c r="S11" s="441"/>
      <c r="T11" s="578" t="s">
        <v>501</v>
      </c>
      <c r="U11" s="194"/>
      <c r="V11" s="194"/>
      <c r="W11" s="194"/>
      <c r="X11" s="194"/>
      <c r="Y11" s="194"/>
      <c r="Z11" s="194"/>
      <c r="AA11" s="194"/>
      <c r="AB11" s="445"/>
      <c r="AC11" s="194"/>
      <c r="AD11" s="194"/>
      <c r="AE11" s="194"/>
      <c r="AF11" s="194"/>
      <c r="AG11" s="194"/>
      <c r="AH11" s="194"/>
      <c r="AI11" s="445"/>
      <c r="AJ11" s="194"/>
      <c r="AK11" s="446"/>
      <c r="AM11" s="118"/>
      <c r="AN11" s="118" t="str">
        <f aca="false">IF(T11="","",T11)</f>
        <v>Добавить наименование признака дифференциации</v>
      </c>
      <c r="AO11" s="118"/>
      <c r="AP11" s="118"/>
      <c r="AQ11" s="42" t="n">
        <v>0</v>
      </c>
    </row>
    <row r="12" s="47" customFormat="true" ht="14.25" hidden="true" customHeight="true" outlineLevel="0" collapsed="false">
      <c r="A12" s="122"/>
      <c r="B12" s="122"/>
      <c r="C12" s="122"/>
      <c r="D12" s="122"/>
      <c r="E12" s="413"/>
      <c r="F12" s="413"/>
      <c r="G12" s="122"/>
      <c r="H12" s="122"/>
      <c r="I12" s="122"/>
      <c r="J12" s="122"/>
      <c r="K12" s="122"/>
      <c r="L12" s="192"/>
      <c r="M12" s="453"/>
      <c r="N12" s="453"/>
      <c r="P12" s="156"/>
      <c r="Q12" s="449"/>
      <c r="R12" s="156"/>
      <c r="S12" s="454"/>
      <c r="T12" s="457" t="s">
        <v>428</v>
      </c>
      <c r="U12" s="456"/>
      <c r="V12" s="456"/>
      <c r="W12" s="456"/>
      <c r="X12" s="456"/>
      <c r="Y12" s="456"/>
      <c r="Z12" s="456"/>
      <c r="AA12" s="456"/>
      <c r="AB12" s="456"/>
      <c r="AC12" s="456"/>
      <c r="AD12" s="456"/>
      <c r="AE12" s="456"/>
      <c r="AF12" s="456"/>
      <c r="AG12" s="456"/>
      <c r="AH12" s="456"/>
      <c r="AI12" s="456"/>
      <c r="AJ12" s="456"/>
      <c r="AK12" s="456"/>
      <c r="AM12" s="118"/>
      <c r="AN12" s="118" t="str">
        <f aca="false">IF(T12="","",T12)</f>
        <v>Добавить централизованную систему для дифференциации</v>
      </c>
      <c r="AO12" s="118"/>
      <c r="AP12" s="118"/>
      <c r="AQ12" s="47" t="n">
        <v>0</v>
      </c>
    </row>
    <row r="13" s="47" customFormat="true" ht="14.25" hidden="true" customHeight="true" outlineLevel="0" collapsed="false">
      <c r="A13" s="122"/>
      <c r="B13" s="122"/>
      <c r="C13" s="122"/>
      <c r="D13" s="122"/>
      <c r="E13" s="413"/>
      <c r="F13" s="122"/>
      <c r="G13" s="122"/>
      <c r="H13" s="122"/>
      <c r="I13" s="122"/>
      <c r="J13" s="122"/>
      <c r="K13" s="122"/>
      <c r="L13" s="192"/>
      <c r="M13" s="453"/>
      <c r="N13" s="453"/>
      <c r="P13" s="156"/>
      <c r="Q13" s="449"/>
      <c r="R13" s="156"/>
      <c r="S13" s="454"/>
      <c r="T13" s="457" t="s">
        <v>429</v>
      </c>
      <c r="U13" s="456"/>
      <c r="V13" s="456"/>
      <c r="W13" s="456"/>
      <c r="X13" s="456"/>
      <c r="Y13" s="456"/>
      <c r="Z13" s="456"/>
      <c r="AA13" s="456"/>
      <c r="AB13" s="456"/>
      <c r="AC13" s="456"/>
      <c r="AD13" s="456"/>
      <c r="AE13" s="456"/>
      <c r="AF13" s="456"/>
      <c r="AG13" s="456"/>
      <c r="AH13" s="456"/>
      <c r="AI13" s="456"/>
      <c r="AJ13" s="456"/>
      <c r="AK13" s="456"/>
      <c r="AM13" s="118"/>
      <c r="AN13" s="118" t="str">
        <f aca="false">IF(T13="","",T13)</f>
        <v>Добавить территорию для дифференциации</v>
      </c>
      <c r="AO13" s="118"/>
      <c r="AP13" s="118"/>
      <c r="AQ13" s="47" t="n">
        <v>0</v>
      </c>
    </row>
    <row r="14" customFormat="false" ht="14.25" hidden="true" customHeight="true" outlineLevel="0" collapsed="false">
      <c r="AQ14" s="42" t="n">
        <v>0</v>
      </c>
    </row>
    <row r="15" customFormat="false" ht="14.25" hidden="true" customHeight="true" outlineLevel="0" collapsed="false">
      <c r="AC15" s="458"/>
      <c r="AD15" s="458"/>
      <c r="AE15" s="459"/>
      <c r="AF15" s="460"/>
      <c r="AG15" s="461" t="s">
        <v>61</v>
      </c>
      <c r="AH15" s="460"/>
      <c r="AI15" s="461" t="s">
        <v>61</v>
      </c>
      <c r="AQ15" s="42" t="n">
        <v>0</v>
      </c>
    </row>
    <row r="16" customFormat="false" ht="14.25" hidden="true" customHeight="true" outlineLevel="0" collapsed="false">
      <c r="AC16" s="458"/>
      <c r="AD16" s="458"/>
      <c r="AE16" s="440" t="str">
        <f aca="false">AF15&amp;"-"&amp;AH15</f>
        <v>-</v>
      </c>
      <c r="AF16" s="460"/>
      <c r="AG16" s="460"/>
      <c r="AH16" s="460"/>
      <c r="AI16" s="460"/>
      <c r="AQ16" s="42" t="n">
        <v>0</v>
      </c>
    </row>
    <row r="17" customFormat="false" ht="14.25" hidden="true" customHeight="true" outlineLevel="0" collapsed="false">
      <c r="AQ17" s="42" t="n">
        <v>0</v>
      </c>
    </row>
    <row r="18" s="45" customFormat="true" ht="22.5" hidden="true" customHeight="true" outlineLevel="0" collapsed="false">
      <c r="L18" s="44"/>
      <c r="M18" s="51"/>
      <c r="N18" s="51"/>
      <c r="O18" s="462" t="s">
        <v>430</v>
      </c>
      <c r="P18" s="51"/>
      <c r="Q18" s="463"/>
      <c r="R18" s="463"/>
      <c r="S18" s="40"/>
      <c r="Y18" s="462"/>
      <c r="AA18" s="462"/>
      <c r="AF18" s="462"/>
      <c r="AH18" s="462"/>
      <c r="AL18" s="47"/>
      <c r="AM18" s="47"/>
      <c r="AN18" s="47"/>
      <c r="AO18" s="47"/>
      <c r="AP18" s="47"/>
      <c r="AQ18" s="45" t="n">
        <v>0</v>
      </c>
    </row>
    <row r="19" s="45" customFormat="true" ht="14.25" hidden="true" customHeight="true" outlineLevel="0" collapsed="false">
      <c r="L19" s="44"/>
      <c r="M19" s="51"/>
      <c r="N19" s="51"/>
      <c r="O19" s="51"/>
      <c r="P19" s="51"/>
      <c r="Q19" s="463"/>
      <c r="R19" s="463"/>
      <c r="S19" s="40"/>
      <c r="AL19" s="47"/>
      <c r="AM19" s="47"/>
      <c r="AN19" s="47"/>
      <c r="AO19" s="47"/>
      <c r="AP19" s="47"/>
      <c r="AQ19" s="45" t="n">
        <v>0</v>
      </c>
    </row>
    <row r="20" s="45" customFormat="true" ht="12" hidden="true" customHeight="true" outlineLevel="0" collapsed="false">
      <c r="L20" s="44"/>
      <c r="M20" s="51"/>
      <c r="N20" s="51"/>
      <c r="O20" s="414" t="s">
        <v>431</v>
      </c>
      <c r="P20" s="51"/>
      <c r="Q20" s="579"/>
      <c r="R20" s="579"/>
      <c r="S20" s="40"/>
      <c r="T20" s="45" t="s">
        <v>432</v>
      </c>
      <c r="Z20" s="140" t="s">
        <v>433</v>
      </c>
      <c r="AB20" s="140" t="s">
        <v>434</v>
      </c>
      <c r="AC20" s="45" t="s">
        <v>432</v>
      </c>
      <c r="AG20" s="140" t="s">
        <v>435</v>
      </c>
      <c r="AI20" s="140" t="s">
        <v>434</v>
      </c>
      <c r="AQ20" s="45" t="n">
        <v>0</v>
      </c>
    </row>
    <row r="21" customFormat="false" ht="14.25" hidden="true" customHeight="true" outlineLevel="0" collapsed="false">
      <c r="O21" s="414"/>
      <c r="AQ21" s="42" t="n">
        <v>0</v>
      </c>
    </row>
    <row r="22" customFormat="false" ht="14.25" hidden="true" customHeight="true" outlineLevel="0" collapsed="false">
      <c r="O22" s="414"/>
      <c r="AQ22" s="42" t="n">
        <v>0</v>
      </c>
    </row>
    <row r="23" customFormat="false" ht="14.25" hidden="false" customHeight="true" outlineLevel="0" collapsed="false">
      <c r="Q23" s="464"/>
      <c r="R23" s="464"/>
      <c r="S23" s="465"/>
      <c r="T23" s="80"/>
      <c r="U23" s="80"/>
      <c r="AQ23" s="42" t="n">
        <v>14</v>
      </c>
    </row>
    <row r="24" customFormat="false" ht="14.25" hidden="false" customHeight="true" outlineLevel="0" collapsed="false">
      <c r="Q24" s="464"/>
      <c r="R24" s="46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64"/>
      <c r="R25" s="464"/>
      <c r="S25" s="261" t="str">
        <f aca="false">IF(org=0,"Не определено",org)</f>
        <v>ООО "Газпром теплоэнерго Ярославль"</v>
      </c>
      <c r="T25" s="261"/>
      <c r="U25" s="261"/>
      <c r="V25" s="261"/>
      <c r="W25" s="261"/>
      <c r="X25" s="261"/>
      <c r="Y25" s="261"/>
      <c r="Z25" s="261"/>
      <c r="AA25" s="261"/>
      <c r="AB25" s="261"/>
      <c r="AC25" s="261"/>
      <c r="AD25" s="261"/>
      <c r="AE25" s="261"/>
      <c r="AF25" s="261"/>
      <c r="AG25" s="261"/>
      <c r="AH25" s="261"/>
      <c r="AI25" s="222"/>
      <c r="AQ25" s="42" t="n">
        <v>14</v>
      </c>
    </row>
    <row r="26" customFormat="false" ht="14.25" hidden="true" customHeight="true" outlineLevel="0" collapsed="false">
      <c r="Q26" s="464"/>
      <c r="R26" s="464"/>
      <c r="S26" s="465"/>
      <c r="T26" s="80"/>
      <c r="U26" s="80"/>
      <c r="V26" s="466"/>
      <c r="W26" s="466"/>
      <c r="X26" s="466"/>
      <c r="Y26" s="466"/>
      <c r="Z26" s="466"/>
      <c r="AA26" s="466"/>
      <c r="AB26" s="466"/>
      <c r="AC26" s="466"/>
      <c r="AD26" s="466"/>
      <c r="AE26" s="466"/>
      <c r="AF26" s="466"/>
      <c r="AG26" s="466"/>
      <c r="AH26" s="466"/>
      <c r="AI26" s="466"/>
      <c r="AQ26" s="42" t="n">
        <v>0</v>
      </c>
    </row>
    <row r="27" s="175" customFormat="true" ht="25.5" hidden="true" customHeight="true" outlineLevel="0" collapsed="false">
      <c r="A27" s="140"/>
      <c r="B27" s="140"/>
      <c r="C27" s="140"/>
      <c r="D27" s="140"/>
      <c r="E27" s="140"/>
      <c r="F27" s="140"/>
      <c r="G27" s="140"/>
      <c r="H27" s="140"/>
      <c r="I27" s="140"/>
      <c r="J27" s="140"/>
      <c r="K27" s="140"/>
      <c r="L27" s="414"/>
      <c r="M27" s="140"/>
      <c r="N27" s="140"/>
      <c r="O27" s="140"/>
      <c r="S27" s="467" t="s">
        <v>40</v>
      </c>
      <c r="T27" s="467"/>
      <c r="U27" s="468"/>
      <c r="V27" s="469" t="str">
        <f aca="false">IF(TITLE_NAME_OR_PR_CHANGE="",IF(TITLE_NAME_OR_PR="","",TITLE_NAME_OR_PR),TITLE_NAME_OR_PR_CHANGE)</f>
        <v/>
      </c>
      <c r="W27" s="469"/>
      <c r="X27" s="469"/>
      <c r="Y27" s="469"/>
      <c r="Z27" s="469"/>
      <c r="AA27" s="469"/>
      <c r="AB27" s="42"/>
      <c r="AC27" s="469" t="str">
        <f aca="false">IF(TITLE_NAME_OR_PR_CHANGE="",IF(TITLE_NAME_OR_PR="","",TITLE_NAME_OR_PR),TITLE_NAME_OR_PR_CHANGE)</f>
        <v/>
      </c>
      <c r="AD27" s="469"/>
      <c r="AE27" s="469"/>
      <c r="AF27" s="469"/>
      <c r="AG27" s="469"/>
      <c r="AH27" s="469"/>
      <c r="AI27" s="42"/>
      <c r="AJ27" s="42"/>
      <c r="AK27" s="470"/>
      <c r="AL27" s="118"/>
      <c r="AM27" s="118"/>
      <c r="AN27" s="118"/>
      <c r="AO27" s="118"/>
      <c r="AP27" s="118"/>
      <c r="AQ27" s="175" t="n">
        <v>0</v>
      </c>
    </row>
    <row r="28" s="175" customFormat="true" ht="18.75" hidden="true" customHeight="true" outlineLevel="0" collapsed="false">
      <c r="A28" s="140"/>
      <c r="B28" s="140"/>
      <c r="C28" s="140"/>
      <c r="D28" s="140"/>
      <c r="E28" s="140"/>
      <c r="F28" s="140"/>
      <c r="G28" s="140"/>
      <c r="H28" s="140"/>
      <c r="I28" s="140"/>
      <c r="J28" s="140"/>
      <c r="K28" s="140"/>
      <c r="L28" s="414"/>
      <c r="M28" s="140"/>
      <c r="N28" s="140"/>
      <c r="O28" s="140"/>
      <c r="S28" s="467" t="s">
        <v>436</v>
      </c>
      <c r="T28" s="467"/>
      <c r="U28" s="468"/>
      <c r="V28" s="471" t="str">
        <f aca="false">IF(TITLE_DATE_PR_CHANGE="",IF(TITLE_DATE_PR="","",TITLE_DATE_PR),TITLE_DATE_PR_CHANGE)</f>
        <v/>
      </c>
      <c r="W28" s="471"/>
      <c r="X28" s="471"/>
      <c r="Y28" s="471"/>
      <c r="Z28" s="471"/>
      <c r="AA28" s="471"/>
      <c r="AB28" s="42"/>
      <c r="AC28" s="471" t="str">
        <f aca="false">IF(TITLE_DATE_PR_CHANGE="",IF(TITLE_DATE_PR="","",TITLE_DATE_PR),TITLE_DATE_PR_CHANGE)</f>
        <v/>
      </c>
      <c r="AD28" s="471"/>
      <c r="AE28" s="471"/>
      <c r="AF28" s="471"/>
      <c r="AG28" s="471"/>
      <c r="AH28" s="471"/>
      <c r="AI28" s="42"/>
      <c r="AJ28" s="42"/>
      <c r="AK28" s="470"/>
      <c r="AL28" s="118"/>
      <c r="AM28" s="118"/>
      <c r="AN28" s="118"/>
      <c r="AO28" s="118"/>
      <c r="AP28" s="118"/>
      <c r="AQ28" s="175" t="n">
        <v>0</v>
      </c>
    </row>
    <row r="29" s="175" customFormat="true" ht="18.75" hidden="true" customHeight="true" outlineLevel="0" collapsed="false">
      <c r="A29" s="140"/>
      <c r="B29" s="140"/>
      <c r="C29" s="140"/>
      <c r="D29" s="140"/>
      <c r="E29" s="140"/>
      <c r="F29" s="140"/>
      <c r="G29" s="140"/>
      <c r="H29" s="140"/>
      <c r="I29" s="140"/>
      <c r="J29" s="140"/>
      <c r="K29" s="140"/>
      <c r="L29" s="414"/>
      <c r="M29" s="140"/>
      <c r="N29" s="140"/>
      <c r="O29" s="140"/>
      <c r="S29" s="467" t="s">
        <v>437</v>
      </c>
      <c r="T29" s="467"/>
      <c r="U29" s="468"/>
      <c r="V29" s="469" t="str">
        <f aca="false">IF(TITLE_NUMBER_PR_CHANGE="",IF(TITLE_NUMBER_PR="","",TITLE_NUMBER_PR),TITLE_NUMBER_PR_CHANGE)</f>
        <v/>
      </c>
      <c r="W29" s="469"/>
      <c r="X29" s="469"/>
      <c r="Y29" s="469"/>
      <c r="Z29" s="469"/>
      <c r="AA29" s="469"/>
      <c r="AB29" s="42"/>
      <c r="AC29" s="469" t="str">
        <f aca="false">IF(TITLE_NUMBER_PR_CHANGE="",IF(TITLE_NUMBER_PR="","",TITLE_NUMBER_PR),TITLE_NUMBER_PR_CHANGE)</f>
        <v/>
      </c>
      <c r="AD29" s="469"/>
      <c r="AE29" s="469"/>
      <c r="AF29" s="469"/>
      <c r="AG29" s="469"/>
      <c r="AH29" s="469"/>
      <c r="AI29" s="42"/>
      <c r="AJ29" s="42"/>
      <c r="AK29" s="470"/>
      <c r="AL29" s="118"/>
      <c r="AM29" s="118"/>
      <c r="AN29" s="118"/>
      <c r="AO29" s="118"/>
      <c r="AP29" s="118"/>
      <c r="AQ29" s="175" t="n">
        <v>0</v>
      </c>
    </row>
    <row r="30" s="175" customFormat="true" ht="18.75" hidden="true" customHeight="true" outlineLevel="0" collapsed="false">
      <c r="A30" s="140"/>
      <c r="B30" s="140"/>
      <c r="C30" s="140"/>
      <c r="D30" s="140"/>
      <c r="E30" s="140"/>
      <c r="F30" s="140"/>
      <c r="G30" s="140"/>
      <c r="H30" s="140"/>
      <c r="I30" s="140"/>
      <c r="J30" s="140"/>
      <c r="K30" s="140"/>
      <c r="L30" s="414"/>
      <c r="M30" s="140"/>
      <c r="N30" s="140"/>
      <c r="O30" s="140"/>
      <c r="S30" s="467" t="s">
        <v>41</v>
      </c>
      <c r="T30" s="467"/>
      <c r="U30" s="468"/>
      <c r="V30" s="469" t="str">
        <f aca="false">IF(TITLE_IST_PUB_CHANGE="",IF(TITLE_IST_PUB="","",TITLE_IST_PUB),TITLE_IST_PUB_CHANGE)</f>
        <v/>
      </c>
      <c r="W30" s="469"/>
      <c r="X30" s="469"/>
      <c r="Y30" s="469"/>
      <c r="Z30" s="469"/>
      <c r="AA30" s="469"/>
      <c r="AB30" s="42"/>
      <c r="AC30" s="469" t="str">
        <f aca="false">IF(TITLE_IST_PUB_CHANGE="",IF(TITLE_IST_PUB="","",TITLE_IST_PUB),TITLE_IST_PUB_CHANGE)</f>
        <v/>
      </c>
      <c r="AD30" s="469"/>
      <c r="AE30" s="469"/>
      <c r="AF30" s="469"/>
      <c r="AG30" s="469"/>
      <c r="AH30" s="469"/>
      <c r="AI30" s="42"/>
      <c r="AJ30" s="42"/>
      <c r="AK30" s="470"/>
      <c r="AL30" s="118"/>
      <c r="AM30" s="118"/>
      <c r="AN30" s="118"/>
      <c r="AO30" s="118"/>
      <c r="AP30" s="118"/>
      <c r="AQ30" s="175" t="n">
        <v>0</v>
      </c>
    </row>
    <row r="31" customFormat="false" ht="14.25" hidden="true" customHeight="true" outlineLevel="0" collapsed="false">
      <c r="Q31" s="464"/>
      <c r="R31" s="464"/>
      <c r="S31" s="465"/>
      <c r="T31" s="80"/>
      <c r="U31" s="80"/>
      <c r="V31" s="466"/>
      <c r="W31" s="466"/>
      <c r="X31" s="466"/>
      <c r="Y31" s="466"/>
      <c r="Z31" s="466"/>
      <c r="AA31" s="466"/>
      <c r="AB31" s="466"/>
      <c r="AC31" s="466"/>
      <c r="AD31" s="466"/>
      <c r="AE31" s="466"/>
      <c r="AF31" s="466"/>
      <c r="AG31" s="466"/>
      <c r="AH31" s="466"/>
      <c r="AI31" s="466"/>
      <c r="AQ31" s="42" t="n">
        <v>0</v>
      </c>
    </row>
    <row r="32" s="175" customFormat="true" ht="18.75" hidden="true" customHeight="true" outlineLevel="0" collapsed="false">
      <c r="A32" s="140"/>
      <c r="B32" s="140"/>
      <c r="C32" s="140"/>
      <c r="D32" s="140"/>
      <c r="E32" s="140"/>
      <c r="F32" s="140"/>
      <c r="G32" s="140"/>
      <c r="H32" s="140"/>
      <c r="I32" s="140"/>
      <c r="J32" s="140"/>
      <c r="K32" s="140"/>
      <c r="L32" s="414"/>
      <c r="M32" s="140"/>
      <c r="N32" s="140"/>
      <c r="O32" s="140"/>
      <c r="S32" s="467" t="s">
        <v>438</v>
      </c>
      <c r="T32" s="467"/>
      <c r="U32" s="468"/>
      <c r="V32" s="471" t="str">
        <f aca="false">IF(TITLE_DATE_PR_CHANGE="",IF(TITLE_DATE_PR="","",TITLE_DATE_PR),TITLE_DATE_PR_CHANGE)</f>
        <v/>
      </c>
      <c r="W32" s="471"/>
      <c r="X32" s="471"/>
      <c r="Y32" s="471"/>
      <c r="Z32" s="471"/>
      <c r="AA32" s="471"/>
      <c r="AB32" s="42"/>
      <c r="AC32" s="471" t="str">
        <f aca="false">IF(TITLE_DATE_PR_CHANGE="",IF(TITLE_DATE_PR="","",TITLE_DATE_PR),TITLE_DATE_PR_CHANGE)</f>
        <v/>
      </c>
      <c r="AD32" s="471"/>
      <c r="AE32" s="471"/>
      <c r="AF32" s="471"/>
      <c r="AG32" s="471"/>
      <c r="AH32" s="471"/>
      <c r="AI32" s="42"/>
      <c r="AJ32" s="42"/>
      <c r="AK32" s="470"/>
      <c r="AL32" s="118"/>
      <c r="AM32" s="118"/>
      <c r="AN32" s="118"/>
      <c r="AO32" s="118"/>
      <c r="AP32" s="118"/>
      <c r="AQ32" s="175" t="n">
        <v>0</v>
      </c>
    </row>
    <row r="33" s="175" customFormat="true" ht="18.75" hidden="true" customHeight="true" outlineLevel="0" collapsed="false">
      <c r="A33" s="140"/>
      <c r="B33" s="140"/>
      <c r="C33" s="140"/>
      <c r="D33" s="140"/>
      <c r="E33" s="140"/>
      <c r="F33" s="140"/>
      <c r="G33" s="140"/>
      <c r="H33" s="140"/>
      <c r="I33" s="140"/>
      <c r="J33" s="140"/>
      <c r="K33" s="140"/>
      <c r="L33" s="414"/>
      <c r="M33" s="140"/>
      <c r="N33" s="140"/>
      <c r="O33" s="140"/>
      <c r="S33" s="467" t="s">
        <v>439</v>
      </c>
      <c r="T33" s="467"/>
      <c r="U33" s="468"/>
      <c r="V33" s="469" t="str">
        <f aca="false">IF(TITLE_NUMBER_PR_CHANGE="",IF(TITLE_NUMBER_PR="","",TITLE_NUMBER_PR),TITLE_NUMBER_PR_CHANGE)</f>
        <v/>
      </c>
      <c r="W33" s="469"/>
      <c r="X33" s="469"/>
      <c r="Y33" s="469"/>
      <c r="Z33" s="469"/>
      <c r="AA33" s="469"/>
      <c r="AB33" s="42"/>
      <c r="AC33" s="469" t="str">
        <f aca="false">IF(TITLE_NUMBER_PR_CHANGE="",IF(TITLE_NUMBER_PR="","",TITLE_NUMBER_PR),TITLE_NUMBER_PR_CHANGE)</f>
        <v/>
      </c>
      <c r="AD33" s="469"/>
      <c r="AE33" s="469"/>
      <c r="AF33" s="469"/>
      <c r="AG33" s="469"/>
      <c r="AH33" s="469"/>
      <c r="AI33" s="42"/>
      <c r="AJ33" s="42"/>
      <c r="AK33" s="470"/>
      <c r="AL33" s="118"/>
      <c r="AM33" s="118"/>
      <c r="AN33" s="118"/>
      <c r="AO33" s="118"/>
      <c r="AP33" s="118"/>
      <c r="AQ33" s="175" t="n">
        <v>0</v>
      </c>
    </row>
    <row r="34" s="175" customFormat="true" ht="0.75" hidden="false" customHeight="true" outlineLevel="0" collapsed="false">
      <c r="A34" s="140"/>
      <c r="B34" s="140"/>
      <c r="C34" s="140"/>
      <c r="D34" s="140"/>
      <c r="E34" s="140"/>
      <c r="F34" s="140"/>
      <c r="G34" s="140"/>
      <c r="H34" s="140"/>
      <c r="I34" s="140"/>
      <c r="J34" s="140"/>
      <c r="K34" s="140"/>
      <c r="L34" s="414"/>
      <c r="M34" s="140"/>
      <c r="N34" s="140"/>
      <c r="O34" s="140"/>
      <c r="S34" s="42"/>
      <c r="T34" s="42"/>
      <c r="U34" s="128"/>
      <c r="V34" s="42"/>
      <c r="W34" s="42"/>
      <c r="X34" s="42"/>
      <c r="Y34" s="42"/>
      <c r="Z34" s="42"/>
      <c r="AA34" s="42"/>
      <c r="AB34" s="47" t="s">
        <v>440</v>
      </c>
      <c r="AC34" s="42"/>
      <c r="AD34" s="42"/>
      <c r="AE34" s="42"/>
      <c r="AF34" s="42"/>
      <c r="AG34" s="42"/>
      <c r="AH34" s="42"/>
      <c r="AI34" s="47" t="s">
        <v>440</v>
      </c>
      <c r="AL34" s="118"/>
      <c r="AM34" s="118"/>
      <c r="AN34" s="118"/>
      <c r="AO34" s="118"/>
      <c r="AP34" s="118"/>
      <c r="AQ34" s="175" t="n">
        <v>1</v>
      </c>
    </row>
    <row r="35" customFormat="false" ht="14.25" hidden="false" customHeight="true" outlineLevel="0" collapsed="false">
      <c r="Q35" s="464"/>
      <c r="R35" s="464"/>
      <c r="S35" s="465"/>
      <c r="T35" s="80"/>
      <c r="U35" s="472"/>
      <c r="V35" s="473"/>
      <c r="W35" s="473"/>
      <c r="X35" s="473"/>
      <c r="Y35" s="473"/>
      <c r="Z35" s="473"/>
      <c r="AA35" s="473"/>
      <c r="AB35" s="473"/>
      <c r="AC35" s="473"/>
      <c r="AD35" s="473"/>
      <c r="AE35" s="473"/>
      <c r="AF35" s="473"/>
      <c r="AG35" s="473"/>
      <c r="AH35" s="473"/>
      <c r="AI35" s="473"/>
      <c r="AQ35" s="42" t="n">
        <v>14</v>
      </c>
    </row>
    <row r="36" customFormat="false" ht="14.25" hidden="false" customHeight="true" outlineLevel="0" collapsed="false">
      <c r="Q36" s="464"/>
      <c r="R36" s="464"/>
      <c r="S36" s="134" t="s">
        <v>313</v>
      </c>
      <c r="T36" s="134"/>
      <c r="U36" s="134"/>
      <c r="V36" s="134"/>
      <c r="W36" s="134"/>
      <c r="X36" s="134"/>
      <c r="Y36" s="134"/>
      <c r="Z36" s="134"/>
      <c r="AA36" s="134"/>
      <c r="AB36" s="134"/>
      <c r="AC36" s="134"/>
      <c r="AD36" s="134"/>
      <c r="AE36" s="134"/>
      <c r="AF36" s="134"/>
      <c r="AG36" s="134"/>
      <c r="AH36" s="134"/>
      <c r="AI36" s="134"/>
      <c r="AJ36" s="134"/>
      <c r="AK36" s="134" t="s">
        <v>314</v>
      </c>
      <c r="AQ36" s="42" t="n">
        <v>14</v>
      </c>
    </row>
    <row r="37" customFormat="false" ht="14.25" hidden="false" customHeight="true" outlineLevel="0" collapsed="false">
      <c r="Q37" s="464"/>
      <c r="R37" s="464"/>
      <c r="S37" s="474" t="s">
        <v>87</v>
      </c>
      <c r="T37" s="391" t="s">
        <v>441</v>
      </c>
      <c r="U37" s="475"/>
      <c r="V37" s="296" t="s">
        <v>442</v>
      </c>
      <c r="W37" s="296"/>
      <c r="X37" s="296"/>
      <c r="Y37" s="296"/>
      <c r="Z37" s="296"/>
      <c r="AA37" s="296"/>
      <c r="AB37" s="391" t="s">
        <v>443</v>
      </c>
      <c r="AC37" s="296" t="s">
        <v>442</v>
      </c>
      <c r="AD37" s="296"/>
      <c r="AE37" s="296"/>
      <c r="AF37" s="296"/>
      <c r="AG37" s="296"/>
      <c r="AH37" s="296"/>
      <c r="AI37" s="391" t="s">
        <v>444</v>
      </c>
      <c r="AJ37" s="476" t="s">
        <v>445</v>
      </c>
      <c r="AK37" s="134"/>
      <c r="AQ37" s="42" t="n">
        <v>14</v>
      </c>
    </row>
    <row r="38" customFormat="false" ht="35.25" hidden="false" customHeight="true" outlineLevel="0" collapsed="false">
      <c r="Q38" s="464"/>
      <c r="R38" s="464"/>
      <c r="S38" s="474"/>
      <c r="T38" s="391"/>
      <c r="U38" s="477"/>
      <c r="V38" s="262" t="s">
        <v>502</v>
      </c>
      <c r="W38" s="134" t="s">
        <v>448</v>
      </c>
      <c r="X38" s="134"/>
      <c r="Y38" s="134" t="s">
        <v>449</v>
      </c>
      <c r="Z38" s="134"/>
      <c r="AA38" s="134"/>
      <c r="AB38" s="391"/>
      <c r="AC38" s="262" t="s">
        <v>502</v>
      </c>
      <c r="AD38" s="134" t="s">
        <v>448</v>
      </c>
      <c r="AE38" s="134"/>
      <c r="AF38" s="134" t="s">
        <v>449</v>
      </c>
      <c r="AG38" s="134"/>
      <c r="AH38" s="134"/>
      <c r="AI38" s="391"/>
      <c r="AJ38" s="476"/>
      <c r="AK38" s="134"/>
      <c r="AQ38" s="42" t="n">
        <v>34</v>
      </c>
    </row>
    <row r="39" customFormat="false" ht="35.25" hidden="false" customHeight="true" outlineLevel="0" collapsed="false">
      <c r="A39" s="140"/>
      <c r="B39" s="140" t="s">
        <v>150</v>
      </c>
      <c r="C39" s="140" t="s">
        <v>151</v>
      </c>
      <c r="D39" s="140" t="s">
        <v>152</v>
      </c>
      <c r="E39" s="414" t="s">
        <v>450</v>
      </c>
      <c r="F39" s="414" t="s">
        <v>451</v>
      </c>
      <c r="G39" s="414" t="s">
        <v>452</v>
      </c>
      <c r="H39" s="414"/>
      <c r="I39" s="414" t="s">
        <v>503</v>
      </c>
      <c r="J39" s="414" t="s">
        <v>455</v>
      </c>
      <c r="K39" s="414" t="s">
        <v>504</v>
      </c>
      <c r="L39" s="414" t="s">
        <v>431</v>
      </c>
      <c r="Q39" s="464"/>
      <c r="R39" s="464"/>
      <c r="S39" s="474"/>
      <c r="T39" s="391"/>
      <c r="U39" s="478"/>
      <c r="V39" s="262" t="s">
        <v>505</v>
      </c>
      <c r="W39" s="185" t="s">
        <v>506</v>
      </c>
      <c r="X39" s="185" t="s">
        <v>507</v>
      </c>
      <c r="Y39" s="185" t="s">
        <v>459</v>
      </c>
      <c r="Z39" s="185" t="s">
        <v>460</v>
      </c>
      <c r="AA39" s="185"/>
      <c r="AB39" s="391"/>
      <c r="AC39" s="262" t="s">
        <v>505</v>
      </c>
      <c r="AD39" s="185" t="s">
        <v>506</v>
      </c>
      <c r="AE39" s="185" t="s">
        <v>507</v>
      </c>
      <c r="AF39" s="185" t="s">
        <v>459</v>
      </c>
      <c r="AG39" s="185" t="s">
        <v>460</v>
      </c>
      <c r="AH39" s="185"/>
      <c r="AI39" s="391"/>
      <c r="AJ39" s="476"/>
      <c r="AK39" s="134"/>
      <c r="AQ39" s="42" t="n">
        <v>34</v>
      </c>
    </row>
    <row r="40" s="120" customFormat="true" ht="12.8" hidden="false" customHeight="false" outlineLevel="0" collapsed="false">
      <c r="A40" s="140"/>
      <c r="B40" s="140"/>
      <c r="C40" s="140"/>
      <c r="D40" s="140"/>
      <c r="E40" s="140"/>
      <c r="F40" s="140"/>
      <c r="G40" s="140"/>
      <c r="H40" s="140"/>
      <c r="I40" s="140"/>
      <c r="J40" s="140"/>
      <c r="K40" s="140"/>
      <c r="L40" s="414"/>
      <c r="M40" s="51"/>
      <c r="N40" s="51"/>
      <c r="O40" s="51"/>
      <c r="P40" s="479"/>
      <c r="Q40" s="480"/>
      <c r="R40" s="481" t="n">
        <v>1</v>
      </c>
      <c r="S40" s="482" t="s">
        <v>120</v>
      </c>
      <c r="T40" s="483" t="s">
        <v>102</v>
      </c>
      <c r="U40" s="484" t="str">
        <f aca="true">OFFSET(U40,0,-1)</f>
        <v>2</v>
      </c>
      <c r="V40" s="485" t="n">
        <f aca="true">OFFSET(V40,0,-1)+1</f>
        <v>3</v>
      </c>
      <c r="W40" s="485" t="n">
        <f aca="true">OFFSET(W40,0,-1)+1</f>
        <v>4</v>
      </c>
      <c r="X40" s="485" t="n">
        <f aca="true">OFFSET(X40,0,-1)+1</f>
        <v>5</v>
      </c>
      <c r="Y40" s="485" t="n">
        <f aca="true">OFFSET(Y40,0,-1)+1</f>
        <v>6</v>
      </c>
      <c r="Z40" s="485" t="n">
        <f aca="true">OFFSET(Z40,0,-1)+1</f>
        <v>7</v>
      </c>
      <c r="AA40" s="485"/>
      <c r="AB40" s="485" t="n">
        <f aca="true">OFFSET(AB40,0,-2)+1</f>
        <v>8</v>
      </c>
      <c r="AC40" s="485" t="n">
        <f aca="true">OFFSET(AC40,0,-1)+1</f>
        <v>9</v>
      </c>
      <c r="AD40" s="485" t="n">
        <f aca="true">OFFSET(AD40,0,-1)+1</f>
        <v>10</v>
      </c>
      <c r="AE40" s="485" t="n">
        <f aca="true">OFFSET(AE40,0,-1)+1</f>
        <v>11</v>
      </c>
      <c r="AF40" s="485" t="n">
        <f aca="true">OFFSET(AF40,0,-1)+1</f>
        <v>12</v>
      </c>
      <c r="AG40" s="485" t="n">
        <f aca="true">OFFSET(AG40,0,-1)+1</f>
        <v>13</v>
      </c>
      <c r="AH40" s="485"/>
      <c r="AI40" s="485" t="n">
        <f aca="true">OFFSET(AI40,0,-2)+1</f>
        <v>14</v>
      </c>
      <c r="AJ40" s="484" t="n">
        <f aca="true">OFFSET(AJ40,0,-1)</f>
        <v>14</v>
      </c>
      <c r="AK40" s="485" t="n">
        <f aca="true">OFFSET(AK40,0,-1)+1</f>
        <v>15</v>
      </c>
      <c r="AL40" s="47"/>
      <c r="AM40" s="47"/>
      <c r="AN40" s="47"/>
      <c r="AO40" s="47"/>
      <c r="AP40" s="47"/>
      <c r="AQ40" s="120" t="n">
        <v>0</v>
      </c>
    </row>
    <row r="41" customFormat="false" ht="24" hidden="false" customHeight="true" outlineLevel="0" collapsed="false">
      <c r="A41" s="412" t="s">
        <v>244</v>
      </c>
      <c r="B41" s="412"/>
      <c r="C41" s="412"/>
      <c r="D41" s="412"/>
      <c r="E41" s="413" t="n">
        <v>1</v>
      </c>
      <c r="F41" s="412"/>
      <c r="G41" s="412"/>
      <c r="H41" s="412"/>
      <c r="I41" s="412"/>
      <c r="J41" s="412"/>
      <c r="K41" s="412"/>
      <c r="L41" s="414"/>
      <c r="M41" s="40"/>
      <c r="N41" s="40"/>
      <c r="O41" s="40"/>
      <c r="Q41" s="132"/>
      <c r="R41" s="415"/>
      <c r="S41" s="416" t="n">
        <f aca="false">INDEX(PT_DIFFERENTIATION_NUM_NTAR,MATCH(A41,PT_DIFFERENTIATION_NTAR_ID,0))</f>
        <v>0</v>
      </c>
      <c r="T41" s="417" t="s">
        <v>138</v>
      </c>
      <c r="U41" s="418"/>
      <c r="V41" s="419"/>
      <c r="W41" s="419"/>
      <c r="X41" s="419"/>
      <c r="Y41" s="419"/>
      <c r="Z41" s="419"/>
      <c r="AA41" s="419"/>
      <c r="AB41" s="419"/>
      <c r="AC41" s="419" t="str">
        <f aca="false">INDEX(PT_DIFFERENTIATION_NTAR,MATCH(A41,PT_DIFFERENTIATION_NTAR_ID,0))</f>
        <v/>
      </c>
      <c r="AD41" s="419"/>
      <c r="AE41" s="419"/>
      <c r="AF41" s="419"/>
      <c r="AG41" s="419"/>
      <c r="AH41" s="419"/>
      <c r="AI41" s="419"/>
      <c r="AJ41" s="419"/>
      <c r="AK41" s="42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8"/>
      <c r="AN41" s="118" t="str">
        <f aca="false">IF(T41="","",T41)</f>
        <v>Наименование тарифа</v>
      </c>
      <c r="AO41" s="118"/>
      <c r="AP41" s="118"/>
      <c r="AQ41" s="42" t="n">
        <v>23</v>
      </c>
    </row>
    <row r="42" customFormat="false" ht="24" hidden="false" customHeight="true" outlineLevel="0" collapsed="false">
      <c r="A42" s="412" t="s">
        <v>244</v>
      </c>
      <c r="B42" s="412" t="s">
        <v>245</v>
      </c>
      <c r="C42" s="412"/>
      <c r="D42" s="412"/>
      <c r="E42" s="413"/>
      <c r="F42" s="413" t="n">
        <v>1</v>
      </c>
      <c r="G42" s="412"/>
      <c r="H42" s="412"/>
      <c r="I42" s="412"/>
      <c r="J42" s="412"/>
      <c r="K42" s="412"/>
      <c r="L42" s="414"/>
      <c r="M42" s="40"/>
      <c r="N42" s="40"/>
      <c r="O42" s="40"/>
      <c r="P42" s="43"/>
      <c r="Q42" s="422"/>
      <c r="R42" s="423"/>
      <c r="S42" s="416" t="str">
        <f aca="false">INDEX(PT_DIFFERENTIATION_NUM_TER,MATCH(B42,PT_DIFFERENTIATION_TER_ID,0))</f>
        <v>.</v>
      </c>
      <c r="T42" s="424" t="s">
        <v>410</v>
      </c>
      <c r="U42" s="418"/>
      <c r="V42" s="419"/>
      <c r="W42" s="419"/>
      <c r="X42" s="419"/>
      <c r="Y42" s="419"/>
      <c r="Z42" s="419"/>
      <c r="AA42" s="419"/>
      <c r="AB42" s="419"/>
      <c r="AC42" s="419" t="str">
        <f aca="false">INDEX(PT_DIFFERENTIATION_TER,MATCH(B42,PT_DIFFERENTIATION_TER_ID,0))</f>
        <v/>
      </c>
      <c r="AD42" s="419"/>
      <c r="AE42" s="419"/>
      <c r="AF42" s="419"/>
      <c r="AG42" s="419"/>
      <c r="AH42" s="419"/>
      <c r="AI42" s="419"/>
      <c r="AJ42" s="419"/>
      <c r="AK42" s="421" t="s">
        <v>411</v>
      </c>
      <c r="AM42" s="118"/>
      <c r="AN42" s="118" t="str">
        <f aca="false">IF(T42="","",T42)</f>
        <v>Территория действия тарифа</v>
      </c>
      <c r="AO42" s="118"/>
      <c r="AP42" s="118"/>
      <c r="AQ42" s="42" t="n">
        <v>23</v>
      </c>
    </row>
    <row r="43" customFormat="false" ht="24" hidden="false" customHeight="true" outlineLevel="0" collapsed="false">
      <c r="A43" s="412" t="s">
        <v>244</v>
      </c>
      <c r="B43" s="412" t="s">
        <v>245</v>
      </c>
      <c r="C43" s="412" t="s">
        <v>246</v>
      </c>
      <c r="D43" s="412"/>
      <c r="E43" s="413"/>
      <c r="F43" s="413"/>
      <c r="G43" s="413" t="n">
        <v>1</v>
      </c>
      <c r="H43" s="412"/>
      <c r="I43" s="412"/>
      <c r="J43" s="412"/>
      <c r="K43" s="412"/>
      <c r="L43" s="414"/>
      <c r="M43" s="40"/>
      <c r="N43" s="40"/>
      <c r="O43" s="40"/>
      <c r="P43" s="425"/>
      <c r="Q43" s="422"/>
      <c r="R43" s="423"/>
      <c r="S43" s="416" t="str">
        <f aca="false">INDEX(PT_DIFFERENTIATION_NUM_CS,MATCH(C43,PT_DIFFERENTIATION_CS_ID,0))</f>
        <v>..</v>
      </c>
      <c r="T43" s="426" t="s">
        <v>494</v>
      </c>
      <c r="U43" s="418"/>
      <c r="V43" s="419"/>
      <c r="W43" s="419"/>
      <c r="X43" s="419"/>
      <c r="Y43" s="419"/>
      <c r="Z43" s="419"/>
      <c r="AA43" s="419"/>
      <c r="AB43" s="419"/>
      <c r="AC43" s="419" t="str">
        <f aca="false">INDEX(PT_DIFFERENTIATION_CS,MATCH(C43,PT_DIFFERENTIATION_CS_ID,0))</f>
        <v/>
      </c>
      <c r="AD43" s="419"/>
      <c r="AE43" s="419"/>
      <c r="AF43" s="419"/>
      <c r="AG43" s="419"/>
      <c r="AH43" s="419"/>
      <c r="AI43" s="419"/>
      <c r="AJ43" s="419"/>
      <c r="AK43" s="421" t="s">
        <v>495</v>
      </c>
      <c r="AM43" s="118"/>
      <c r="AN43" s="118" t="str">
        <f aca="false">IF(T43="","",T43)</f>
        <v>Наименование централизованной системы холодного водоснабжения</v>
      </c>
      <c r="AO43" s="118"/>
      <c r="AP43" s="118"/>
      <c r="AQ43" s="42" t="n">
        <v>23</v>
      </c>
    </row>
    <row r="44" customFormat="false" ht="24" hidden="false" customHeight="true" outlineLevel="0" collapsed="false">
      <c r="A44" s="412" t="s">
        <v>244</v>
      </c>
      <c r="B44" s="412" t="s">
        <v>245</v>
      </c>
      <c r="C44" s="412" t="s">
        <v>246</v>
      </c>
      <c r="D44" s="412" t="s">
        <v>509</v>
      </c>
      <c r="E44" s="413"/>
      <c r="F44" s="413"/>
      <c r="G44" s="413"/>
      <c r="H44" s="571"/>
      <c r="I44" s="428" t="str">
        <f aca="false">S43&amp;".1"</f>
        <v>...1</v>
      </c>
      <c r="J44" s="412"/>
      <c r="K44" s="412"/>
      <c r="L44" s="414"/>
      <c r="P44" s="121" t="n">
        <v>1</v>
      </c>
      <c r="Q44" s="121"/>
      <c r="R44" s="429"/>
      <c r="S44" s="416" t="str">
        <f aca="false">$I44</f>
        <v>...1</v>
      </c>
      <c r="T44" s="430" t="s">
        <v>496</v>
      </c>
      <c r="U44" s="418"/>
      <c r="V44" s="572"/>
      <c r="W44" s="572"/>
      <c r="X44" s="572"/>
      <c r="Y44" s="572"/>
      <c r="Z44" s="572"/>
      <c r="AA44" s="572"/>
      <c r="AB44" s="572"/>
      <c r="AC44" s="334"/>
      <c r="AD44" s="334"/>
      <c r="AE44" s="334"/>
      <c r="AF44" s="334"/>
      <c r="AG44" s="334"/>
      <c r="AH44" s="334"/>
      <c r="AI44" s="334"/>
      <c r="AJ44" s="334"/>
      <c r="AK44" s="421" t="s">
        <v>497</v>
      </c>
      <c r="AM44" s="118"/>
      <c r="AN44" s="118" t="str">
        <f aca="false">IF(T44="","",T44)</f>
        <v>Наименование признака дифференциации</v>
      </c>
      <c r="AO44" s="118"/>
      <c r="AP44" s="118"/>
      <c r="AQ44" s="42" t="n">
        <v>23</v>
      </c>
    </row>
    <row r="45" customFormat="false" ht="24" hidden="false" customHeight="true" outlineLevel="0" collapsed="false">
      <c r="A45" s="412" t="s">
        <v>244</v>
      </c>
      <c r="B45" s="412" t="s">
        <v>245</v>
      </c>
      <c r="C45" s="412" t="s">
        <v>246</v>
      </c>
      <c r="D45" s="412" t="s">
        <v>509</v>
      </c>
      <c r="E45" s="413"/>
      <c r="F45" s="413"/>
      <c r="G45" s="413"/>
      <c r="H45" s="413"/>
      <c r="I45" s="428"/>
      <c r="J45" s="428" t="str">
        <f aca="false">I44&amp;".1"</f>
        <v>...1.1</v>
      </c>
      <c r="K45" s="412"/>
      <c r="L45" s="414" t="s">
        <v>419</v>
      </c>
      <c r="P45" s="121"/>
      <c r="Q45" s="121" t="n">
        <v>1</v>
      </c>
      <c r="R45" s="432"/>
      <c r="S45" s="416" t="str">
        <f aca="false">$J45</f>
        <v>...1.1</v>
      </c>
      <c r="T45" s="433" t="s">
        <v>420</v>
      </c>
      <c r="U45" s="418"/>
      <c r="V45" s="431"/>
      <c r="W45" s="431"/>
      <c r="X45" s="431"/>
      <c r="Y45" s="431"/>
      <c r="Z45" s="431"/>
      <c r="AA45" s="431"/>
      <c r="AB45" s="431"/>
      <c r="AC45" s="431"/>
      <c r="AD45" s="431"/>
      <c r="AE45" s="431"/>
      <c r="AF45" s="431"/>
      <c r="AG45" s="431"/>
      <c r="AH45" s="431"/>
      <c r="AI45" s="431"/>
      <c r="AJ45" s="431"/>
      <c r="AK45" s="523" t="s">
        <v>498</v>
      </c>
      <c r="AM45" s="118"/>
      <c r="AN45" s="118" t="str">
        <f aca="false">IF(T45="","",T45)</f>
        <v>Группа потребителей</v>
      </c>
      <c r="AO45" s="118"/>
      <c r="AP45" s="118"/>
      <c r="AQ45" s="42" t="n">
        <v>23</v>
      </c>
    </row>
    <row r="46" customFormat="false" ht="24" hidden="false" customHeight="true" outlineLevel="0" collapsed="false">
      <c r="A46" s="412" t="s">
        <v>244</v>
      </c>
      <c r="B46" s="412" t="s">
        <v>245</v>
      </c>
      <c r="C46" s="412" t="s">
        <v>246</v>
      </c>
      <c r="D46" s="412" t="s">
        <v>509</v>
      </c>
      <c r="E46" s="413"/>
      <c r="F46" s="413"/>
      <c r="G46" s="413"/>
      <c r="H46" s="413"/>
      <c r="I46" s="428"/>
      <c r="J46" s="428"/>
      <c r="K46" s="428" t="str">
        <f aca="false">J45&amp;".1"</f>
        <v>...1.1.1</v>
      </c>
      <c r="L46" s="414"/>
      <c r="P46" s="121"/>
      <c r="Q46" s="121"/>
      <c r="R46" s="432" t="n">
        <v>1</v>
      </c>
      <c r="S46" s="416" t="str">
        <f aca="false">$K46</f>
        <v>...1.1.1</v>
      </c>
      <c r="T46" s="573"/>
      <c r="U46" s="418"/>
      <c r="V46" s="435"/>
      <c r="W46" s="435"/>
      <c r="X46" s="437"/>
      <c r="Y46" s="438"/>
      <c r="Z46" s="204" t="s">
        <v>61</v>
      </c>
      <c r="AA46" s="438"/>
      <c r="AB46" s="204" t="s">
        <v>61</v>
      </c>
      <c r="AC46" s="435"/>
      <c r="AD46" s="435"/>
      <c r="AE46" s="437"/>
      <c r="AF46" s="438"/>
      <c r="AG46" s="204" t="s">
        <v>61</v>
      </c>
      <c r="AH46" s="438"/>
      <c r="AI46" s="204" t="s">
        <v>61</v>
      </c>
      <c r="AJ46" s="574"/>
      <c r="AK46" s="57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7" t="e">
        <f aca="false">strcheckdate(V47:AJ47)</f>
        <v>#NAME?</v>
      </c>
      <c r="AM46" s="118"/>
      <c r="AN46" s="118" t="str">
        <f aca="false">IF(T46="","",T46)</f>
        <v/>
      </c>
      <c r="AO46" s="118"/>
      <c r="AP46" s="118"/>
      <c r="AQ46" s="42" t="n">
        <v>23</v>
      </c>
    </row>
    <row r="47" customFormat="false" ht="12.8" hidden="false" customHeight="false" outlineLevel="0" collapsed="false">
      <c r="A47" s="412" t="s">
        <v>244</v>
      </c>
      <c r="B47" s="412" t="s">
        <v>245</v>
      </c>
      <c r="C47" s="412" t="s">
        <v>246</v>
      </c>
      <c r="D47" s="412" t="s">
        <v>509</v>
      </c>
      <c r="E47" s="413"/>
      <c r="F47" s="413"/>
      <c r="G47" s="413"/>
      <c r="H47" s="413"/>
      <c r="I47" s="428"/>
      <c r="J47" s="428"/>
      <c r="K47" s="428"/>
      <c r="L47" s="414"/>
      <c r="P47" s="121"/>
      <c r="Q47" s="121"/>
      <c r="R47" s="432"/>
      <c r="S47" s="393"/>
      <c r="T47" s="418"/>
      <c r="U47" s="418"/>
      <c r="V47" s="436"/>
      <c r="W47" s="436"/>
      <c r="X47" s="440" t="str">
        <f aca="false">Y46&amp;"-"&amp;AA46</f>
        <v>-</v>
      </c>
      <c r="Y47" s="438"/>
      <c r="Z47" s="204"/>
      <c r="AA47" s="438"/>
      <c r="AB47" s="204"/>
      <c r="AC47" s="436"/>
      <c r="AD47" s="436"/>
      <c r="AE47" s="440" t="str">
        <f aca="false">AF46&amp;"-"&amp;AH46</f>
        <v>-</v>
      </c>
      <c r="AF47" s="438"/>
      <c r="AG47" s="204"/>
      <c r="AH47" s="438"/>
      <c r="AI47" s="204"/>
      <c r="AJ47" s="576"/>
      <c r="AK47" s="575"/>
      <c r="AM47" s="118"/>
      <c r="AN47" s="118" t="str">
        <f aca="false">IF(T47="","",T47)</f>
        <v/>
      </c>
      <c r="AO47" s="118"/>
      <c r="AP47" s="118"/>
      <c r="AQ47" s="42" t="n">
        <v>0</v>
      </c>
    </row>
    <row r="48" customFormat="false" ht="21" hidden="false" customHeight="true" outlineLevel="0" collapsed="false">
      <c r="A48" s="412" t="s">
        <v>244</v>
      </c>
      <c r="B48" s="412" t="s">
        <v>245</v>
      </c>
      <c r="C48" s="412" t="s">
        <v>246</v>
      </c>
      <c r="D48" s="412" t="s">
        <v>509</v>
      </c>
      <c r="E48" s="413"/>
      <c r="F48" s="413"/>
      <c r="G48" s="413"/>
      <c r="H48" s="413"/>
      <c r="I48" s="428"/>
      <c r="J48" s="428"/>
      <c r="K48" s="412"/>
      <c r="L48" s="414"/>
      <c r="P48" s="121"/>
      <c r="Q48" s="121"/>
      <c r="R48" s="429"/>
      <c r="S48" s="441"/>
      <c r="T48" s="444" t="s">
        <v>499</v>
      </c>
      <c r="U48" s="194"/>
      <c r="V48" s="194"/>
      <c r="W48" s="194"/>
      <c r="X48" s="194"/>
      <c r="Y48" s="194"/>
      <c r="Z48" s="194"/>
      <c r="AA48" s="194"/>
      <c r="AB48" s="194"/>
      <c r="AC48" s="194"/>
      <c r="AD48" s="194"/>
      <c r="AE48" s="194"/>
      <c r="AF48" s="194"/>
      <c r="AG48" s="194"/>
      <c r="AH48" s="194"/>
      <c r="AI48" s="194"/>
      <c r="AJ48" s="194"/>
      <c r="AK48" s="421" t="s">
        <v>500</v>
      </c>
      <c r="AM48" s="118"/>
      <c r="AN48" s="118" t="str">
        <f aca="false">IF(T48="","",T48)</f>
        <v>Добавить значение признака дифференциации</v>
      </c>
      <c r="AO48" s="118"/>
      <c r="AP48" s="118"/>
      <c r="AQ48" s="42" t="n">
        <v>20</v>
      </c>
    </row>
    <row r="49" customFormat="false" ht="21.75" hidden="false" customHeight="true" outlineLevel="0" collapsed="false">
      <c r="A49" s="412" t="s">
        <v>244</v>
      </c>
      <c r="B49" s="412" t="s">
        <v>245</v>
      </c>
      <c r="C49" s="412" t="s">
        <v>246</v>
      </c>
      <c r="D49" s="412" t="s">
        <v>509</v>
      </c>
      <c r="E49" s="413"/>
      <c r="F49" s="413"/>
      <c r="G49" s="413"/>
      <c r="H49" s="413"/>
      <c r="I49" s="428"/>
      <c r="J49" s="412"/>
      <c r="K49" s="412"/>
      <c r="L49" s="414"/>
      <c r="P49" s="121"/>
      <c r="Q49" s="121"/>
      <c r="R49" s="429"/>
      <c r="S49" s="441"/>
      <c r="T49" s="448" t="s">
        <v>425</v>
      </c>
      <c r="U49" s="194"/>
      <c r="V49" s="194"/>
      <c r="W49" s="194"/>
      <c r="X49" s="194"/>
      <c r="Y49" s="194"/>
      <c r="Z49" s="194"/>
      <c r="AA49" s="194"/>
      <c r="AB49" s="445"/>
      <c r="AC49" s="194"/>
      <c r="AD49" s="194"/>
      <c r="AE49" s="194"/>
      <c r="AF49" s="194"/>
      <c r="AG49" s="194"/>
      <c r="AH49" s="194"/>
      <c r="AI49" s="445"/>
      <c r="AJ49" s="194"/>
      <c r="AK49" s="577"/>
      <c r="AM49" s="118"/>
      <c r="AN49" s="118" t="str">
        <f aca="false">IF(T49="","",T49)</f>
        <v>Добавить группу потребителей</v>
      </c>
      <c r="AO49" s="118"/>
      <c r="AP49" s="118"/>
      <c r="AQ49" s="42" t="n">
        <v>21</v>
      </c>
    </row>
    <row r="50" customFormat="false" ht="21.75" hidden="false" customHeight="true" outlineLevel="0" collapsed="false">
      <c r="A50" s="412" t="s">
        <v>244</v>
      </c>
      <c r="B50" s="412" t="s">
        <v>245</v>
      </c>
      <c r="C50" s="412" t="s">
        <v>246</v>
      </c>
      <c r="D50" s="412" t="s">
        <v>509</v>
      </c>
      <c r="E50" s="413"/>
      <c r="F50" s="413"/>
      <c r="G50" s="413"/>
      <c r="H50" s="571"/>
      <c r="I50" s="412"/>
      <c r="J50" s="412"/>
      <c r="K50" s="412"/>
      <c r="L50" s="414"/>
      <c r="M50" s="40"/>
      <c r="N50" s="40"/>
      <c r="O50" s="45"/>
      <c r="P50" s="132"/>
      <c r="Q50" s="447"/>
      <c r="R50" s="415"/>
      <c r="S50" s="441"/>
      <c r="T50" s="578" t="s">
        <v>501</v>
      </c>
      <c r="U50" s="194"/>
      <c r="V50" s="194"/>
      <c r="W50" s="194"/>
      <c r="X50" s="194"/>
      <c r="Y50" s="194"/>
      <c r="Z50" s="194"/>
      <c r="AA50" s="194"/>
      <c r="AB50" s="445"/>
      <c r="AC50" s="194"/>
      <c r="AD50" s="194"/>
      <c r="AE50" s="194"/>
      <c r="AF50" s="194"/>
      <c r="AG50" s="194"/>
      <c r="AH50" s="194"/>
      <c r="AI50" s="445"/>
      <c r="AJ50" s="194"/>
      <c r="AK50" s="446"/>
      <c r="AM50" s="118"/>
      <c r="AN50" s="118" t="str">
        <f aca="false">IF(T50="","",T50)</f>
        <v>Добавить наименование признака дифференциации</v>
      </c>
      <c r="AO50" s="118"/>
      <c r="AP50" s="118"/>
      <c r="AQ50" s="42" t="n">
        <v>21</v>
      </c>
    </row>
    <row r="51" s="47" customFormat="true" ht="12.8" hidden="false" customHeight="false" outlineLevel="0" collapsed="false">
      <c r="A51" s="122" t="s">
        <v>244</v>
      </c>
      <c r="B51" s="122" t="s">
        <v>245</v>
      </c>
      <c r="C51" s="122"/>
      <c r="D51" s="122"/>
      <c r="E51" s="413"/>
      <c r="F51" s="413"/>
      <c r="G51" s="122"/>
      <c r="H51" s="122"/>
      <c r="I51" s="122"/>
      <c r="J51" s="122"/>
      <c r="K51" s="122"/>
      <c r="L51" s="192"/>
      <c r="M51" s="453"/>
      <c r="N51" s="453"/>
      <c r="P51" s="156"/>
      <c r="Q51" s="449"/>
      <c r="R51" s="156"/>
      <c r="S51" s="454"/>
      <c r="T51" s="457" t="s">
        <v>428</v>
      </c>
      <c r="U51" s="456"/>
      <c r="V51" s="456"/>
      <c r="W51" s="456"/>
      <c r="X51" s="456"/>
      <c r="Y51" s="456"/>
      <c r="Z51" s="456"/>
      <c r="AA51" s="456"/>
      <c r="AB51" s="456"/>
      <c r="AC51" s="456"/>
      <c r="AD51" s="456"/>
      <c r="AE51" s="456"/>
      <c r="AF51" s="456"/>
      <c r="AG51" s="456"/>
      <c r="AH51" s="456"/>
      <c r="AI51" s="456"/>
      <c r="AJ51" s="456"/>
      <c r="AK51" s="456"/>
      <c r="AM51" s="118"/>
      <c r="AN51" s="118" t="str">
        <f aca="false">IF(T51="","",T51)</f>
        <v>Добавить централизованную систему для дифференциации</v>
      </c>
      <c r="AO51" s="118"/>
      <c r="AP51" s="118"/>
      <c r="AQ51" s="47" t="n">
        <v>0</v>
      </c>
    </row>
    <row r="52" s="47" customFormat="true" ht="12.8" hidden="false" customHeight="false" outlineLevel="0" collapsed="false">
      <c r="A52" s="122" t="s">
        <v>244</v>
      </c>
      <c r="B52" s="122"/>
      <c r="C52" s="122"/>
      <c r="D52" s="122"/>
      <c r="E52" s="413"/>
      <c r="F52" s="122"/>
      <c r="G52" s="122"/>
      <c r="H52" s="122"/>
      <c r="I52" s="122"/>
      <c r="J52" s="122"/>
      <c r="K52" s="122"/>
      <c r="L52" s="192"/>
      <c r="M52" s="453"/>
      <c r="N52" s="453"/>
      <c r="P52" s="156"/>
      <c r="Q52" s="449"/>
      <c r="R52" s="156"/>
      <c r="S52" s="454"/>
      <c r="T52" s="457" t="s">
        <v>429</v>
      </c>
      <c r="U52" s="456"/>
      <c r="V52" s="456"/>
      <c r="W52" s="456"/>
      <c r="X52" s="456"/>
      <c r="Y52" s="456"/>
      <c r="Z52" s="456"/>
      <c r="AA52" s="456"/>
      <c r="AB52" s="456"/>
      <c r="AC52" s="456"/>
      <c r="AD52" s="456"/>
      <c r="AE52" s="456"/>
      <c r="AF52" s="456"/>
      <c r="AG52" s="456"/>
      <c r="AH52" s="456"/>
      <c r="AI52" s="456"/>
      <c r="AJ52" s="456"/>
      <c r="AK52" s="456"/>
      <c r="AM52" s="118"/>
      <c r="AN52" s="118" t="str">
        <f aca="false">IF(T52="","",T52)</f>
        <v>Добавить территорию для дифференциации</v>
      </c>
      <c r="AO52" s="118"/>
      <c r="AP52" s="118"/>
      <c r="AQ52" s="47" t="n">
        <v>0</v>
      </c>
    </row>
    <row r="53" s="47" customFormat="true" ht="12.8" hidden="false" customHeight="false" outlineLevel="0" collapsed="false">
      <c r="A53" s="122"/>
      <c r="B53" s="122"/>
      <c r="C53" s="122"/>
      <c r="D53" s="122"/>
      <c r="E53" s="122"/>
      <c r="F53" s="122"/>
      <c r="G53" s="122"/>
      <c r="H53" s="122"/>
      <c r="I53" s="122"/>
      <c r="J53" s="122"/>
      <c r="K53" s="122"/>
      <c r="L53" s="192"/>
      <c r="M53" s="453"/>
      <c r="N53" s="453"/>
      <c r="P53" s="156"/>
      <c r="Q53" s="449"/>
      <c r="R53" s="156"/>
      <c r="S53" s="454"/>
      <c r="T53" s="457" t="s">
        <v>461</v>
      </c>
      <c r="U53" s="456"/>
      <c r="V53" s="456"/>
      <c r="W53" s="456"/>
      <c r="X53" s="456"/>
      <c r="Y53" s="456"/>
      <c r="Z53" s="456"/>
      <c r="AA53" s="456"/>
      <c r="AB53" s="456"/>
      <c r="AC53" s="456"/>
      <c r="AD53" s="456"/>
      <c r="AE53" s="456"/>
      <c r="AF53" s="456"/>
      <c r="AG53" s="456"/>
      <c r="AH53" s="456"/>
      <c r="AI53" s="456"/>
      <c r="AJ53" s="456"/>
      <c r="AK53" s="456"/>
      <c r="AM53" s="118"/>
      <c r="AN53" s="118" t="str">
        <f aca="false">IF(T53="","",T53)</f>
        <v>Добавить наименование тарифа</v>
      </c>
      <c r="AO53" s="118"/>
      <c r="AP53" s="118"/>
      <c r="AQ53" s="47"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09"/>
      <c r="T55" s="488"/>
      <c r="U55" s="488"/>
      <c r="V55" s="488"/>
      <c r="W55" s="488"/>
      <c r="X55" s="488"/>
      <c r="Y55" s="488"/>
      <c r="Z55" s="488"/>
      <c r="AA55" s="488"/>
      <c r="AB55" s="488"/>
      <c r="AC55" s="488"/>
      <c r="AD55" s="488"/>
      <c r="AE55" s="488"/>
      <c r="AF55" s="488"/>
      <c r="AG55" s="488"/>
      <c r="AH55" s="488"/>
      <c r="AI55" s="488"/>
      <c r="AJ55" s="488"/>
      <c r="AK55" s="488"/>
      <c r="AQ55" s="42" t="n">
        <v>14</v>
      </c>
    </row>
    <row r="56" customFormat="false" ht="14.25" hidden="false" customHeight="true" outlineLevel="0" collapsed="false">
      <c r="O56" s="45"/>
      <c r="AQ56" s="42" t="n">
        <v>14</v>
      </c>
    </row>
    <row r="57" customFormat="false" ht="14.25" hidden="false" customHeight="true" outlineLevel="0" collapsed="false">
      <c r="O57" s="45"/>
      <c r="S57" s="409"/>
      <c r="T57" s="488"/>
      <c r="U57" s="488"/>
      <c r="V57" s="488"/>
      <c r="W57" s="488"/>
      <c r="X57" s="488"/>
      <c r="Y57" s="488"/>
      <c r="Z57" s="488"/>
      <c r="AA57" s="488"/>
      <c r="AB57" s="488"/>
      <c r="AC57" s="488"/>
      <c r="AD57" s="488"/>
      <c r="AE57" s="488"/>
      <c r="AF57" s="488"/>
      <c r="AG57" s="488"/>
      <c r="AH57" s="488"/>
      <c r="AI57" s="488"/>
      <c r="AJ57" s="488"/>
      <c r="AK57" s="488"/>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44" t="n">
        <v>0</v>
      </c>
      <c r="M58" s="51" t="n">
        <v>0</v>
      </c>
      <c r="N58" s="51" t="n">
        <v>0</v>
      </c>
      <c r="O58" s="51" t="n">
        <v>0</v>
      </c>
      <c r="P58" s="50" t="n">
        <v>3</v>
      </c>
      <c r="Q58" s="411" t="n">
        <v>3</v>
      </c>
      <c r="R58" s="411" t="n">
        <v>3</v>
      </c>
      <c r="S58" s="75"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7" t="n">
        <v>10</v>
      </c>
      <c r="AM58" s="47" t="n">
        <v>10</v>
      </c>
      <c r="AN58" s="47" t="n">
        <v>10</v>
      </c>
      <c r="AO58" s="47" t="n">
        <v>10</v>
      </c>
      <c r="AP58" s="47"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4.14"/>
    <col collapsed="false" customWidth="true" hidden="true" outlineLevel="0" max="10" min="10" style="45" width="9.85"/>
    <col collapsed="false" customWidth="true" hidden="true" outlineLevel="0" max="11" min="11" style="45" width="14.71"/>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
    <col collapsed="false" customWidth="true" hidden="false" outlineLevel="0" max="18" min="17" style="411" width="3"/>
    <col collapsed="false" customWidth="true" hidden="false" outlineLevel="0" max="19" min="19" style="75" width="12"/>
    <col collapsed="false" customWidth="true" hidden="false" outlineLevel="0" max="20" min="20" style="42" width="35"/>
    <col collapsed="false" customWidth="true" hidden="false" outlineLevel="0" max="21" min="21" style="42" width="0.14"/>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7"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2"/>
      <c r="B2" s="412"/>
      <c r="C2" s="412"/>
      <c r="D2" s="412"/>
      <c r="E2" s="413" t="n">
        <v>1</v>
      </c>
      <c r="F2" s="412"/>
      <c r="G2" s="412"/>
      <c r="H2" s="412"/>
      <c r="I2" s="412"/>
      <c r="J2" s="412"/>
      <c r="K2" s="412"/>
      <c r="L2" s="414"/>
      <c r="M2" s="40"/>
      <c r="N2" s="40"/>
      <c r="O2" s="40"/>
      <c r="Q2" s="132"/>
      <c r="R2" s="415"/>
      <c r="S2" s="416" t="e">
        <f aca="false">INDEX(PT_DIFFERENTIATION_NUM_NTAR,MATCH(A2,PT_DIFFERENTIATION_NTAR_ID,0))</f>
        <v>#N/A</v>
      </c>
      <c r="T2" s="417" t="s">
        <v>138</v>
      </c>
      <c r="U2" s="418"/>
      <c r="V2" s="419"/>
      <c r="W2" s="419"/>
      <c r="X2" s="419"/>
      <c r="Y2" s="419"/>
      <c r="Z2" s="419"/>
      <c r="AA2" s="419"/>
      <c r="AB2" s="419"/>
      <c r="AC2" s="419" t="e">
        <f aca="false">INDEX(PT_DIFFERENTIATION_NTAR,MATCH(A2,PT_DIFFERENTIATION_NTAR_ID,0))</f>
        <v>#N/A</v>
      </c>
      <c r="AD2" s="419"/>
      <c r="AE2" s="419"/>
      <c r="AF2" s="419"/>
      <c r="AG2" s="419"/>
      <c r="AH2" s="419"/>
      <c r="AI2" s="419"/>
      <c r="AJ2" s="419"/>
      <c r="AK2" s="42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8"/>
      <c r="AN2" s="118" t="str">
        <f aca="false">IF(T2="","",T2)</f>
        <v>Наименование тарифа</v>
      </c>
      <c r="AO2" s="118"/>
      <c r="AP2" s="118"/>
      <c r="AQ2" s="42" t="n">
        <v>0</v>
      </c>
    </row>
    <row r="3" customFormat="false" ht="23.25" hidden="true" customHeight="true" outlineLevel="0" collapsed="false">
      <c r="A3" s="412"/>
      <c r="B3" s="412"/>
      <c r="C3" s="412"/>
      <c r="D3" s="412"/>
      <c r="E3" s="413"/>
      <c r="F3" s="413" t="n">
        <v>1</v>
      </c>
      <c r="G3" s="412"/>
      <c r="H3" s="412"/>
      <c r="I3" s="412"/>
      <c r="J3" s="412"/>
      <c r="K3" s="412"/>
      <c r="L3" s="414"/>
      <c r="M3" s="40"/>
      <c r="N3" s="40"/>
      <c r="O3" s="40"/>
      <c r="P3" s="43"/>
      <c r="Q3" s="422"/>
      <c r="R3" s="423"/>
      <c r="S3" s="416" t="e">
        <f aca="false">INDEX(PT_DIFFERENTIATION_NUM_TER,MATCH(B3,PT_DIFFERENTIATION_TER_ID,0))</f>
        <v>#N/A</v>
      </c>
      <c r="T3" s="424" t="s">
        <v>410</v>
      </c>
      <c r="U3" s="418"/>
      <c r="V3" s="419"/>
      <c r="W3" s="419"/>
      <c r="X3" s="419"/>
      <c r="Y3" s="419"/>
      <c r="Z3" s="419"/>
      <c r="AA3" s="419"/>
      <c r="AB3" s="419"/>
      <c r="AC3" s="419" t="e">
        <f aca="false">INDEX(PT_DIFFERENTIATION_TER,MATCH(B3,PT_DIFFERENTIATION_TER_ID,0))</f>
        <v>#N/A</v>
      </c>
      <c r="AD3" s="419"/>
      <c r="AE3" s="419"/>
      <c r="AF3" s="419"/>
      <c r="AG3" s="419"/>
      <c r="AH3" s="419"/>
      <c r="AI3" s="419"/>
      <c r="AJ3" s="419"/>
      <c r="AK3" s="421" t="s">
        <v>411</v>
      </c>
      <c r="AM3" s="118"/>
      <c r="AN3" s="118" t="str">
        <f aca="false">IF(T3="","",T3)</f>
        <v>Территория действия тарифа</v>
      </c>
      <c r="AO3" s="118"/>
      <c r="AP3" s="118"/>
      <c r="AQ3" s="42" t="n">
        <v>0</v>
      </c>
    </row>
    <row r="4" customFormat="false" ht="23.25" hidden="true" customHeight="true" outlineLevel="0" collapsed="false">
      <c r="A4" s="412"/>
      <c r="B4" s="412"/>
      <c r="C4" s="412"/>
      <c r="D4" s="412"/>
      <c r="E4" s="413"/>
      <c r="F4" s="413"/>
      <c r="G4" s="413" t="n">
        <v>1</v>
      </c>
      <c r="H4" s="412"/>
      <c r="I4" s="412"/>
      <c r="J4" s="412"/>
      <c r="K4" s="412"/>
      <c r="L4" s="414"/>
      <c r="M4" s="40"/>
      <c r="N4" s="40"/>
      <c r="O4" s="40"/>
      <c r="P4" s="425"/>
      <c r="Q4" s="422"/>
      <c r="R4" s="423"/>
      <c r="S4" s="416" t="e">
        <f aca="false">INDEX(PT_DIFFERENTIATION_NUM_CS,MATCH(C4,PT_DIFFERENTIATION_CS_ID,0))</f>
        <v>#N/A</v>
      </c>
      <c r="T4" s="426" t="s">
        <v>494</v>
      </c>
      <c r="U4" s="418"/>
      <c r="V4" s="419"/>
      <c r="W4" s="419"/>
      <c r="X4" s="419"/>
      <c r="Y4" s="419"/>
      <c r="Z4" s="419"/>
      <c r="AA4" s="419"/>
      <c r="AB4" s="419"/>
      <c r="AC4" s="419" t="e">
        <f aca="false">INDEX(PT_DIFFERENTIATION_CS,MATCH(C4,PT_DIFFERENTIATION_CS_ID,0))</f>
        <v>#N/A</v>
      </c>
      <c r="AD4" s="419"/>
      <c r="AE4" s="419"/>
      <c r="AF4" s="419"/>
      <c r="AG4" s="419"/>
      <c r="AH4" s="419"/>
      <c r="AI4" s="419"/>
      <c r="AJ4" s="419"/>
      <c r="AK4" s="421" t="s">
        <v>495</v>
      </c>
      <c r="AM4" s="118"/>
      <c r="AN4" s="118" t="str">
        <f aca="false">IF(T4="","",T4)</f>
        <v>Наименование централизованной системы холодного водоснабжения</v>
      </c>
      <c r="AO4" s="118"/>
      <c r="AP4" s="118"/>
      <c r="AQ4" s="42" t="n">
        <v>0</v>
      </c>
    </row>
    <row r="5" customFormat="false" ht="23.25" hidden="true" customHeight="true" outlineLevel="0" collapsed="false">
      <c r="A5" s="412"/>
      <c r="B5" s="412"/>
      <c r="C5" s="412"/>
      <c r="D5" s="412"/>
      <c r="E5" s="413"/>
      <c r="F5" s="413"/>
      <c r="G5" s="413"/>
      <c r="H5" s="571"/>
      <c r="I5" s="428" t="e">
        <f aca="false">S4&amp;".1"</f>
        <v>#N/A</v>
      </c>
      <c r="J5" s="412"/>
      <c r="K5" s="412"/>
      <c r="L5" s="414"/>
      <c r="P5" s="121" t="n">
        <v>1</v>
      </c>
      <c r="Q5" s="121"/>
      <c r="R5" s="429"/>
      <c r="S5" s="416" t="e">
        <f aca="false">$I5</f>
        <v>#N/A</v>
      </c>
      <c r="T5" s="430" t="s">
        <v>496</v>
      </c>
      <c r="U5" s="418"/>
      <c r="V5" s="572"/>
      <c r="W5" s="572"/>
      <c r="X5" s="572"/>
      <c r="Y5" s="572"/>
      <c r="Z5" s="572"/>
      <c r="AA5" s="572"/>
      <c r="AB5" s="572"/>
      <c r="AC5" s="334"/>
      <c r="AD5" s="334"/>
      <c r="AE5" s="334"/>
      <c r="AF5" s="334"/>
      <c r="AG5" s="334"/>
      <c r="AH5" s="334"/>
      <c r="AI5" s="334"/>
      <c r="AJ5" s="334"/>
      <c r="AK5" s="421" t="s">
        <v>497</v>
      </c>
      <c r="AM5" s="118"/>
      <c r="AN5" s="118" t="str">
        <f aca="false">IF(T5="","",T5)</f>
        <v>Наименование признака дифференциации</v>
      </c>
      <c r="AO5" s="118"/>
      <c r="AP5" s="118"/>
      <c r="AQ5" s="42" t="n">
        <v>0</v>
      </c>
    </row>
    <row r="6" customFormat="false" ht="23.25" hidden="true" customHeight="true" outlineLevel="0" collapsed="false">
      <c r="A6" s="412"/>
      <c r="B6" s="412"/>
      <c r="C6" s="412"/>
      <c r="D6" s="412"/>
      <c r="E6" s="413"/>
      <c r="F6" s="413"/>
      <c r="G6" s="413"/>
      <c r="H6" s="413"/>
      <c r="I6" s="428"/>
      <c r="J6" s="428" t="e">
        <f aca="false">I5&amp;".1"</f>
        <v>#N/A</v>
      </c>
      <c r="K6" s="412"/>
      <c r="L6" s="414" t="s">
        <v>419</v>
      </c>
      <c r="P6" s="121"/>
      <c r="Q6" s="121" t="n">
        <v>1</v>
      </c>
      <c r="R6" s="432"/>
      <c r="S6" s="416" t="e">
        <f aca="false">$J6</f>
        <v>#N/A</v>
      </c>
      <c r="T6" s="433" t="s">
        <v>420</v>
      </c>
      <c r="U6" s="418"/>
      <c r="V6" s="431"/>
      <c r="W6" s="431"/>
      <c r="X6" s="431"/>
      <c r="Y6" s="431"/>
      <c r="Z6" s="431"/>
      <c r="AA6" s="431"/>
      <c r="AB6" s="431"/>
      <c r="AC6" s="431"/>
      <c r="AD6" s="431"/>
      <c r="AE6" s="431"/>
      <c r="AF6" s="431"/>
      <c r="AG6" s="431"/>
      <c r="AH6" s="431"/>
      <c r="AI6" s="431"/>
      <c r="AJ6" s="431"/>
      <c r="AK6" s="523" t="s">
        <v>498</v>
      </c>
      <c r="AM6" s="118"/>
      <c r="AN6" s="118" t="str">
        <f aca="false">IF(T6="","",T6)</f>
        <v>Группа потребителей</v>
      </c>
      <c r="AO6" s="118"/>
      <c r="AP6" s="118"/>
      <c r="AQ6" s="42" t="n">
        <v>0</v>
      </c>
    </row>
    <row r="7" customFormat="false" ht="23.25" hidden="true" customHeight="true" outlineLevel="0" collapsed="false">
      <c r="A7" s="412"/>
      <c r="B7" s="412"/>
      <c r="C7" s="412"/>
      <c r="D7" s="412"/>
      <c r="E7" s="413"/>
      <c r="F7" s="413"/>
      <c r="G7" s="413"/>
      <c r="H7" s="413"/>
      <c r="I7" s="428"/>
      <c r="J7" s="428"/>
      <c r="K7" s="428" t="e">
        <f aca="false">J6&amp;".1"</f>
        <v>#N/A</v>
      </c>
      <c r="L7" s="414"/>
      <c r="P7" s="121"/>
      <c r="Q7" s="121"/>
      <c r="R7" s="432" t="n">
        <v>1</v>
      </c>
      <c r="S7" s="416" t="e">
        <f aca="false">$K7</f>
        <v>#N/A</v>
      </c>
      <c r="T7" s="573"/>
      <c r="U7" s="418"/>
      <c r="V7" s="435"/>
      <c r="W7" s="435"/>
      <c r="X7" s="437"/>
      <c r="Y7" s="438"/>
      <c r="Z7" s="204" t="s">
        <v>61</v>
      </c>
      <c r="AA7" s="438"/>
      <c r="AB7" s="204" t="s">
        <v>61</v>
      </c>
      <c r="AC7" s="435"/>
      <c r="AD7" s="435"/>
      <c r="AE7" s="437"/>
      <c r="AF7" s="438"/>
      <c r="AG7" s="204" t="s">
        <v>61</v>
      </c>
      <c r="AH7" s="438"/>
      <c r="AI7" s="204" t="s">
        <v>61</v>
      </c>
      <c r="AJ7" s="574"/>
      <c r="AK7" s="57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7" t="e">
        <f aca="false">strcheckdate(V8:AJ8)</f>
        <v>#NAME?</v>
      </c>
      <c r="AM7" s="118"/>
      <c r="AN7" s="118" t="str">
        <f aca="false">IF(T7="","",T7)</f>
        <v/>
      </c>
      <c r="AO7" s="118"/>
      <c r="AP7" s="118"/>
      <c r="AQ7" s="42" t="n">
        <v>0</v>
      </c>
    </row>
    <row r="8" customFormat="false" ht="14.25" hidden="true" customHeight="true" outlineLevel="0" collapsed="false">
      <c r="A8" s="412"/>
      <c r="B8" s="412"/>
      <c r="C8" s="412"/>
      <c r="D8" s="412"/>
      <c r="E8" s="413"/>
      <c r="F8" s="413"/>
      <c r="G8" s="413"/>
      <c r="H8" s="413"/>
      <c r="I8" s="428"/>
      <c r="J8" s="428"/>
      <c r="K8" s="428"/>
      <c r="L8" s="414"/>
      <c r="P8" s="121"/>
      <c r="Q8" s="121"/>
      <c r="R8" s="432"/>
      <c r="S8" s="393"/>
      <c r="T8" s="418"/>
      <c r="U8" s="418"/>
      <c r="V8" s="436"/>
      <c r="W8" s="436"/>
      <c r="X8" s="440" t="str">
        <f aca="false">Y7&amp;"-"&amp;AA7</f>
        <v>-</v>
      </c>
      <c r="Y8" s="438"/>
      <c r="Z8" s="204"/>
      <c r="AA8" s="438"/>
      <c r="AB8" s="204"/>
      <c r="AC8" s="436"/>
      <c r="AD8" s="436"/>
      <c r="AE8" s="440" t="str">
        <f aca="false">AF7&amp;"-"&amp;AH7</f>
        <v>-</v>
      </c>
      <c r="AF8" s="438"/>
      <c r="AG8" s="204"/>
      <c r="AH8" s="438"/>
      <c r="AI8" s="204"/>
      <c r="AJ8" s="576"/>
      <c r="AK8" s="575"/>
      <c r="AM8" s="118"/>
      <c r="AN8" s="118" t="str">
        <f aca="false">IF(T8="","",T8)</f>
        <v/>
      </c>
      <c r="AO8" s="118"/>
      <c r="AP8" s="118"/>
      <c r="AQ8" s="42" t="n">
        <v>0</v>
      </c>
    </row>
    <row r="9" customFormat="false" ht="21" hidden="true" customHeight="true" outlineLevel="0" collapsed="false">
      <c r="A9" s="412"/>
      <c r="B9" s="412"/>
      <c r="C9" s="412"/>
      <c r="D9" s="412"/>
      <c r="E9" s="413"/>
      <c r="F9" s="413"/>
      <c r="G9" s="413"/>
      <c r="H9" s="413"/>
      <c r="I9" s="428"/>
      <c r="J9" s="428"/>
      <c r="K9" s="412"/>
      <c r="L9" s="414"/>
      <c r="P9" s="121"/>
      <c r="Q9" s="121"/>
      <c r="R9" s="429"/>
      <c r="S9" s="441"/>
      <c r="T9" s="444" t="s">
        <v>499</v>
      </c>
      <c r="U9" s="194"/>
      <c r="V9" s="194"/>
      <c r="W9" s="194"/>
      <c r="X9" s="194"/>
      <c r="Y9" s="194"/>
      <c r="Z9" s="194"/>
      <c r="AA9" s="194"/>
      <c r="AB9" s="194"/>
      <c r="AC9" s="194"/>
      <c r="AD9" s="194"/>
      <c r="AE9" s="194"/>
      <c r="AF9" s="194"/>
      <c r="AG9" s="194"/>
      <c r="AH9" s="194"/>
      <c r="AI9" s="194"/>
      <c r="AJ9" s="194"/>
      <c r="AK9" s="421" t="s">
        <v>500</v>
      </c>
      <c r="AM9" s="118"/>
      <c r="AN9" s="118" t="str">
        <f aca="false">IF(T9="","",T9)</f>
        <v>Добавить значение признака дифференциации</v>
      </c>
      <c r="AO9" s="118"/>
      <c r="AP9" s="118"/>
      <c r="AQ9" s="42" t="n">
        <v>0</v>
      </c>
    </row>
    <row r="10" customFormat="false" ht="21" hidden="true" customHeight="true" outlineLevel="0" collapsed="false">
      <c r="A10" s="412"/>
      <c r="B10" s="412"/>
      <c r="C10" s="412"/>
      <c r="D10" s="412"/>
      <c r="E10" s="413"/>
      <c r="F10" s="413"/>
      <c r="G10" s="413"/>
      <c r="H10" s="413"/>
      <c r="I10" s="428"/>
      <c r="J10" s="412"/>
      <c r="K10" s="412"/>
      <c r="L10" s="414"/>
      <c r="P10" s="121"/>
      <c r="Q10" s="121"/>
      <c r="R10" s="429"/>
      <c r="S10" s="441"/>
      <c r="T10" s="448" t="s">
        <v>425</v>
      </c>
      <c r="U10" s="194"/>
      <c r="V10" s="194"/>
      <c r="W10" s="194"/>
      <c r="X10" s="194"/>
      <c r="Y10" s="194"/>
      <c r="Z10" s="194"/>
      <c r="AA10" s="194"/>
      <c r="AB10" s="445"/>
      <c r="AC10" s="194"/>
      <c r="AD10" s="194"/>
      <c r="AE10" s="194"/>
      <c r="AF10" s="194"/>
      <c r="AG10" s="194"/>
      <c r="AH10" s="194"/>
      <c r="AI10" s="445"/>
      <c r="AJ10" s="194"/>
      <c r="AK10" s="577"/>
      <c r="AM10" s="118"/>
      <c r="AN10" s="118" t="str">
        <f aca="false">IF(T10="","",T10)</f>
        <v>Добавить группу потребителей</v>
      </c>
      <c r="AO10" s="118"/>
      <c r="AP10" s="118"/>
      <c r="AQ10" s="42" t="n">
        <v>0</v>
      </c>
    </row>
    <row r="11" customFormat="false" ht="21" hidden="true" customHeight="true" outlineLevel="0" collapsed="false">
      <c r="A11" s="412"/>
      <c r="B11" s="412"/>
      <c r="C11" s="412"/>
      <c r="D11" s="412"/>
      <c r="E11" s="413"/>
      <c r="F11" s="413"/>
      <c r="G11" s="413"/>
      <c r="H11" s="571"/>
      <c r="I11" s="412"/>
      <c r="J11" s="412"/>
      <c r="K11" s="412"/>
      <c r="L11" s="414"/>
      <c r="M11" s="40"/>
      <c r="N11" s="40"/>
      <c r="O11" s="45"/>
      <c r="P11" s="132"/>
      <c r="Q11" s="447"/>
      <c r="R11" s="415"/>
      <c r="S11" s="441"/>
      <c r="T11" s="578" t="s">
        <v>501</v>
      </c>
      <c r="U11" s="194"/>
      <c r="V11" s="194"/>
      <c r="W11" s="194"/>
      <c r="X11" s="194"/>
      <c r="Y11" s="194"/>
      <c r="Z11" s="194"/>
      <c r="AA11" s="194"/>
      <c r="AB11" s="445"/>
      <c r="AC11" s="194"/>
      <c r="AD11" s="194"/>
      <c r="AE11" s="194"/>
      <c r="AF11" s="194"/>
      <c r="AG11" s="194"/>
      <c r="AH11" s="194"/>
      <c r="AI11" s="445"/>
      <c r="AJ11" s="194"/>
      <c r="AK11" s="446"/>
      <c r="AM11" s="118"/>
      <c r="AN11" s="118" t="str">
        <f aca="false">IF(T11="","",T11)</f>
        <v>Добавить наименование признака дифференциации</v>
      </c>
      <c r="AO11" s="118"/>
      <c r="AP11" s="118"/>
      <c r="AQ11" s="42" t="n">
        <v>0</v>
      </c>
    </row>
    <row r="12" s="47" customFormat="true" ht="14.25" hidden="true" customHeight="true" outlineLevel="0" collapsed="false">
      <c r="A12" s="122"/>
      <c r="B12" s="122"/>
      <c r="C12" s="122"/>
      <c r="D12" s="122"/>
      <c r="E12" s="413"/>
      <c r="F12" s="413"/>
      <c r="G12" s="122"/>
      <c r="H12" s="122"/>
      <c r="I12" s="122"/>
      <c r="J12" s="122"/>
      <c r="K12" s="122"/>
      <c r="L12" s="192"/>
      <c r="M12" s="453"/>
      <c r="N12" s="453"/>
      <c r="P12" s="156"/>
      <c r="Q12" s="449"/>
      <c r="R12" s="156"/>
      <c r="S12" s="454"/>
      <c r="T12" s="457" t="s">
        <v>428</v>
      </c>
      <c r="U12" s="456"/>
      <c r="V12" s="456"/>
      <c r="W12" s="456"/>
      <c r="X12" s="456"/>
      <c r="Y12" s="456"/>
      <c r="Z12" s="456"/>
      <c r="AA12" s="456"/>
      <c r="AB12" s="456"/>
      <c r="AC12" s="456"/>
      <c r="AD12" s="456"/>
      <c r="AE12" s="456"/>
      <c r="AF12" s="456"/>
      <c r="AG12" s="456"/>
      <c r="AH12" s="456"/>
      <c r="AI12" s="456"/>
      <c r="AJ12" s="456"/>
      <c r="AK12" s="456"/>
      <c r="AM12" s="118"/>
      <c r="AN12" s="118" t="str">
        <f aca="false">IF(T12="","",T12)</f>
        <v>Добавить централизованную систему для дифференциации</v>
      </c>
      <c r="AO12" s="118"/>
      <c r="AP12" s="118"/>
      <c r="AQ12" s="47" t="n">
        <v>0</v>
      </c>
    </row>
    <row r="13" s="47" customFormat="true" ht="14.25" hidden="true" customHeight="true" outlineLevel="0" collapsed="false">
      <c r="A13" s="122"/>
      <c r="B13" s="122"/>
      <c r="C13" s="122"/>
      <c r="D13" s="122"/>
      <c r="E13" s="413"/>
      <c r="F13" s="122"/>
      <c r="G13" s="122"/>
      <c r="H13" s="122"/>
      <c r="I13" s="122"/>
      <c r="J13" s="122"/>
      <c r="K13" s="122"/>
      <c r="L13" s="192"/>
      <c r="M13" s="453"/>
      <c r="N13" s="453"/>
      <c r="P13" s="156"/>
      <c r="Q13" s="449"/>
      <c r="R13" s="156"/>
      <c r="S13" s="454"/>
      <c r="T13" s="457" t="s">
        <v>429</v>
      </c>
      <c r="U13" s="456"/>
      <c r="V13" s="456"/>
      <c r="W13" s="456"/>
      <c r="X13" s="456"/>
      <c r="Y13" s="456"/>
      <c r="Z13" s="456"/>
      <c r="AA13" s="456"/>
      <c r="AB13" s="456"/>
      <c r="AC13" s="456"/>
      <c r="AD13" s="456"/>
      <c r="AE13" s="456"/>
      <c r="AF13" s="456"/>
      <c r="AG13" s="456"/>
      <c r="AH13" s="456"/>
      <c r="AI13" s="456"/>
      <c r="AJ13" s="456"/>
      <c r="AK13" s="456"/>
      <c r="AM13" s="118"/>
      <c r="AN13" s="118" t="str">
        <f aca="false">IF(T13="","",T13)</f>
        <v>Добавить территорию для дифференциации</v>
      </c>
      <c r="AO13" s="118"/>
      <c r="AP13" s="118"/>
      <c r="AQ13" s="47" t="n">
        <v>0</v>
      </c>
    </row>
    <row r="14" customFormat="false" ht="14.25" hidden="true" customHeight="true" outlineLevel="0" collapsed="false">
      <c r="AQ14" s="42" t="n">
        <v>0</v>
      </c>
    </row>
    <row r="15" customFormat="false" ht="14.25" hidden="true" customHeight="true" outlineLevel="0" collapsed="false">
      <c r="AC15" s="458"/>
      <c r="AD15" s="458"/>
      <c r="AE15" s="459"/>
      <c r="AF15" s="460"/>
      <c r="AG15" s="461" t="s">
        <v>61</v>
      </c>
      <c r="AH15" s="460"/>
      <c r="AI15" s="461" t="s">
        <v>61</v>
      </c>
      <c r="AQ15" s="42" t="n">
        <v>0</v>
      </c>
    </row>
    <row r="16" customFormat="false" ht="14.25" hidden="true" customHeight="true" outlineLevel="0" collapsed="false">
      <c r="AC16" s="458"/>
      <c r="AD16" s="458"/>
      <c r="AE16" s="440" t="str">
        <f aca="false">AF15&amp;"-"&amp;AH15</f>
        <v>-</v>
      </c>
      <c r="AF16" s="460"/>
      <c r="AG16" s="460"/>
      <c r="AH16" s="460"/>
      <c r="AI16" s="460"/>
      <c r="AQ16" s="42" t="n">
        <v>0</v>
      </c>
    </row>
    <row r="17" customFormat="false" ht="14.25" hidden="true" customHeight="true" outlineLevel="0" collapsed="false">
      <c r="AQ17" s="42" t="n">
        <v>0</v>
      </c>
    </row>
    <row r="18" s="45" customFormat="true" ht="22.5" hidden="true" customHeight="true" outlineLevel="0" collapsed="false">
      <c r="L18" s="44"/>
      <c r="M18" s="51"/>
      <c r="N18" s="51"/>
      <c r="O18" s="462" t="s">
        <v>430</v>
      </c>
      <c r="P18" s="51"/>
      <c r="Q18" s="463"/>
      <c r="R18" s="463"/>
      <c r="S18" s="40"/>
      <c r="Y18" s="462"/>
      <c r="AA18" s="462"/>
      <c r="AF18" s="462"/>
      <c r="AH18" s="462"/>
      <c r="AL18" s="47"/>
      <c r="AM18" s="47"/>
      <c r="AN18" s="47"/>
      <c r="AO18" s="47"/>
      <c r="AP18" s="47"/>
      <c r="AQ18" s="45" t="n">
        <v>0</v>
      </c>
    </row>
    <row r="19" s="45" customFormat="true" ht="14.25" hidden="true" customHeight="true" outlineLevel="0" collapsed="false">
      <c r="L19" s="44"/>
      <c r="M19" s="51"/>
      <c r="N19" s="51"/>
      <c r="O19" s="51"/>
      <c r="P19" s="51"/>
      <c r="Q19" s="463"/>
      <c r="R19" s="463"/>
      <c r="S19" s="40"/>
      <c r="AL19" s="47"/>
      <c r="AM19" s="47"/>
      <c r="AN19" s="47"/>
      <c r="AO19" s="47"/>
      <c r="AP19" s="47"/>
      <c r="AQ19" s="45" t="n">
        <v>0</v>
      </c>
    </row>
    <row r="20" s="45" customFormat="true" ht="12" hidden="true" customHeight="true" outlineLevel="0" collapsed="false">
      <c r="L20" s="44"/>
      <c r="M20" s="51"/>
      <c r="N20" s="51"/>
      <c r="O20" s="414" t="s">
        <v>431</v>
      </c>
      <c r="P20" s="51"/>
      <c r="Q20" s="579"/>
      <c r="R20" s="579"/>
      <c r="S20" s="40"/>
      <c r="T20" s="45" t="s">
        <v>432</v>
      </c>
      <c r="Z20" s="140" t="s">
        <v>433</v>
      </c>
      <c r="AB20" s="140" t="s">
        <v>434</v>
      </c>
      <c r="AC20" s="45" t="s">
        <v>432</v>
      </c>
      <c r="AG20" s="140" t="s">
        <v>435</v>
      </c>
      <c r="AI20" s="140" t="s">
        <v>434</v>
      </c>
      <c r="AQ20" s="45" t="n">
        <v>0</v>
      </c>
    </row>
    <row r="21" customFormat="false" ht="14.25" hidden="true" customHeight="true" outlineLevel="0" collapsed="false">
      <c r="O21" s="414"/>
      <c r="AQ21" s="42" t="n">
        <v>0</v>
      </c>
    </row>
    <row r="22" customFormat="false" ht="14.25" hidden="true" customHeight="true" outlineLevel="0" collapsed="false">
      <c r="O22" s="414"/>
      <c r="AQ22" s="42" t="n">
        <v>0</v>
      </c>
    </row>
    <row r="23" customFormat="false" ht="14.25" hidden="false" customHeight="true" outlineLevel="0" collapsed="false">
      <c r="Q23" s="464"/>
      <c r="R23" s="464"/>
      <c r="S23" s="465"/>
      <c r="T23" s="80"/>
      <c r="U23" s="80"/>
      <c r="AQ23" s="42" t="n">
        <v>14</v>
      </c>
    </row>
    <row r="24" customFormat="false" ht="14.25" hidden="false" customHeight="true" outlineLevel="0" collapsed="false">
      <c r="Q24" s="464"/>
      <c r="R24" s="46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64"/>
      <c r="R25" s="464"/>
      <c r="S25" s="261" t="str">
        <f aca="false">IF(org=0,"Не определено",org)</f>
        <v>ООО "Газпром теплоэнерго Ярославль"</v>
      </c>
      <c r="T25" s="261"/>
      <c r="U25" s="261"/>
      <c r="V25" s="261"/>
      <c r="W25" s="261"/>
      <c r="X25" s="261"/>
      <c r="Y25" s="261"/>
      <c r="Z25" s="261"/>
      <c r="AA25" s="261"/>
      <c r="AB25" s="261"/>
      <c r="AC25" s="261"/>
      <c r="AD25" s="261"/>
      <c r="AE25" s="261"/>
      <c r="AF25" s="261"/>
      <c r="AG25" s="261"/>
      <c r="AH25" s="261"/>
      <c r="AI25" s="222"/>
      <c r="AQ25" s="42" t="n">
        <v>14</v>
      </c>
    </row>
    <row r="26" customFormat="false" ht="14.25" hidden="true" customHeight="true" outlineLevel="0" collapsed="false">
      <c r="Q26" s="464"/>
      <c r="R26" s="464"/>
      <c r="S26" s="465"/>
      <c r="T26" s="80"/>
      <c r="U26" s="80"/>
      <c r="V26" s="466"/>
      <c r="W26" s="466"/>
      <c r="X26" s="466"/>
      <c r="Y26" s="466"/>
      <c r="Z26" s="466"/>
      <c r="AA26" s="466"/>
      <c r="AB26" s="466"/>
      <c r="AC26" s="466"/>
      <c r="AD26" s="466"/>
      <c r="AE26" s="466"/>
      <c r="AF26" s="466"/>
      <c r="AG26" s="466"/>
      <c r="AH26" s="466"/>
      <c r="AI26" s="466"/>
      <c r="AQ26" s="42" t="n">
        <v>0</v>
      </c>
    </row>
    <row r="27" s="175" customFormat="true" ht="25.5" hidden="true" customHeight="true" outlineLevel="0" collapsed="false">
      <c r="A27" s="140"/>
      <c r="B27" s="140"/>
      <c r="C27" s="140"/>
      <c r="D27" s="140"/>
      <c r="E27" s="140"/>
      <c r="F27" s="140"/>
      <c r="G27" s="140"/>
      <c r="H27" s="140"/>
      <c r="I27" s="140"/>
      <c r="J27" s="140"/>
      <c r="K27" s="140"/>
      <c r="L27" s="414"/>
      <c r="M27" s="140"/>
      <c r="N27" s="140"/>
      <c r="O27" s="140"/>
      <c r="S27" s="467" t="s">
        <v>40</v>
      </c>
      <c r="T27" s="467"/>
      <c r="U27" s="468"/>
      <c r="V27" s="469" t="str">
        <f aca="false">IF(TITLE_NAME_OR_PR_CHANGE="",IF(TITLE_NAME_OR_PR="","",TITLE_NAME_OR_PR),TITLE_NAME_OR_PR_CHANGE)</f>
        <v/>
      </c>
      <c r="W27" s="469"/>
      <c r="X27" s="469"/>
      <c r="Y27" s="469"/>
      <c r="Z27" s="469"/>
      <c r="AA27" s="469"/>
      <c r="AB27" s="42"/>
      <c r="AC27" s="469" t="str">
        <f aca="false">IF(TITLE_NAME_OR_PR_CHANGE="",IF(TITLE_NAME_OR_PR="","",TITLE_NAME_OR_PR),TITLE_NAME_OR_PR_CHANGE)</f>
        <v/>
      </c>
      <c r="AD27" s="469"/>
      <c r="AE27" s="469"/>
      <c r="AF27" s="469"/>
      <c r="AG27" s="469"/>
      <c r="AH27" s="469"/>
      <c r="AI27" s="42"/>
      <c r="AJ27" s="42"/>
      <c r="AK27" s="470"/>
      <c r="AL27" s="118"/>
      <c r="AM27" s="118"/>
      <c r="AN27" s="118"/>
      <c r="AO27" s="118"/>
      <c r="AP27" s="118"/>
      <c r="AQ27" s="175" t="n">
        <v>0</v>
      </c>
    </row>
    <row r="28" s="175" customFormat="true" ht="18.75" hidden="true" customHeight="true" outlineLevel="0" collapsed="false">
      <c r="A28" s="140"/>
      <c r="B28" s="140"/>
      <c r="C28" s="140"/>
      <c r="D28" s="140"/>
      <c r="E28" s="140"/>
      <c r="F28" s="140"/>
      <c r="G28" s="140"/>
      <c r="H28" s="140"/>
      <c r="I28" s="140"/>
      <c r="J28" s="140"/>
      <c r="K28" s="140"/>
      <c r="L28" s="414"/>
      <c r="M28" s="140"/>
      <c r="N28" s="140"/>
      <c r="O28" s="140"/>
      <c r="S28" s="467" t="s">
        <v>436</v>
      </c>
      <c r="T28" s="467"/>
      <c r="U28" s="468"/>
      <c r="V28" s="471" t="str">
        <f aca="false">IF(TITLE_DATE_PR_CHANGE="",IF(TITLE_DATE_PR="","",TITLE_DATE_PR),TITLE_DATE_PR_CHANGE)</f>
        <v/>
      </c>
      <c r="W28" s="471"/>
      <c r="X28" s="471"/>
      <c r="Y28" s="471"/>
      <c r="Z28" s="471"/>
      <c r="AA28" s="471"/>
      <c r="AB28" s="42"/>
      <c r="AC28" s="471" t="str">
        <f aca="false">IF(TITLE_DATE_PR_CHANGE="",IF(TITLE_DATE_PR="","",TITLE_DATE_PR),TITLE_DATE_PR_CHANGE)</f>
        <v/>
      </c>
      <c r="AD28" s="471"/>
      <c r="AE28" s="471"/>
      <c r="AF28" s="471"/>
      <c r="AG28" s="471"/>
      <c r="AH28" s="471"/>
      <c r="AI28" s="42"/>
      <c r="AJ28" s="42"/>
      <c r="AK28" s="470"/>
      <c r="AL28" s="118"/>
      <c r="AM28" s="118"/>
      <c r="AN28" s="118"/>
      <c r="AO28" s="118"/>
      <c r="AP28" s="118"/>
      <c r="AQ28" s="175" t="n">
        <v>0</v>
      </c>
    </row>
    <row r="29" s="175" customFormat="true" ht="18.75" hidden="true" customHeight="true" outlineLevel="0" collapsed="false">
      <c r="A29" s="140"/>
      <c r="B29" s="140"/>
      <c r="C29" s="140"/>
      <c r="D29" s="140"/>
      <c r="E29" s="140"/>
      <c r="F29" s="140"/>
      <c r="G29" s="140"/>
      <c r="H29" s="140"/>
      <c r="I29" s="140"/>
      <c r="J29" s="140"/>
      <c r="K29" s="140"/>
      <c r="L29" s="414"/>
      <c r="M29" s="140"/>
      <c r="N29" s="140"/>
      <c r="O29" s="140"/>
      <c r="S29" s="467" t="s">
        <v>437</v>
      </c>
      <c r="T29" s="467"/>
      <c r="U29" s="468"/>
      <c r="V29" s="469" t="str">
        <f aca="false">IF(TITLE_NUMBER_PR_CHANGE="",IF(TITLE_NUMBER_PR="","",TITLE_NUMBER_PR),TITLE_NUMBER_PR_CHANGE)</f>
        <v/>
      </c>
      <c r="W29" s="469"/>
      <c r="X29" s="469"/>
      <c r="Y29" s="469"/>
      <c r="Z29" s="469"/>
      <c r="AA29" s="469"/>
      <c r="AB29" s="42"/>
      <c r="AC29" s="469" t="str">
        <f aca="false">IF(TITLE_NUMBER_PR_CHANGE="",IF(TITLE_NUMBER_PR="","",TITLE_NUMBER_PR),TITLE_NUMBER_PR_CHANGE)</f>
        <v/>
      </c>
      <c r="AD29" s="469"/>
      <c r="AE29" s="469"/>
      <c r="AF29" s="469"/>
      <c r="AG29" s="469"/>
      <c r="AH29" s="469"/>
      <c r="AI29" s="42"/>
      <c r="AJ29" s="42"/>
      <c r="AK29" s="470"/>
      <c r="AL29" s="118"/>
      <c r="AM29" s="118"/>
      <c r="AN29" s="118"/>
      <c r="AO29" s="118"/>
      <c r="AP29" s="118"/>
      <c r="AQ29" s="175" t="n">
        <v>0</v>
      </c>
    </row>
    <row r="30" s="175" customFormat="true" ht="18.75" hidden="true" customHeight="true" outlineLevel="0" collapsed="false">
      <c r="A30" s="140"/>
      <c r="B30" s="140"/>
      <c r="C30" s="140"/>
      <c r="D30" s="140"/>
      <c r="E30" s="140"/>
      <c r="F30" s="140"/>
      <c r="G30" s="140"/>
      <c r="H30" s="140"/>
      <c r="I30" s="140"/>
      <c r="J30" s="140"/>
      <c r="K30" s="140"/>
      <c r="L30" s="414"/>
      <c r="M30" s="140"/>
      <c r="N30" s="140"/>
      <c r="O30" s="140"/>
      <c r="S30" s="467" t="s">
        <v>41</v>
      </c>
      <c r="T30" s="467"/>
      <c r="U30" s="468"/>
      <c r="V30" s="469" t="str">
        <f aca="false">IF(TITLE_IST_PUB_CHANGE="",IF(TITLE_IST_PUB="","",TITLE_IST_PUB),TITLE_IST_PUB_CHANGE)</f>
        <v/>
      </c>
      <c r="W30" s="469"/>
      <c r="X30" s="469"/>
      <c r="Y30" s="469"/>
      <c r="Z30" s="469"/>
      <c r="AA30" s="469"/>
      <c r="AB30" s="42"/>
      <c r="AC30" s="469" t="str">
        <f aca="false">IF(TITLE_IST_PUB_CHANGE="",IF(TITLE_IST_PUB="","",TITLE_IST_PUB),TITLE_IST_PUB_CHANGE)</f>
        <v/>
      </c>
      <c r="AD30" s="469"/>
      <c r="AE30" s="469"/>
      <c r="AF30" s="469"/>
      <c r="AG30" s="469"/>
      <c r="AH30" s="469"/>
      <c r="AI30" s="42"/>
      <c r="AJ30" s="42"/>
      <c r="AK30" s="470"/>
      <c r="AL30" s="118"/>
      <c r="AM30" s="118"/>
      <c r="AN30" s="118"/>
      <c r="AO30" s="118"/>
      <c r="AP30" s="118"/>
      <c r="AQ30" s="175" t="n">
        <v>0</v>
      </c>
    </row>
    <row r="31" customFormat="false" ht="14.25" hidden="true" customHeight="true" outlineLevel="0" collapsed="false">
      <c r="Q31" s="464"/>
      <c r="R31" s="464"/>
      <c r="S31" s="465"/>
      <c r="T31" s="80"/>
      <c r="U31" s="80"/>
      <c r="V31" s="466"/>
      <c r="W31" s="466"/>
      <c r="X31" s="466"/>
      <c r="Y31" s="466"/>
      <c r="Z31" s="466"/>
      <c r="AA31" s="466"/>
      <c r="AB31" s="466"/>
      <c r="AC31" s="466"/>
      <c r="AD31" s="466"/>
      <c r="AE31" s="466"/>
      <c r="AF31" s="466"/>
      <c r="AG31" s="466"/>
      <c r="AH31" s="466"/>
      <c r="AI31" s="466"/>
      <c r="AQ31" s="42" t="n">
        <v>0</v>
      </c>
    </row>
    <row r="32" s="175" customFormat="true" ht="18.75" hidden="true" customHeight="true" outlineLevel="0" collapsed="false">
      <c r="A32" s="140"/>
      <c r="B32" s="140"/>
      <c r="C32" s="140"/>
      <c r="D32" s="140"/>
      <c r="E32" s="140"/>
      <c r="F32" s="140"/>
      <c r="G32" s="140"/>
      <c r="H32" s="140"/>
      <c r="I32" s="140"/>
      <c r="J32" s="140"/>
      <c r="K32" s="140"/>
      <c r="L32" s="414"/>
      <c r="M32" s="140"/>
      <c r="N32" s="140"/>
      <c r="O32" s="140"/>
      <c r="S32" s="467" t="s">
        <v>438</v>
      </c>
      <c r="T32" s="467"/>
      <c r="U32" s="468"/>
      <c r="V32" s="471" t="str">
        <f aca="false">IF(TITLE_DATE_PR_CHANGE="",IF(TITLE_DATE_PR="","",TITLE_DATE_PR),TITLE_DATE_PR_CHANGE)</f>
        <v/>
      </c>
      <c r="W32" s="471"/>
      <c r="X32" s="471"/>
      <c r="Y32" s="471"/>
      <c r="Z32" s="471"/>
      <c r="AA32" s="471"/>
      <c r="AB32" s="42"/>
      <c r="AC32" s="471" t="str">
        <f aca="false">IF(TITLE_DATE_PR_CHANGE="",IF(TITLE_DATE_PR="","",TITLE_DATE_PR),TITLE_DATE_PR_CHANGE)</f>
        <v/>
      </c>
      <c r="AD32" s="471"/>
      <c r="AE32" s="471"/>
      <c r="AF32" s="471"/>
      <c r="AG32" s="471"/>
      <c r="AH32" s="471"/>
      <c r="AI32" s="42"/>
      <c r="AJ32" s="42"/>
      <c r="AK32" s="470"/>
      <c r="AL32" s="118"/>
      <c r="AM32" s="118"/>
      <c r="AN32" s="118"/>
      <c r="AO32" s="118"/>
      <c r="AP32" s="118"/>
      <c r="AQ32" s="175" t="n">
        <v>0</v>
      </c>
    </row>
    <row r="33" s="175" customFormat="true" ht="18.75" hidden="true" customHeight="true" outlineLevel="0" collapsed="false">
      <c r="A33" s="140"/>
      <c r="B33" s="140"/>
      <c r="C33" s="140"/>
      <c r="D33" s="140"/>
      <c r="E33" s="140"/>
      <c r="F33" s="140"/>
      <c r="G33" s="140"/>
      <c r="H33" s="140"/>
      <c r="I33" s="140"/>
      <c r="J33" s="140"/>
      <c r="K33" s="140"/>
      <c r="L33" s="414"/>
      <c r="M33" s="140"/>
      <c r="N33" s="140"/>
      <c r="O33" s="140"/>
      <c r="S33" s="467" t="s">
        <v>439</v>
      </c>
      <c r="T33" s="467"/>
      <c r="U33" s="468"/>
      <c r="V33" s="469" t="str">
        <f aca="false">IF(TITLE_NUMBER_PR_CHANGE="",IF(TITLE_NUMBER_PR="","",TITLE_NUMBER_PR),TITLE_NUMBER_PR_CHANGE)</f>
        <v/>
      </c>
      <c r="W33" s="469"/>
      <c r="X33" s="469"/>
      <c r="Y33" s="469"/>
      <c r="Z33" s="469"/>
      <c r="AA33" s="469"/>
      <c r="AB33" s="42"/>
      <c r="AC33" s="469" t="str">
        <f aca="false">IF(TITLE_NUMBER_PR_CHANGE="",IF(TITLE_NUMBER_PR="","",TITLE_NUMBER_PR),TITLE_NUMBER_PR_CHANGE)</f>
        <v/>
      </c>
      <c r="AD33" s="469"/>
      <c r="AE33" s="469"/>
      <c r="AF33" s="469"/>
      <c r="AG33" s="469"/>
      <c r="AH33" s="469"/>
      <c r="AI33" s="42"/>
      <c r="AJ33" s="42"/>
      <c r="AK33" s="470"/>
      <c r="AL33" s="118"/>
      <c r="AM33" s="118"/>
      <c r="AN33" s="118"/>
      <c r="AO33" s="118"/>
      <c r="AP33" s="118"/>
      <c r="AQ33" s="175" t="n">
        <v>0</v>
      </c>
    </row>
    <row r="34" s="175" customFormat="true" ht="0.75" hidden="false" customHeight="true" outlineLevel="0" collapsed="false">
      <c r="A34" s="140"/>
      <c r="B34" s="140"/>
      <c r="C34" s="140"/>
      <c r="D34" s="140"/>
      <c r="E34" s="140"/>
      <c r="F34" s="140"/>
      <c r="G34" s="140"/>
      <c r="H34" s="140"/>
      <c r="I34" s="140"/>
      <c r="J34" s="140"/>
      <c r="K34" s="140"/>
      <c r="L34" s="414"/>
      <c r="M34" s="140"/>
      <c r="N34" s="140"/>
      <c r="O34" s="140"/>
      <c r="S34" s="42"/>
      <c r="T34" s="42"/>
      <c r="U34" s="128"/>
      <c r="V34" s="42"/>
      <c r="W34" s="42"/>
      <c r="X34" s="42"/>
      <c r="Y34" s="42"/>
      <c r="Z34" s="42"/>
      <c r="AA34" s="42"/>
      <c r="AB34" s="47" t="s">
        <v>440</v>
      </c>
      <c r="AC34" s="42"/>
      <c r="AD34" s="42"/>
      <c r="AE34" s="42"/>
      <c r="AF34" s="42"/>
      <c r="AG34" s="42"/>
      <c r="AH34" s="42"/>
      <c r="AI34" s="47" t="s">
        <v>440</v>
      </c>
      <c r="AL34" s="118"/>
      <c r="AM34" s="118"/>
      <c r="AN34" s="118"/>
      <c r="AO34" s="118"/>
      <c r="AP34" s="118"/>
      <c r="AQ34" s="175" t="n">
        <v>1</v>
      </c>
    </row>
    <row r="35" customFormat="false" ht="14.25" hidden="false" customHeight="true" outlineLevel="0" collapsed="false">
      <c r="Q35" s="464"/>
      <c r="R35" s="464"/>
      <c r="S35" s="465"/>
      <c r="T35" s="80"/>
      <c r="U35" s="472"/>
      <c r="V35" s="473"/>
      <c r="W35" s="473"/>
      <c r="X35" s="473"/>
      <c r="Y35" s="473"/>
      <c r="Z35" s="473"/>
      <c r="AA35" s="473"/>
      <c r="AB35" s="473"/>
      <c r="AC35" s="473"/>
      <c r="AD35" s="473"/>
      <c r="AE35" s="473"/>
      <c r="AF35" s="473"/>
      <c r="AG35" s="473"/>
      <c r="AH35" s="473"/>
      <c r="AI35" s="473"/>
      <c r="AQ35" s="42" t="n">
        <v>14</v>
      </c>
    </row>
    <row r="36" customFormat="false" ht="14.25" hidden="false" customHeight="true" outlineLevel="0" collapsed="false">
      <c r="Q36" s="464"/>
      <c r="R36" s="464"/>
      <c r="S36" s="134" t="s">
        <v>313</v>
      </c>
      <c r="T36" s="134"/>
      <c r="U36" s="134"/>
      <c r="V36" s="134"/>
      <c r="W36" s="134"/>
      <c r="X36" s="134"/>
      <c r="Y36" s="134"/>
      <c r="Z36" s="134"/>
      <c r="AA36" s="134"/>
      <c r="AB36" s="134"/>
      <c r="AC36" s="134"/>
      <c r="AD36" s="134"/>
      <c r="AE36" s="134"/>
      <c r="AF36" s="134"/>
      <c r="AG36" s="134"/>
      <c r="AH36" s="134"/>
      <c r="AI36" s="134"/>
      <c r="AJ36" s="134"/>
      <c r="AK36" s="134" t="s">
        <v>314</v>
      </c>
      <c r="AQ36" s="42" t="n">
        <v>14</v>
      </c>
    </row>
    <row r="37" customFormat="false" ht="14.25" hidden="false" customHeight="true" outlineLevel="0" collapsed="false">
      <c r="Q37" s="464"/>
      <c r="R37" s="464"/>
      <c r="S37" s="474" t="s">
        <v>87</v>
      </c>
      <c r="T37" s="391" t="s">
        <v>441</v>
      </c>
      <c r="U37" s="475"/>
      <c r="V37" s="296" t="s">
        <v>442</v>
      </c>
      <c r="W37" s="296"/>
      <c r="X37" s="296"/>
      <c r="Y37" s="296"/>
      <c r="Z37" s="296"/>
      <c r="AA37" s="296"/>
      <c r="AB37" s="391" t="s">
        <v>443</v>
      </c>
      <c r="AC37" s="296" t="s">
        <v>442</v>
      </c>
      <c r="AD37" s="296"/>
      <c r="AE37" s="296"/>
      <c r="AF37" s="296"/>
      <c r="AG37" s="296"/>
      <c r="AH37" s="296"/>
      <c r="AI37" s="391" t="s">
        <v>444</v>
      </c>
      <c r="AJ37" s="476" t="s">
        <v>445</v>
      </c>
      <c r="AK37" s="134"/>
      <c r="AQ37" s="42" t="n">
        <v>14</v>
      </c>
    </row>
    <row r="38" customFormat="false" ht="35.25" hidden="false" customHeight="true" outlineLevel="0" collapsed="false">
      <c r="Q38" s="464"/>
      <c r="R38" s="464"/>
      <c r="S38" s="474"/>
      <c r="T38" s="391"/>
      <c r="U38" s="477"/>
      <c r="V38" s="262" t="s">
        <v>502</v>
      </c>
      <c r="W38" s="134" t="s">
        <v>448</v>
      </c>
      <c r="X38" s="134"/>
      <c r="Y38" s="134" t="s">
        <v>449</v>
      </c>
      <c r="Z38" s="134"/>
      <c r="AA38" s="134"/>
      <c r="AB38" s="391"/>
      <c r="AC38" s="262" t="s">
        <v>502</v>
      </c>
      <c r="AD38" s="134" t="s">
        <v>448</v>
      </c>
      <c r="AE38" s="134"/>
      <c r="AF38" s="134" t="s">
        <v>449</v>
      </c>
      <c r="AG38" s="134"/>
      <c r="AH38" s="134"/>
      <c r="AI38" s="391"/>
      <c r="AJ38" s="476"/>
      <c r="AK38" s="134"/>
      <c r="AQ38" s="42" t="n">
        <v>34</v>
      </c>
    </row>
    <row r="39" customFormat="false" ht="35.25" hidden="false" customHeight="true" outlineLevel="0" collapsed="false">
      <c r="A39" s="140"/>
      <c r="B39" s="140" t="s">
        <v>150</v>
      </c>
      <c r="C39" s="140" t="s">
        <v>151</v>
      </c>
      <c r="D39" s="140" t="s">
        <v>152</v>
      </c>
      <c r="E39" s="414" t="s">
        <v>450</v>
      </c>
      <c r="F39" s="414" t="s">
        <v>451</v>
      </c>
      <c r="G39" s="414" t="s">
        <v>452</v>
      </c>
      <c r="H39" s="414"/>
      <c r="I39" s="414" t="s">
        <v>503</v>
      </c>
      <c r="J39" s="414" t="s">
        <v>455</v>
      </c>
      <c r="K39" s="414" t="s">
        <v>504</v>
      </c>
      <c r="L39" s="414" t="s">
        <v>431</v>
      </c>
      <c r="Q39" s="464"/>
      <c r="R39" s="464"/>
      <c r="S39" s="474"/>
      <c r="T39" s="391"/>
      <c r="U39" s="478"/>
      <c r="V39" s="262" t="s">
        <v>505</v>
      </c>
      <c r="W39" s="185" t="s">
        <v>506</v>
      </c>
      <c r="X39" s="185" t="s">
        <v>507</v>
      </c>
      <c r="Y39" s="185" t="s">
        <v>459</v>
      </c>
      <c r="Z39" s="185" t="s">
        <v>460</v>
      </c>
      <c r="AA39" s="185"/>
      <c r="AB39" s="391"/>
      <c r="AC39" s="262" t="s">
        <v>505</v>
      </c>
      <c r="AD39" s="185" t="s">
        <v>506</v>
      </c>
      <c r="AE39" s="185" t="s">
        <v>507</v>
      </c>
      <c r="AF39" s="185" t="s">
        <v>459</v>
      </c>
      <c r="AG39" s="185" t="s">
        <v>460</v>
      </c>
      <c r="AH39" s="185"/>
      <c r="AI39" s="391"/>
      <c r="AJ39" s="476"/>
      <c r="AK39" s="134"/>
      <c r="AQ39" s="42" t="n">
        <v>34</v>
      </c>
    </row>
    <row r="40" s="120" customFormat="true" ht="12.8" hidden="false" customHeight="false" outlineLevel="0" collapsed="false">
      <c r="A40" s="140"/>
      <c r="B40" s="140"/>
      <c r="C40" s="140"/>
      <c r="D40" s="140"/>
      <c r="E40" s="140"/>
      <c r="F40" s="140"/>
      <c r="G40" s="140"/>
      <c r="H40" s="140"/>
      <c r="I40" s="140"/>
      <c r="J40" s="140"/>
      <c r="K40" s="140"/>
      <c r="L40" s="414"/>
      <c r="M40" s="51"/>
      <c r="N40" s="51"/>
      <c r="O40" s="51"/>
      <c r="P40" s="479"/>
      <c r="Q40" s="480"/>
      <c r="R40" s="481" t="n">
        <v>1</v>
      </c>
      <c r="S40" s="482" t="s">
        <v>120</v>
      </c>
      <c r="T40" s="483" t="s">
        <v>102</v>
      </c>
      <c r="U40" s="484" t="str">
        <f aca="true">OFFSET(U40,0,-1)</f>
        <v>2</v>
      </c>
      <c r="V40" s="485" t="n">
        <f aca="true">OFFSET(V40,0,-1)+1</f>
        <v>3</v>
      </c>
      <c r="W40" s="485" t="n">
        <f aca="true">OFFSET(W40,0,-1)+1</f>
        <v>4</v>
      </c>
      <c r="X40" s="485" t="n">
        <f aca="true">OFFSET(X40,0,-1)+1</f>
        <v>5</v>
      </c>
      <c r="Y40" s="485" t="n">
        <f aca="true">OFFSET(Y40,0,-1)+1</f>
        <v>6</v>
      </c>
      <c r="Z40" s="485" t="n">
        <f aca="true">OFFSET(Z40,0,-1)+1</f>
        <v>7</v>
      </c>
      <c r="AA40" s="485"/>
      <c r="AB40" s="485" t="n">
        <f aca="true">OFFSET(AB40,0,-2)+1</f>
        <v>8</v>
      </c>
      <c r="AC40" s="485" t="n">
        <f aca="true">OFFSET(AC40,0,-1)+1</f>
        <v>9</v>
      </c>
      <c r="AD40" s="485" t="n">
        <f aca="true">OFFSET(AD40,0,-1)+1</f>
        <v>10</v>
      </c>
      <c r="AE40" s="485" t="n">
        <f aca="true">OFFSET(AE40,0,-1)+1</f>
        <v>11</v>
      </c>
      <c r="AF40" s="485" t="n">
        <f aca="true">OFFSET(AF40,0,-1)+1</f>
        <v>12</v>
      </c>
      <c r="AG40" s="485" t="n">
        <f aca="true">OFFSET(AG40,0,-1)+1</f>
        <v>13</v>
      </c>
      <c r="AH40" s="485"/>
      <c r="AI40" s="485" t="n">
        <f aca="true">OFFSET(AI40,0,-2)+1</f>
        <v>14</v>
      </c>
      <c r="AJ40" s="484" t="n">
        <f aca="true">OFFSET(AJ40,0,-1)</f>
        <v>14</v>
      </c>
      <c r="AK40" s="485" t="n">
        <f aca="true">OFFSET(AK40,0,-1)+1</f>
        <v>15</v>
      </c>
      <c r="AL40" s="47"/>
      <c r="AM40" s="47"/>
      <c r="AN40" s="47"/>
      <c r="AO40" s="47"/>
      <c r="AP40" s="47"/>
      <c r="AQ40" s="120" t="n">
        <v>0</v>
      </c>
    </row>
    <row r="41" customFormat="false" ht="24" hidden="false" customHeight="true" outlineLevel="0" collapsed="false">
      <c r="A41" s="412" t="s">
        <v>249</v>
      </c>
      <c r="B41" s="412"/>
      <c r="C41" s="412"/>
      <c r="D41" s="412"/>
      <c r="E41" s="413" t="n">
        <v>1</v>
      </c>
      <c r="F41" s="412"/>
      <c r="G41" s="412"/>
      <c r="H41" s="412"/>
      <c r="I41" s="412"/>
      <c r="J41" s="412"/>
      <c r="K41" s="412"/>
      <c r="L41" s="414"/>
      <c r="M41" s="40"/>
      <c r="N41" s="40"/>
      <c r="O41" s="40"/>
      <c r="Q41" s="132"/>
      <c r="R41" s="415"/>
      <c r="S41" s="416" t="n">
        <f aca="false">INDEX(PT_DIFFERENTIATION_NUM_NTAR,MATCH(A41,PT_DIFFERENTIATION_NTAR_ID,0))</f>
        <v>0</v>
      </c>
      <c r="T41" s="417" t="s">
        <v>138</v>
      </c>
      <c r="U41" s="418"/>
      <c r="V41" s="419"/>
      <c r="W41" s="419"/>
      <c r="X41" s="419"/>
      <c r="Y41" s="419"/>
      <c r="Z41" s="419"/>
      <c r="AA41" s="419"/>
      <c r="AB41" s="419"/>
      <c r="AC41" s="419" t="str">
        <f aca="false">INDEX(PT_DIFFERENTIATION_NTAR,MATCH(A41,PT_DIFFERENTIATION_NTAR_ID,0))</f>
        <v/>
      </c>
      <c r="AD41" s="419"/>
      <c r="AE41" s="419"/>
      <c r="AF41" s="419"/>
      <c r="AG41" s="419"/>
      <c r="AH41" s="419"/>
      <c r="AI41" s="419"/>
      <c r="AJ41" s="419"/>
      <c r="AK41" s="42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8"/>
      <c r="AN41" s="118" t="str">
        <f aca="false">IF(T41="","",T41)</f>
        <v>Наименование тарифа</v>
      </c>
      <c r="AO41" s="118"/>
      <c r="AP41" s="118"/>
      <c r="AQ41" s="42" t="n">
        <v>23</v>
      </c>
    </row>
    <row r="42" customFormat="false" ht="24" hidden="false" customHeight="true" outlineLevel="0" collapsed="false">
      <c r="A42" s="412" t="s">
        <v>249</v>
      </c>
      <c r="B42" s="412" t="s">
        <v>250</v>
      </c>
      <c r="C42" s="412"/>
      <c r="D42" s="412"/>
      <c r="E42" s="413"/>
      <c r="F42" s="413" t="n">
        <v>1</v>
      </c>
      <c r="G42" s="412"/>
      <c r="H42" s="412"/>
      <c r="I42" s="412"/>
      <c r="J42" s="412"/>
      <c r="K42" s="412"/>
      <c r="L42" s="414"/>
      <c r="M42" s="40"/>
      <c r="N42" s="40"/>
      <c r="O42" s="40"/>
      <c r="P42" s="43"/>
      <c r="Q42" s="422"/>
      <c r="R42" s="423"/>
      <c r="S42" s="416" t="str">
        <f aca="false">INDEX(PT_DIFFERENTIATION_NUM_TER,MATCH(B42,PT_DIFFERENTIATION_TER_ID,0))</f>
        <v>.</v>
      </c>
      <c r="T42" s="424" t="s">
        <v>410</v>
      </c>
      <c r="U42" s="418"/>
      <c r="V42" s="419"/>
      <c r="W42" s="419"/>
      <c r="X42" s="419"/>
      <c r="Y42" s="419"/>
      <c r="Z42" s="419"/>
      <c r="AA42" s="419"/>
      <c r="AB42" s="419"/>
      <c r="AC42" s="419" t="str">
        <f aca="false">INDEX(PT_DIFFERENTIATION_TER,MATCH(B42,PT_DIFFERENTIATION_TER_ID,0))</f>
        <v/>
      </c>
      <c r="AD42" s="419"/>
      <c r="AE42" s="419"/>
      <c r="AF42" s="419"/>
      <c r="AG42" s="419"/>
      <c r="AH42" s="419"/>
      <c r="AI42" s="419"/>
      <c r="AJ42" s="419"/>
      <c r="AK42" s="421" t="s">
        <v>411</v>
      </c>
      <c r="AM42" s="118"/>
      <c r="AN42" s="118" t="str">
        <f aca="false">IF(T42="","",T42)</f>
        <v>Территория действия тарифа</v>
      </c>
      <c r="AO42" s="118"/>
      <c r="AP42" s="118"/>
      <c r="AQ42" s="42" t="n">
        <v>23</v>
      </c>
    </row>
    <row r="43" customFormat="false" ht="24" hidden="false" customHeight="true" outlineLevel="0" collapsed="false">
      <c r="A43" s="412" t="s">
        <v>249</v>
      </c>
      <c r="B43" s="412" t="s">
        <v>250</v>
      </c>
      <c r="C43" s="412" t="s">
        <v>251</v>
      </c>
      <c r="D43" s="412"/>
      <c r="E43" s="413"/>
      <c r="F43" s="413"/>
      <c r="G43" s="413" t="n">
        <v>1</v>
      </c>
      <c r="H43" s="412"/>
      <c r="I43" s="412"/>
      <c r="J43" s="412"/>
      <c r="K43" s="412"/>
      <c r="L43" s="414"/>
      <c r="M43" s="40"/>
      <c r="N43" s="40"/>
      <c r="O43" s="40"/>
      <c r="P43" s="425"/>
      <c r="Q43" s="422"/>
      <c r="R43" s="423"/>
      <c r="S43" s="416" t="str">
        <f aca="false">INDEX(PT_DIFFERENTIATION_NUM_CS,MATCH(C43,PT_DIFFERENTIATION_CS_ID,0))</f>
        <v>..</v>
      </c>
      <c r="T43" s="426" t="s">
        <v>494</v>
      </c>
      <c r="U43" s="418"/>
      <c r="V43" s="419"/>
      <c r="W43" s="419"/>
      <c r="X43" s="419"/>
      <c r="Y43" s="419"/>
      <c r="Z43" s="419"/>
      <c r="AA43" s="419"/>
      <c r="AB43" s="419"/>
      <c r="AC43" s="419" t="str">
        <f aca="false">INDEX(PT_DIFFERENTIATION_CS,MATCH(C43,PT_DIFFERENTIATION_CS_ID,0))</f>
        <v/>
      </c>
      <c r="AD43" s="419"/>
      <c r="AE43" s="419"/>
      <c r="AF43" s="419"/>
      <c r="AG43" s="419"/>
      <c r="AH43" s="419"/>
      <c r="AI43" s="419"/>
      <c r="AJ43" s="419"/>
      <c r="AK43" s="421" t="s">
        <v>495</v>
      </c>
      <c r="AM43" s="118"/>
      <c r="AN43" s="118" t="str">
        <f aca="false">IF(T43="","",T43)</f>
        <v>Наименование централизованной системы холодного водоснабжения</v>
      </c>
      <c r="AO43" s="118"/>
      <c r="AP43" s="118"/>
      <c r="AQ43" s="42" t="n">
        <v>23</v>
      </c>
    </row>
    <row r="44" customFormat="false" ht="24" hidden="false" customHeight="true" outlineLevel="0" collapsed="false">
      <c r="A44" s="412" t="s">
        <v>249</v>
      </c>
      <c r="B44" s="412" t="s">
        <v>250</v>
      </c>
      <c r="C44" s="412" t="s">
        <v>251</v>
      </c>
      <c r="D44" s="412" t="s">
        <v>510</v>
      </c>
      <c r="E44" s="413"/>
      <c r="F44" s="413"/>
      <c r="G44" s="413"/>
      <c r="H44" s="571"/>
      <c r="I44" s="428" t="str">
        <f aca="false">S43&amp;".1"</f>
        <v>...1</v>
      </c>
      <c r="J44" s="412"/>
      <c r="K44" s="412"/>
      <c r="L44" s="414"/>
      <c r="P44" s="121" t="n">
        <v>1</v>
      </c>
      <c r="Q44" s="121"/>
      <c r="R44" s="429"/>
      <c r="S44" s="416" t="str">
        <f aca="false">$I44</f>
        <v>...1</v>
      </c>
      <c r="T44" s="430" t="s">
        <v>496</v>
      </c>
      <c r="U44" s="418"/>
      <c r="V44" s="572"/>
      <c r="W44" s="572"/>
      <c r="X44" s="572"/>
      <c r="Y44" s="572"/>
      <c r="Z44" s="572"/>
      <c r="AA44" s="572"/>
      <c r="AB44" s="572"/>
      <c r="AC44" s="334"/>
      <c r="AD44" s="334"/>
      <c r="AE44" s="334"/>
      <c r="AF44" s="334"/>
      <c r="AG44" s="334"/>
      <c r="AH44" s="334"/>
      <c r="AI44" s="334"/>
      <c r="AJ44" s="334"/>
      <c r="AK44" s="421" t="s">
        <v>497</v>
      </c>
      <c r="AM44" s="118"/>
      <c r="AN44" s="118" t="str">
        <f aca="false">IF(T44="","",T44)</f>
        <v>Наименование признака дифференциации</v>
      </c>
      <c r="AO44" s="118"/>
      <c r="AP44" s="118"/>
      <c r="AQ44" s="42" t="n">
        <v>23</v>
      </c>
    </row>
    <row r="45" customFormat="false" ht="24" hidden="false" customHeight="true" outlineLevel="0" collapsed="false">
      <c r="A45" s="412" t="s">
        <v>249</v>
      </c>
      <c r="B45" s="412" t="s">
        <v>250</v>
      </c>
      <c r="C45" s="412" t="s">
        <v>251</v>
      </c>
      <c r="D45" s="412" t="s">
        <v>510</v>
      </c>
      <c r="E45" s="413"/>
      <c r="F45" s="413"/>
      <c r="G45" s="413"/>
      <c r="H45" s="413"/>
      <c r="I45" s="428"/>
      <c r="J45" s="428" t="str">
        <f aca="false">I44&amp;".1"</f>
        <v>...1.1</v>
      </c>
      <c r="K45" s="412"/>
      <c r="L45" s="414" t="s">
        <v>419</v>
      </c>
      <c r="P45" s="121"/>
      <c r="Q45" s="121" t="n">
        <v>1</v>
      </c>
      <c r="R45" s="432"/>
      <c r="S45" s="416" t="str">
        <f aca="false">$J45</f>
        <v>...1.1</v>
      </c>
      <c r="T45" s="433" t="s">
        <v>420</v>
      </c>
      <c r="U45" s="418"/>
      <c r="V45" s="431"/>
      <c r="W45" s="431"/>
      <c r="X45" s="431"/>
      <c r="Y45" s="431"/>
      <c r="Z45" s="431"/>
      <c r="AA45" s="431"/>
      <c r="AB45" s="431"/>
      <c r="AC45" s="431"/>
      <c r="AD45" s="431"/>
      <c r="AE45" s="431"/>
      <c r="AF45" s="431"/>
      <c r="AG45" s="431"/>
      <c r="AH45" s="431"/>
      <c r="AI45" s="431"/>
      <c r="AJ45" s="431"/>
      <c r="AK45" s="523" t="s">
        <v>498</v>
      </c>
      <c r="AM45" s="118"/>
      <c r="AN45" s="118" t="str">
        <f aca="false">IF(T45="","",T45)</f>
        <v>Группа потребителей</v>
      </c>
      <c r="AO45" s="118"/>
      <c r="AP45" s="118"/>
      <c r="AQ45" s="42" t="n">
        <v>23</v>
      </c>
    </row>
    <row r="46" customFormat="false" ht="24" hidden="false" customHeight="true" outlineLevel="0" collapsed="false">
      <c r="A46" s="412" t="s">
        <v>249</v>
      </c>
      <c r="B46" s="412" t="s">
        <v>250</v>
      </c>
      <c r="C46" s="412" t="s">
        <v>251</v>
      </c>
      <c r="D46" s="412" t="s">
        <v>510</v>
      </c>
      <c r="E46" s="413"/>
      <c r="F46" s="413"/>
      <c r="G46" s="413"/>
      <c r="H46" s="413"/>
      <c r="I46" s="428"/>
      <c r="J46" s="428"/>
      <c r="K46" s="428" t="str">
        <f aca="false">J45&amp;".1"</f>
        <v>...1.1.1</v>
      </c>
      <c r="L46" s="414"/>
      <c r="P46" s="121"/>
      <c r="Q46" s="121"/>
      <c r="R46" s="432" t="n">
        <v>1</v>
      </c>
      <c r="S46" s="416" t="str">
        <f aca="false">$K46</f>
        <v>...1.1.1</v>
      </c>
      <c r="T46" s="573"/>
      <c r="U46" s="418"/>
      <c r="V46" s="435"/>
      <c r="W46" s="435"/>
      <c r="X46" s="437"/>
      <c r="Y46" s="438"/>
      <c r="Z46" s="204" t="s">
        <v>61</v>
      </c>
      <c r="AA46" s="438"/>
      <c r="AB46" s="204" t="s">
        <v>61</v>
      </c>
      <c r="AC46" s="435"/>
      <c r="AD46" s="435"/>
      <c r="AE46" s="437"/>
      <c r="AF46" s="438"/>
      <c r="AG46" s="204" t="s">
        <v>61</v>
      </c>
      <c r="AH46" s="438"/>
      <c r="AI46" s="204" t="s">
        <v>61</v>
      </c>
      <c r="AJ46" s="574"/>
      <c r="AK46" s="57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7" t="e">
        <f aca="false">strcheckdate(V47:AJ47)</f>
        <v>#NAME?</v>
      </c>
      <c r="AM46" s="118"/>
      <c r="AN46" s="118" t="str">
        <f aca="false">IF(T46="","",T46)</f>
        <v/>
      </c>
      <c r="AO46" s="118"/>
      <c r="AP46" s="118"/>
      <c r="AQ46" s="42" t="n">
        <v>23</v>
      </c>
    </row>
    <row r="47" customFormat="false" ht="12.8" hidden="false" customHeight="false" outlineLevel="0" collapsed="false">
      <c r="A47" s="412" t="s">
        <v>249</v>
      </c>
      <c r="B47" s="412" t="s">
        <v>250</v>
      </c>
      <c r="C47" s="412" t="s">
        <v>251</v>
      </c>
      <c r="D47" s="412" t="s">
        <v>510</v>
      </c>
      <c r="E47" s="413"/>
      <c r="F47" s="413"/>
      <c r="G47" s="413"/>
      <c r="H47" s="413"/>
      <c r="I47" s="428"/>
      <c r="J47" s="428"/>
      <c r="K47" s="428"/>
      <c r="L47" s="414"/>
      <c r="P47" s="121"/>
      <c r="Q47" s="121"/>
      <c r="R47" s="432"/>
      <c r="S47" s="393"/>
      <c r="T47" s="418"/>
      <c r="U47" s="418"/>
      <c r="V47" s="436"/>
      <c r="W47" s="436"/>
      <c r="X47" s="440" t="str">
        <f aca="false">Y46&amp;"-"&amp;AA46</f>
        <v>-</v>
      </c>
      <c r="Y47" s="438"/>
      <c r="Z47" s="204"/>
      <c r="AA47" s="438"/>
      <c r="AB47" s="204"/>
      <c r="AC47" s="436"/>
      <c r="AD47" s="436"/>
      <c r="AE47" s="440" t="str">
        <f aca="false">AF46&amp;"-"&amp;AH46</f>
        <v>-</v>
      </c>
      <c r="AF47" s="438"/>
      <c r="AG47" s="204"/>
      <c r="AH47" s="438"/>
      <c r="AI47" s="204"/>
      <c r="AJ47" s="576"/>
      <c r="AK47" s="575"/>
      <c r="AM47" s="118"/>
      <c r="AN47" s="118" t="str">
        <f aca="false">IF(T47="","",T47)</f>
        <v/>
      </c>
      <c r="AO47" s="118"/>
      <c r="AP47" s="118"/>
      <c r="AQ47" s="42" t="n">
        <v>0</v>
      </c>
    </row>
    <row r="48" customFormat="false" ht="21" hidden="false" customHeight="true" outlineLevel="0" collapsed="false">
      <c r="A48" s="412" t="s">
        <v>249</v>
      </c>
      <c r="B48" s="412" t="s">
        <v>250</v>
      </c>
      <c r="C48" s="412" t="s">
        <v>251</v>
      </c>
      <c r="D48" s="412" t="s">
        <v>510</v>
      </c>
      <c r="E48" s="413"/>
      <c r="F48" s="413"/>
      <c r="G48" s="413"/>
      <c r="H48" s="413"/>
      <c r="I48" s="428"/>
      <c r="J48" s="428"/>
      <c r="K48" s="412"/>
      <c r="L48" s="414"/>
      <c r="P48" s="121"/>
      <c r="Q48" s="121"/>
      <c r="R48" s="429"/>
      <c r="S48" s="441"/>
      <c r="T48" s="444" t="s">
        <v>499</v>
      </c>
      <c r="U48" s="194"/>
      <c r="V48" s="194"/>
      <c r="W48" s="194"/>
      <c r="X48" s="194"/>
      <c r="Y48" s="194"/>
      <c r="Z48" s="194"/>
      <c r="AA48" s="194"/>
      <c r="AB48" s="194"/>
      <c r="AC48" s="194"/>
      <c r="AD48" s="194"/>
      <c r="AE48" s="194"/>
      <c r="AF48" s="194"/>
      <c r="AG48" s="194"/>
      <c r="AH48" s="194"/>
      <c r="AI48" s="194"/>
      <c r="AJ48" s="194"/>
      <c r="AK48" s="421" t="s">
        <v>500</v>
      </c>
      <c r="AM48" s="118"/>
      <c r="AN48" s="118" t="str">
        <f aca="false">IF(T48="","",T48)</f>
        <v>Добавить значение признака дифференциации</v>
      </c>
      <c r="AO48" s="118"/>
      <c r="AP48" s="118"/>
      <c r="AQ48" s="42" t="n">
        <v>20</v>
      </c>
    </row>
    <row r="49" customFormat="false" ht="21.75" hidden="false" customHeight="true" outlineLevel="0" collapsed="false">
      <c r="A49" s="412" t="s">
        <v>249</v>
      </c>
      <c r="B49" s="412" t="s">
        <v>250</v>
      </c>
      <c r="C49" s="412" t="s">
        <v>251</v>
      </c>
      <c r="D49" s="412" t="s">
        <v>510</v>
      </c>
      <c r="E49" s="413"/>
      <c r="F49" s="413"/>
      <c r="G49" s="413"/>
      <c r="H49" s="413"/>
      <c r="I49" s="428"/>
      <c r="J49" s="412"/>
      <c r="K49" s="412"/>
      <c r="L49" s="414"/>
      <c r="P49" s="121"/>
      <c r="Q49" s="121"/>
      <c r="R49" s="429"/>
      <c r="S49" s="441"/>
      <c r="T49" s="448" t="s">
        <v>425</v>
      </c>
      <c r="U49" s="194"/>
      <c r="V49" s="194"/>
      <c r="W49" s="194"/>
      <c r="X49" s="194"/>
      <c r="Y49" s="194"/>
      <c r="Z49" s="194"/>
      <c r="AA49" s="194"/>
      <c r="AB49" s="445"/>
      <c r="AC49" s="194"/>
      <c r="AD49" s="194"/>
      <c r="AE49" s="194"/>
      <c r="AF49" s="194"/>
      <c r="AG49" s="194"/>
      <c r="AH49" s="194"/>
      <c r="AI49" s="445"/>
      <c r="AJ49" s="194"/>
      <c r="AK49" s="577"/>
      <c r="AM49" s="118"/>
      <c r="AN49" s="118" t="str">
        <f aca="false">IF(T49="","",T49)</f>
        <v>Добавить группу потребителей</v>
      </c>
      <c r="AO49" s="118"/>
      <c r="AP49" s="118"/>
      <c r="AQ49" s="42" t="n">
        <v>21</v>
      </c>
    </row>
    <row r="50" customFormat="false" ht="21.75" hidden="false" customHeight="true" outlineLevel="0" collapsed="false">
      <c r="A50" s="412" t="s">
        <v>249</v>
      </c>
      <c r="B50" s="412" t="s">
        <v>250</v>
      </c>
      <c r="C50" s="412" t="s">
        <v>251</v>
      </c>
      <c r="D50" s="412" t="s">
        <v>510</v>
      </c>
      <c r="E50" s="413"/>
      <c r="F50" s="413"/>
      <c r="G50" s="413"/>
      <c r="H50" s="571"/>
      <c r="I50" s="412"/>
      <c r="J50" s="412"/>
      <c r="K50" s="412"/>
      <c r="L50" s="414"/>
      <c r="M50" s="40"/>
      <c r="N50" s="40"/>
      <c r="O50" s="45"/>
      <c r="P50" s="132"/>
      <c r="Q50" s="447"/>
      <c r="R50" s="415"/>
      <c r="S50" s="441"/>
      <c r="T50" s="578" t="s">
        <v>501</v>
      </c>
      <c r="U50" s="194"/>
      <c r="V50" s="194"/>
      <c r="W50" s="194"/>
      <c r="X50" s="194"/>
      <c r="Y50" s="194"/>
      <c r="Z50" s="194"/>
      <c r="AA50" s="194"/>
      <c r="AB50" s="445"/>
      <c r="AC50" s="194"/>
      <c r="AD50" s="194"/>
      <c r="AE50" s="194"/>
      <c r="AF50" s="194"/>
      <c r="AG50" s="194"/>
      <c r="AH50" s="194"/>
      <c r="AI50" s="445"/>
      <c r="AJ50" s="194"/>
      <c r="AK50" s="446"/>
      <c r="AM50" s="118"/>
      <c r="AN50" s="118" t="str">
        <f aca="false">IF(T50="","",T50)</f>
        <v>Добавить наименование признака дифференциации</v>
      </c>
      <c r="AO50" s="118"/>
      <c r="AP50" s="118"/>
      <c r="AQ50" s="42" t="n">
        <v>21</v>
      </c>
    </row>
    <row r="51" s="47" customFormat="true" ht="12.8" hidden="false" customHeight="false" outlineLevel="0" collapsed="false">
      <c r="A51" s="122" t="s">
        <v>249</v>
      </c>
      <c r="B51" s="122" t="s">
        <v>250</v>
      </c>
      <c r="C51" s="122"/>
      <c r="D51" s="122"/>
      <c r="E51" s="413"/>
      <c r="F51" s="413"/>
      <c r="G51" s="122"/>
      <c r="H51" s="122"/>
      <c r="I51" s="122"/>
      <c r="J51" s="122"/>
      <c r="K51" s="122"/>
      <c r="L51" s="192"/>
      <c r="M51" s="453"/>
      <c r="N51" s="453"/>
      <c r="P51" s="156"/>
      <c r="Q51" s="449"/>
      <c r="R51" s="156"/>
      <c r="S51" s="454"/>
      <c r="T51" s="457" t="s">
        <v>428</v>
      </c>
      <c r="U51" s="456"/>
      <c r="V51" s="456"/>
      <c r="W51" s="456"/>
      <c r="X51" s="456"/>
      <c r="Y51" s="456"/>
      <c r="Z51" s="456"/>
      <c r="AA51" s="456"/>
      <c r="AB51" s="456"/>
      <c r="AC51" s="456"/>
      <c r="AD51" s="456"/>
      <c r="AE51" s="456"/>
      <c r="AF51" s="456"/>
      <c r="AG51" s="456"/>
      <c r="AH51" s="456"/>
      <c r="AI51" s="456"/>
      <c r="AJ51" s="456"/>
      <c r="AK51" s="456"/>
      <c r="AM51" s="118"/>
      <c r="AN51" s="118" t="str">
        <f aca="false">IF(T51="","",T51)</f>
        <v>Добавить централизованную систему для дифференциации</v>
      </c>
      <c r="AO51" s="118"/>
      <c r="AP51" s="118"/>
      <c r="AQ51" s="47" t="n">
        <v>0</v>
      </c>
    </row>
    <row r="52" s="47" customFormat="true" ht="12.8" hidden="false" customHeight="false" outlineLevel="0" collapsed="false">
      <c r="A52" s="122" t="s">
        <v>249</v>
      </c>
      <c r="B52" s="122"/>
      <c r="C52" s="122"/>
      <c r="D52" s="122"/>
      <c r="E52" s="413"/>
      <c r="F52" s="122"/>
      <c r="G52" s="122"/>
      <c r="H52" s="122"/>
      <c r="I52" s="122"/>
      <c r="J52" s="122"/>
      <c r="K52" s="122"/>
      <c r="L52" s="192"/>
      <c r="M52" s="453"/>
      <c r="N52" s="453"/>
      <c r="P52" s="156"/>
      <c r="Q52" s="449"/>
      <c r="R52" s="156"/>
      <c r="S52" s="454"/>
      <c r="T52" s="457" t="s">
        <v>429</v>
      </c>
      <c r="U52" s="456"/>
      <c r="V52" s="456"/>
      <c r="W52" s="456"/>
      <c r="X52" s="456"/>
      <c r="Y52" s="456"/>
      <c r="Z52" s="456"/>
      <c r="AA52" s="456"/>
      <c r="AB52" s="456"/>
      <c r="AC52" s="456"/>
      <c r="AD52" s="456"/>
      <c r="AE52" s="456"/>
      <c r="AF52" s="456"/>
      <c r="AG52" s="456"/>
      <c r="AH52" s="456"/>
      <c r="AI52" s="456"/>
      <c r="AJ52" s="456"/>
      <c r="AK52" s="456"/>
      <c r="AM52" s="118"/>
      <c r="AN52" s="118" t="str">
        <f aca="false">IF(T52="","",T52)</f>
        <v>Добавить территорию для дифференциации</v>
      </c>
      <c r="AO52" s="118"/>
      <c r="AP52" s="118"/>
      <c r="AQ52" s="47" t="n">
        <v>0</v>
      </c>
    </row>
    <row r="53" s="47" customFormat="true" ht="12.8" hidden="false" customHeight="false" outlineLevel="0" collapsed="false">
      <c r="A53" s="122"/>
      <c r="B53" s="122"/>
      <c r="C53" s="122"/>
      <c r="D53" s="122"/>
      <c r="E53" s="122"/>
      <c r="F53" s="122"/>
      <c r="G53" s="122"/>
      <c r="H53" s="122"/>
      <c r="I53" s="122"/>
      <c r="J53" s="122"/>
      <c r="K53" s="122"/>
      <c r="L53" s="192"/>
      <c r="M53" s="453"/>
      <c r="N53" s="453"/>
      <c r="P53" s="156"/>
      <c r="Q53" s="449"/>
      <c r="R53" s="156"/>
      <c r="S53" s="454"/>
      <c r="T53" s="457" t="s">
        <v>461</v>
      </c>
      <c r="U53" s="456"/>
      <c r="V53" s="456"/>
      <c r="W53" s="456"/>
      <c r="X53" s="456"/>
      <c r="Y53" s="456"/>
      <c r="Z53" s="456"/>
      <c r="AA53" s="456"/>
      <c r="AB53" s="456"/>
      <c r="AC53" s="456"/>
      <c r="AD53" s="456"/>
      <c r="AE53" s="456"/>
      <c r="AF53" s="456"/>
      <c r="AG53" s="456"/>
      <c r="AH53" s="456"/>
      <c r="AI53" s="456"/>
      <c r="AJ53" s="456"/>
      <c r="AK53" s="456"/>
      <c r="AM53" s="118"/>
      <c r="AN53" s="118" t="str">
        <f aca="false">IF(T53="","",T53)</f>
        <v>Добавить наименование тарифа</v>
      </c>
      <c r="AO53" s="118"/>
      <c r="AP53" s="118"/>
      <c r="AQ53" s="47"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09"/>
      <c r="T55" s="488"/>
      <c r="U55" s="488"/>
      <c r="V55" s="488"/>
      <c r="W55" s="488"/>
      <c r="X55" s="488"/>
      <c r="Y55" s="488"/>
      <c r="Z55" s="488"/>
      <c r="AA55" s="488"/>
      <c r="AB55" s="488"/>
      <c r="AC55" s="488"/>
      <c r="AD55" s="488"/>
      <c r="AE55" s="488"/>
      <c r="AF55" s="488"/>
      <c r="AG55" s="488"/>
      <c r="AH55" s="488"/>
      <c r="AI55" s="488"/>
      <c r="AJ55" s="488"/>
      <c r="AK55" s="488"/>
      <c r="AQ55" s="42" t="n">
        <v>14</v>
      </c>
    </row>
    <row r="56" customFormat="false" ht="14.25" hidden="false" customHeight="true" outlineLevel="0" collapsed="false">
      <c r="O56" s="45"/>
      <c r="AQ56" s="42" t="n">
        <v>14</v>
      </c>
    </row>
    <row r="57" customFormat="false" ht="14.25" hidden="false" customHeight="true" outlineLevel="0" collapsed="false">
      <c r="O57" s="45"/>
      <c r="S57" s="409"/>
      <c r="T57" s="488"/>
      <c r="U57" s="488"/>
      <c r="V57" s="488"/>
      <c r="W57" s="488"/>
      <c r="X57" s="488"/>
      <c r="Y57" s="488"/>
      <c r="Z57" s="488"/>
      <c r="AA57" s="488"/>
      <c r="AB57" s="488"/>
      <c r="AC57" s="488"/>
      <c r="AD57" s="488"/>
      <c r="AE57" s="488"/>
      <c r="AF57" s="488"/>
      <c r="AG57" s="488"/>
      <c r="AH57" s="488"/>
      <c r="AI57" s="488"/>
      <c r="AJ57" s="488"/>
      <c r="AK57" s="488"/>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44" t="n">
        <v>0</v>
      </c>
      <c r="M58" s="51" t="n">
        <v>0</v>
      </c>
      <c r="N58" s="51" t="n">
        <v>0</v>
      </c>
      <c r="O58" s="51" t="n">
        <v>0</v>
      </c>
      <c r="P58" s="50" t="n">
        <v>3</v>
      </c>
      <c r="Q58" s="411" t="n">
        <v>3</v>
      </c>
      <c r="R58" s="411" t="n">
        <v>3</v>
      </c>
      <c r="S58" s="75"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7" t="n">
        <v>10</v>
      </c>
      <c r="AM58" s="47" t="n">
        <v>10</v>
      </c>
      <c r="AN58" s="47" t="n">
        <v>10</v>
      </c>
      <c r="AO58" s="47" t="n">
        <v>10</v>
      </c>
      <c r="AP58" s="47"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4.14"/>
    <col collapsed="false" customWidth="true" hidden="true" outlineLevel="0" max="10" min="10" style="45" width="9.85"/>
    <col collapsed="false" customWidth="true" hidden="true" outlineLevel="0" max="11" min="11" style="45" width="14.71"/>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
    <col collapsed="false" customWidth="true" hidden="false" outlineLevel="0" max="18" min="17" style="411" width="3"/>
    <col collapsed="false" customWidth="true" hidden="false" outlineLevel="0" max="19" min="19" style="75" width="12"/>
    <col collapsed="false" customWidth="true" hidden="false" outlineLevel="0" max="20" min="20" style="42" width="35"/>
    <col collapsed="false" customWidth="true" hidden="false" outlineLevel="0" max="21" min="21" style="42" width="0.14"/>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7"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2"/>
      <c r="B2" s="412"/>
      <c r="C2" s="412"/>
      <c r="D2" s="412"/>
      <c r="E2" s="413" t="n">
        <v>1</v>
      </c>
      <c r="F2" s="412"/>
      <c r="G2" s="412"/>
      <c r="H2" s="412"/>
      <c r="I2" s="412"/>
      <c r="J2" s="412"/>
      <c r="K2" s="412"/>
      <c r="L2" s="414"/>
      <c r="M2" s="40"/>
      <c r="N2" s="40"/>
      <c r="O2" s="40"/>
      <c r="Q2" s="132"/>
      <c r="R2" s="415"/>
      <c r="S2" s="416" t="e">
        <f aca="false">INDEX(PT_DIFFERENTIATION_NUM_NTAR,MATCH(A2,PT_DIFFERENTIATION_NTAR_ID,0))</f>
        <v>#N/A</v>
      </c>
      <c r="T2" s="417" t="s">
        <v>138</v>
      </c>
      <c r="U2" s="418"/>
      <c r="V2" s="419"/>
      <c r="W2" s="419"/>
      <c r="X2" s="419"/>
      <c r="Y2" s="419"/>
      <c r="Z2" s="419"/>
      <c r="AA2" s="419"/>
      <c r="AB2" s="419"/>
      <c r="AC2" s="419" t="e">
        <f aca="false">INDEX(PT_DIFFERENTIATION_NTAR,MATCH(A2,PT_DIFFERENTIATION_NTAR_ID,0))</f>
        <v>#N/A</v>
      </c>
      <c r="AD2" s="419"/>
      <c r="AE2" s="419"/>
      <c r="AF2" s="419"/>
      <c r="AG2" s="419"/>
      <c r="AH2" s="419"/>
      <c r="AI2" s="419"/>
      <c r="AJ2" s="419"/>
      <c r="AK2" s="42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8"/>
      <c r="AN2" s="118" t="str">
        <f aca="false">IF(T2="","",T2)</f>
        <v>Наименование тарифа</v>
      </c>
      <c r="AO2" s="118"/>
      <c r="AP2" s="118"/>
      <c r="AQ2" s="42" t="n">
        <v>0</v>
      </c>
    </row>
    <row r="3" customFormat="false" ht="23.25" hidden="true" customHeight="true" outlineLevel="0" collapsed="false">
      <c r="A3" s="412"/>
      <c r="B3" s="412"/>
      <c r="C3" s="412"/>
      <c r="D3" s="412"/>
      <c r="E3" s="413"/>
      <c r="F3" s="413" t="n">
        <v>1</v>
      </c>
      <c r="G3" s="412"/>
      <c r="H3" s="412"/>
      <c r="I3" s="412"/>
      <c r="J3" s="412"/>
      <c r="K3" s="412"/>
      <c r="L3" s="414"/>
      <c r="M3" s="40"/>
      <c r="N3" s="40"/>
      <c r="O3" s="40"/>
      <c r="P3" s="43"/>
      <c r="Q3" s="422"/>
      <c r="R3" s="423"/>
      <c r="S3" s="416" t="e">
        <f aca="false">INDEX(PT_DIFFERENTIATION_NUM_TER,MATCH(B3,PT_DIFFERENTIATION_TER_ID,0))</f>
        <v>#N/A</v>
      </c>
      <c r="T3" s="424" t="s">
        <v>410</v>
      </c>
      <c r="U3" s="418"/>
      <c r="V3" s="419"/>
      <c r="W3" s="419"/>
      <c r="X3" s="419"/>
      <c r="Y3" s="419"/>
      <c r="Z3" s="419"/>
      <c r="AA3" s="419"/>
      <c r="AB3" s="419"/>
      <c r="AC3" s="419" t="e">
        <f aca="false">INDEX(PT_DIFFERENTIATION_TER,MATCH(B3,PT_DIFFERENTIATION_TER_ID,0))</f>
        <v>#N/A</v>
      </c>
      <c r="AD3" s="419"/>
      <c r="AE3" s="419"/>
      <c r="AF3" s="419"/>
      <c r="AG3" s="419"/>
      <c r="AH3" s="419"/>
      <c r="AI3" s="419"/>
      <c r="AJ3" s="419"/>
      <c r="AK3" s="421" t="s">
        <v>411</v>
      </c>
      <c r="AM3" s="118"/>
      <c r="AN3" s="118" t="str">
        <f aca="false">IF(T3="","",T3)</f>
        <v>Территория действия тарифа</v>
      </c>
      <c r="AO3" s="118"/>
      <c r="AP3" s="118"/>
      <c r="AQ3" s="42" t="n">
        <v>0</v>
      </c>
    </row>
    <row r="4" customFormat="false" ht="23.25" hidden="true" customHeight="true" outlineLevel="0" collapsed="false">
      <c r="A4" s="412"/>
      <c r="B4" s="412"/>
      <c r="C4" s="412"/>
      <c r="D4" s="412"/>
      <c r="E4" s="413"/>
      <c r="F4" s="413"/>
      <c r="G4" s="413" t="n">
        <v>1</v>
      </c>
      <c r="H4" s="412"/>
      <c r="I4" s="412"/>
      <c r="J4" s="412"/>
      <c r="K4" s="412"/>
      <c r="L4" s="414"/>
      <c r="M4" s="40"/>
      <c r="N4" s="40"/>
      <c r="O4" s="40"/>
      <c r="P4" s="425"/>
      <c r="Q4" s="422"/>
      <c r="R4" s="423"/>
      <c r="S4" s="416" t="e">
        <f aca="false">INDEX(PT_DIFFERENTIATION_NUM_CS,MATCH(C4,PT_DIFFERENTIATION_CS_ID,0))</f>
        <v>#N/A</v>
      </c>
      <c r="T4" s="426" t="s">
        <v>494</v>
      </c>
      <c r="U4" s="418"/>
      <c r="V4" s="419"/>
      <c r="W4" s="419"/>
      <c r="X4" s="419"/>
      <c r="Y4" s="419"/>
      <c r="Z4" s="419"/>
      <c r="AA4" s="419"/>
      <c r="AB4" s="419"/>
      <c r="AC4" s="419" t="e">
        <f aca="false">INDEX(PT_DIFFERENTIATION_CS,MATCH(C4,PT_DIFFERENTIATION_CS_ID,0))</f>
        <v>#N/A</v>
      </c>
      <c r="AD4" s="419"/>
      <c r="AE4" s="419"/>
      <c r="AF4" s="419"/>
      <c r="AG4" s="419"/>
      <c r="AH4" s="419"/>
      <c r="AI4" s="419"/>
      <c r="AJ4" s="419"/>
      <c r="AK4" s="421" t="s">
        <v>495</v>
      </c>
      <c r="AM4" s="118"/>
      <c r="AN4" s="118" t="str">
        <f aca="false">IF(T4="","",T4)</f>
        <v>Наименование централизованной системы холодного водоснабжения</v>
      </c>
      <c r="AO4" s="118"/>
      <c r="AP4" s="118"/>
      <c r="AQ4" s="42" t="n">
        <v>0</v>
      </c>
    </row>
    <row r="5" customFormat="false" ht="23.25" hidden="true" customHeight="true" outlineLevel="0" collapsed="false">
      <c r="A5" s="412"/>
      <c r="B5" s="412"/>
      <c r="C5" s="412"/>
      <c r="D5" s="412"/>
      <c r="E5" s="413"/>
      <c r="F5" s="413"/>
      <c r="G5" s="413"/>
      <c r="H5" s="571"/>
      <c r="I5" s="428" t="e">
        <f aca="false">S4&amp;".1"</f>
        <v>#N/A</v>
      </c>
      <c r="J5" s="412"/>
      <c r="K5" s="412"/>
      <c r="L5" s="414"/>
      <c r="P5" s="121" t="n">
        <v>1</v>
      </c>
      <c r="Q5" s="121"/>
      <c r="R5" s="429"/>
      <c r="S5" s="416" t="e">
        <f aca="false">$I5</f>
        <v>#N/A</v>
      </c>
      <c r="T5" s="430" t="s">
        <v>496</v>
      </c>
      <c r="U5" s="418"/>
      <c r="V5" s="572"/>
      <c r="W5" s="572"/>
      <c r="X5" s="572"/>
      <c r="Y5" s="572"/>
      <c r="Z5" s="572"/>
      <c r="AA5" s="572"/>
      <c r="AB5" s="572"/>
      <c r="AC5" s="334"/>
      <c r="AD5" s="334"/>
      <c r="AE5" s="334"/>
      <c r="AF5" s="334"/>
      <c r="AG5" s="334"/>
      <c r="AH5" s="334"/>
      <c r="AI5" s="334"/>
      <c r="AJ5" s="334"/>
      <c r="AK5" s="421" t="s">
        <v>497</v>
      </c>
      <c r="AM5" s="118"/>
      <c r="AN5" s="118" t="str">
        <f aca="false">IF(T5="","",T5)</f>
        <v>Наименование признака дифференциации</v>
      </c>
      <c r="AO5" s="118"/>
      <c r="AP5" s="118"/>
      <c r="AQ5" s="42" t="n">
        <v>0</v>
      </c>
    </row>
    <row r="6" customFormat="false" ht="23.25" hidden="true" customHeight="true" outlineLevel="0" collapsed="false">
      <c r="A6" s="412"/>
      <c r="B6" s="412"/>
      <c r="C6" s="412"/>
      <c r="D6" s="412"/>
      <c r="E6" s="413"/>
      <c r="F6" s="413"/>
      <c r="G6" s="413"/>
      <c r="H6" s="413"/>
      <c r="I6" s="428"/>
      <c r="J6" s="428" t="e">
        <f aca="false">I5&amp;".1"</f>
        <v>#N/A</v>
      </c>
      <c r="K6" s="412"/>
      <c r="L6" s="414" t="s">
        <v>419</v>
      </c>
      <c r="P6" s="121"/>
      <c r="Q6" s="121" t="n">
        <v>1</v>
      </c>
      <c r="R6" s="432"/>
      <c r="S6" s="416" t="e">
        <f aca="false">$J6</f>
        <v>#N/A</v>
      </c>
      <c r="T6" s="433" t="s">
        <v>420</v>
      </c>
      <c r="U6" s="418"/>
      <c r="V6" s="431"/>
      <c r="W6" s="431"/>
      <c r="X6" s="431"/>
      <c r="Y6" s="431"/>
      <c r="Z6" s="431"/>
      <c r="AA6" s="431"/>
      <c r="AB6" s="431"/>
      <c r="AC6" s="431"/>
      <c r="AD6" s="431"/>
      <c r="AE6" s="431"/>
      <c r="AF6" s="431"/>
      <c r="AG6" s="431"/>
      <c r="AH6" s="431"/>
      <c r="AI6" s="431"/>
      <c r="AJ6" s="431"/>
      <c r="AK6" s="523" t="s">
        <v>498</v>
      </c>
      <c r="AM6" s="118"/>
      <c r="AN6" s="118" t="str">
        <f aca="false">IF(T6="","",T6)</f>
        <v>Группа потребителей</v>
      </c>
      <c r="AO6" s="118"/>
      <c r="AP6" s="118"/>
      <c r="AQ6" s="42" t="n">
        <v>0</v>
      </c>
    </row>
    <row r="7" customFormat="false" ht="23.25" hidden="true" customHeight="true" outlineLevel="0" collapsed="false">
      <c r="A7" s="412"/>
      <c r="B7" s="412"/>
      <c r="C7" s="412"/>
      <c r="D7" s="412"/>
      <c r="E7" s="413"/>
      <c r="F7" s="413"/>
      <c r="G7" s="413"/>
      <c r="H7" s="413"/>
      <c r="I7" s="428"/>
      <c r="J7" s="428"/>
      <c r="K7" s="428" t="e">
        <f aca="false">J6&amp;".1"</f>
        <v>#N/A</v>
      </c>
      <c r="L7" s="414"/>
      <c r="P7" s="121"/>
      <c r="Q7" s="121"/>
      <c r="R7" s="432" t="n">
        <v>1</v>
      </c>
      <c r="S7" s="416" t="e">
        <f aca="false">$K7</f>
        <v>#N/A</v>
      </c>
      <c r="T7" s="573"/>
      <c r="U7" s="418"/>
      <c r="V7" s="435"/>
      <c r="W7" s="435"/>
      <c r="X7" s="437"/>
      <c r="Y7" s="438"/>
      <c r="Z7" s="204" t="s">
        <v>61</v>
      </c>
      <c r="AA7" s="438"/>
      <c r="AB7" s="204" t="s">
        <v>61</v>
      </c>
      <c r="AC7" s="435"/>
      <c r="AD7" s="435"/>
      <c r="AE7" s="437"/>
      <c r="AF7" s="438"/>
      <c r="AG7" s="204" t="s">
        <v>61</v>
      </c>
      <c r="AH7" s="438"/>
      <c r="AI7" s="204" t="s">
        <v>61</v>
      </c>
      <c r="AJ7" s="574"/>
      <c r="AK7" s="57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7" t="e">
        <f aca="false">strcheckdate(V8:AJ8)</f>
        <v>#NAME?</v>
      </c>
      <c r="AM7" s="118"/>
      <c r="AN7" s="118" t="str">
        <f aca="false">IF(T7="","",T7)</f>
        <v/>
      </c>
      <c r="AO7" s="118"/>
      <c r="AP7" s="118"/>
      <c r="AQ7" s="42" t="n">
        <v>0</v>
      </c>
    </row>
    <row r="8" customFormat="false" ht="14.25" hidden="true" customHeight="true" outlineLevel="0" collapsed="false">
      <c r="A8" s="412"/>
      <c r="B8" s="412"/>
      <c r="C8" s="412"/>
      <c r="D8" s="412"/>
      <c r="E8" s="413"/>
      <c r="F8" s="413"/>
      <c r="G8" s="413"/>
      <c r="H8" s="413"/>
      <c r="I8" s="428"/>
      <c r="J8" s="428"/>
      <c r="K8" s="428"/>
      <c r="L8" s="414"/>
      <c r="P8" s="121"/>
      <c r="Q8" s="121"/>
      <c r="R8" s="432"/>
      <c r="S8" s="393"/>
      <c r="T8" s="418"/>
      <c r="U8" s="418"/>
      <c r="V8" s="436"/>
      <c r="W8" s="436"/>
      <c r="X8" s="440" t="str">
        <f aca="false">Y7&amp;"-"&amp;AA7</f>
        <v>-</v>
      </c>
      <c r="Y8" s="438"/>
      <c r="Z8" s="204"/>
      <c r="AA8" s="438"/>
      <c r="AB8" s="204"/>
      <c r="AC8" s="436"/>
      <c r="AD8" s="436"/>
      <c r="AE8" s="440" t="str">
        <f aca="false">AF7&amp;"-"&amp;AH7</f>
        <v>-</v>
      </c>
      <c r="AF8" s="438"/>
      <c r="AG8" s="204"/>
      <c r="AH8" s="438"/>
      <c r="AI8" s="204"/>
      <c r="AJ8" s="576"/>
      <c r="AK8" s="575"/>
      <c r="AM8" s="118"/>
      <c r="AN8" s="118" t="str">
        <f aca="false">IF(T8="","",T8)</f>
        <v/>
      </c>
      <c r="AO8" s="118"/>
      <c r="AP8" s="118"/>
      <c r="AQ8" s="42" t="n">
        <v>0</v>
      </c>
    </row>
    <row r="9" customFormat="false" ht="21" hidden="true" customHeight="true" outlineLevel="0" collapsed="false">
      <c r="A9" s="412"/>
      <c r="B9" s="412"/>
      <c r="C9" s="412"/>
      <c r="D9" s="412"/>
      <c r="E9" s="413"/>
      <c r="F9" s="413"/>
      <c r="G9" s="413"/>
      <c r="H9" s="413"/>
      <c r="I9" s="428"/>
      <c r="J9" s="428"/>
      <c r="K9" s="412"/>
      <c r="L9" s="414"/>
      <c r="P9" s="121"/>
      <c r="Q9" s="121"/>
      <c r="R9" s="429"/>
      <c r="S9" s="441"/>
      <c r="T9" s="444" t="s">
        <v>499</v>
      </c>
      <c r="U9" s="194"/>
      <c r="V9" s="194"/>
      <c r="W9" s="194"/>
      <c r="X9" s="194"/>
      <c r="Y9" s="194"/>
      <c r="Z9" s="194"/>
      <c r="AA9" s="194"/>
      <c r="AB9" s="194"/>
      <c r="AC9" s="194"/>
      <c r="AD9" s="194"/>
      <c r="AE9" s="194"/>
      <c r="AF9" s="194"/>
      <c r="AG9" s="194"/>
      <c r="AH9" s="194"/>
      <c r="AI9" s="194"/>
      <c r="AJ9" s="194"/>
      <c r="AK9" s="421" t="s">
        <v>500</v>
      </c>
      <c r="AM9" s="118"/>
      <c r="AN9" s="118" t="str">
        <f aca="false">IF(T9="","",T9)</f>
        <v>Добавить значение признака дифференциации</v>
      </c>
      <c r="AO9" s="118"/>
      <c r="AP9" s="118"/>
      <c r="AQ9" s="42" t="n">
        <v>0</v>
      </c>
    </row>
    <row r="10" customFormat="false" ht="21" hidden="true" customHeight="true" outlineLevel="0" collapsed="false">
      <c r="A10" s="412"/>
      <c r="B10" s="412"/>
      <c r="C10" s="412"/>
      <c r="D10" s="412"/>
      <c r="E10" s="413"/>
      <c r="F10" s="413"/>
      <c r="G10" s="413"/>
      <c r="H10" s="413"/>
      <c r="I10" s="428"/>
      <c r="J10" s="412"/>
      <c r="K10" s="412"/>
      <c r="L10" s="414"/>
      <c r="P10" s="121"/>
      <c r="Q10" s="121"/>
      <c r="R10" s="429"/>
      <c r="S10" s="441"/>
      <c r="T10" s="448" t="s">
        <v>425</v>
      </c>
      <c r="U10" s="194"/>
      <c r="V10" s="194"/>
      <c r="W10" s="194"/>
      <c r="X10" s="194"/>
      <c r="Y10" s="194"/>
      <c r="Z10" s="194"/>
      <c r="AA10" s="194"/>
      <c r="AB10" s="445"/>
      <c r="AC10" s="194"/>
      <c r="AD10" s="194"/>
      <c r="AE10" s="194"/>
      <c r="AF10" s="194"/>
      <c r="AG10" s="194"/>
      <c r="AH10" s="194"/>
      <c r="AI10" s="445"/>
      <c r="AJ10" s="194"/>
      <c r="AK10" s="577"/>
      <c r="AM10" s="118"/>
      <c r="AN10" s="118" t="str">
        <f aca="false">IF(T10="","",T10)</f>
        <v>Добавить группу потребителей</v>
      </c>
      <c r="AO10" s="118"/>
      <c r="AP10" s="118"/>
      <c r="AQ10" s="42" t="n">
        <v>0</v>
      </c>
    </row>
    <row r="11" customFormat="false" ht="21" hidden="true" customHeight="true" outlineLevel="0" collapsed="false">
      <c r="A11" s="412"/>
      <c r="B11" s="412"/>
      <c r="C11" s="412"/>
      <c r="D11" s="412"/>
      <c r="E11" s="413"/>
      <c r="F11" s="413"/>
      <c r="G11" s="413"/>
      <c r="H11" s="571"/>
      <c r="I11" s="412"/>
      <c r="J11" s="412"/>
      <c r="K11" s="412"/>
      <c r="L11" s="414"/>
      <c r="M11" s="40"/>
      <c r="N11" s="40"/>
      <c r="O11" s="45"/>
      <c r="P11" s="132"/>
      <c r="Q11" s="447"/>
      <c r="R11" s="415"/>
      <c r="S11" s="441"/>
      <c r="T11" s="578" t="s">
        <v>501</v>
      </c>
      <c r="U11" s="194"/>
      <c r="V11" s="194"/>
      <c r="W11" s="194"/>
      <c r="X11" s="194"/>
      <c r="Y11" s="194"/>
      <c r="Z11" s="194"/>
      <c r="AA11" s="194"/>
      <c r="AB11" s="445"/>
      <c r="AC11" s="194"/>
      <c r="AD11" s="194"/>
      <c r="AE11" s="194"/>
      <c r="AF11" s="194"/>
      <c r="AG11" s="194"/>
      <c r="AH11" s="194"/>
      <c r="AI11" s="445"/>
      <c r="AJ11" s="194"/>
      <c r="AK11" s="446"/>
      <c r="AM11" s="118"/>
      <c r="AN11" s="118" t="str">
        <f aca="false">IF(T11="","",T11)</f>
        <v>Добавить наименование признака дифференциации</v>
      </c>
      <c r="AO11" s="118"/>
      <c r="AP11" s="118"/>
      <c r="AQ11" s="42" t="n">
        <v>0</v>
      </c>
    </row>
    <row r="12" s="47" customFormat="true" ht="14.25" hidden="true" customHeight="true" outlineLevel="0" collapsed="false">
      <c r="A12" s="122"/>
      <c r="B12" s="122"/>
      <c r="C12" s="122"/>
      <c r="D12" s="122"/>
      <c r="E12" s="413"/>
      <c r="F12" s="413"/>
      <c r="G12" s="122"/>
      <c r="H12" s="122"/>
      <c r="I12" s="122"/>
      <c r="J12" s="122"/>
      <c r="K12" s="122"/>
      <c r="L12" s="192"/>
      <c r="M12" s="453"/>
      <c r="N12" s="453"/>
      <c r="P12" s="156"/>
      <c r="Q12" s="449"/>
      <c r="R12" s="156"/>
      <c r="S12" s="454"/>
      <c r="T12" s="457" t="s">
        <v>428</v>
      </c>
      <c r="U12" s="456"/>
      <c r="V12" s="456"/>
      <c r="W12" s="456"/>
      <c r="X12" s="456"/>
      <c r="Y12" s="456"/>
      <c r="Z12" s="456"/>
      <c r="AA12" s="456"/>
      <c r="AB12" s="456"/>
      <c r="AC12" s="456"/>
      <c r="AD12" s="456"/>
      <c r="AE12" s="456"/>
      <c r="AF12" s="456"/>
      <c r="AG12" s="456"/>
      <c r="AH12" s="456"/>
      <c r="AI12" s="456"/>
      <c r="AJ12" s="456"/>
      <c r="AK12" s="456"/>
      <c r="AM12" s="118"/>
      <c r="AN12" s="118" t="str">
        <f aca="false">IF(T12="","",T12)</f>
        <v>Добавить централизованную систему для дифференциации</v>
      </c>
      <c r="AO12" s="118"/>
      <c r="AP12" s="118"/>
      <c r="AQ12" s="47" t="n">
        <v>0</v>
      </c>
    </row>
    <row r="13" s="47" customFormat="true" ht="14.25" hidden="true" customHeight="true" outlineLevel="0" collapsed="false">
      <c r="A13" s="122"/>
      <c r="B13" s="122"/>
      <c r="C13" s="122"/>
      <c r="D13" s="122"/>
      <c r="E13" s="413"/>
      <c r="F13" s="122"/>
      <c r="G13" s="122"/>
      <c r="H13" s="122"/>
      <c r="I13" s="122"/>
      <c r="J13" s="122"/>
      <c r="K13" s="122"/>
      <c r="L13" s="192"/>
      <c r="M13" s="453"/>
      <c r="N13" s="453"/>
      <c r="P13" s="156"/>
      <c r="Q13" s="449"/>
      <c r="R13" s="156"/>
      <c r="S13" s="454"/>
      <c r="T13" s="457" t="s">
        <v>429</v>
      </c>
      <c r="U13" s="456"/>
      <c r="V13" s="456"/>
      <c r="W13" s="456"/>
      <c r="X13" s="456"/>
      <c r="Y13" s="456"/>
      <c r="Z13" s="456"/>
      <c r="AA13" s="456"/>
      <c r="AB13" s="456"/>
      <c r="AC13" s="456"/>
      <c r="AD13" s="456"/>
      <c r="AE13" s="456"/>
      <c r="AF13" s="456"/>
      <c r="AG13" s="456"/>
      <c r="AH13" s="456"/>
      <c r="AI13" s="456"/>
      <c r="AJ13" s="456"/>
      <c r="AK13" s="456"/>
      <c r="AM13" s="118"/>
      <c r="AN13" s="118" t="str">
        <f aca="false">IF(T13="","",T13)</f>
        <v>Добавить территорию для дифференциации</v>
      </c>
      <c r="AO13" s="118"/>
      <c r="AP13" s="118"/>
      <c r="AQ13" s="47" t="n">
        <v>0</v>
      </c>
    </row>
    <row r="14" customFormat="false" ht="14.25" hidden="true" customHeight="true" outlineLevel="0" collapsed="false">
      <c r="AQ14" s="42" t="n">
        <v>0</v>
      </c>
    </row>
    <row r="15" customFormat="false" ht="14.25" hidden="true" customHeight="true" outlineLevel="0" collapsed="false">
      <c r="AC15" s="458"/>
      <c r="AD15" s="458"/>
      <c r="AE15" s="459"/>
      <c r="AF15" s="460"/>
      <c r="AG15" s="461" t="s">
        <v>61</v>
      </c>
      <c r="AH15" s="460"/>
      <c r="AI15" s="461" t="s">
        <v>61</v>
      </c>
      <c r="AQ15" s="42" t="n">
        <v>0</v>
      </c>
    </row>
    <row r="16" customFormat="false" ht="14.25" hidden="true" customHeight="true" outlineLevel="0" collapsed="false">
      <c r="AC16" s="458"/>
      <c r="AD16" s="458"/>
      <c r="AE16" s="440" t="str">
        <f aca="false">AF15&amp;"-"&amp;AH15</f>
        <v>-</v>
      </c>
      <c r="AF16" s="460"/>
      <c r="AG16" s="460"/>
      <c r="AH16" s="460"/>
      <c r="AI16" s="460"/>
      <c r="AQ16" s="42" t="n">
        <v>0</v>
      </c>
    </row>
    <row r="17" customFormat="false" ht="14.25" hidden="true" customHeight="true" outlineLevel="0" collapsed="false">
      <c r="AQ17" s="42" t="n">
        <v>0</v>
      </c>
    </row>
    <row r="18" s="45" customFormat="true" ht="22.5" hidden="true" customHeight="true" outlineLevel="0" collapsed="false">
      <c r="L18" s="44"/>
      <c r="M18" s="51"/>
      <c r="N18" s="51"/>
      <c r="O18" s="462" t="s">
        <v>430</v>
      </c>
      <c r="P18" s="51"/>
      <c r="Q18" s="463"/>
      <c r="R18" s="463"/>
      <c r="S18" s="40"/>
      <c r="Y18" s="462"/>
      <c r="AA18" s="462"/>
      <c r="AF18" s="462"/>
      <c r="AH18" s="462"/>
      <c r="AL18" s="47"/>
      <c r="AM18" s="47"/>
      <c r="AN18" s="47"/>
      <c r="AO18" s="47"/>
      <c r="AP18" s="47"/>
      <c r="AQ18" s="45" t="n">
        <v>0</v>
      </c>
    </row>
    <row r="19" s="45" customFormat="true" ht="14.25" hidden="true" customHeight="true" outlineLevel="0" collapsed="false">
      <c r="L19" s="44"/>
      <c r="M19" s="51"/>
      <c r="N19" s="51"/>
      <c r="O19" s="51"/>
      <c r="P19" s="51"/>
      <c r="Q19" s="463"/>
      <c r="R19" s="463"/>
      <c r="S19" s="40"/>
      <c r="AL19" s="47"/>
      <c r="AM19" s="47"/>
      <c r="AN19" s="47"/>
      <c r="AO19" s="47"/>
      <c r="AP19" s="47"/>
      <c r="AQ19" s="45" t="n">
        <v>0</v>
      </c>
    </row>
    <row r="20" s="45" customFormat="true" ht="12" hidden="true" customHeight="true" outlineLevel="0" collapsed="false">
      <c r="L20" s="44"/>
      <c r="M20" s="51"/>
      <c r="N20" s="51"/>
      <c r="O20" s="414" t="s">
        <v>431</v>
      </c>
      <c r="P20" s="51"/>
      <c r="Q20" s="579"/>
      <c r="R20" s="579"/>
      <c r="S20" s="40"/>
      <c r="T20" s="45" t="s">
        <v>432</v>
      </c>
      <c r="Z20" s="140" t="s">
        <v>433</v>
      </c>
      <c r="AB20" s="140" t="s">
        <v>434</v>
      </c>
      <c r="AC20" s="45" t="s">
        <v>432</v>
      </c>
      <c r="AG20" s="140" t="s">
        <v>435</v>
      </c>
      <c r="AI20" s="140" t="s">
        <v>434</v>
      </c>
      <c r="AQ20" s="45" t="n">
        <v>0</v>
      </c>
    </row>
    <row r="21" customFormat="false" ht="14.25" hidden="true" customHeight="true" outlineLevel="0" collapsed="false">
      <c r="O21" s="414"/>
      <c r="AQ21" s="42" t="n">
        <v>0</v>
      </c>
    </row>
    <row r="22" customFormat="false" ht="14.25" hidden="true" customHeight="true" outlineLevel="0" collapsed="false">
      <c r="O22" s="414"/>
      <c r="AQ22" s="42" t="n">
        <v>0</v>
      </c>
    </row>
    <row r="23" customFormat="false" ht="14.25" hidden="false" customHeight="true" outlineLevel="0" collapsed="false">
      <c r="Q23" s="464"/>
      <c r="R23" s="464"/>
      <c r="S23" s="465"/>
      <c r="T23" s="80"/>
      <c r="U23" s="80"/>
      <c r="AQ23" s="42" t="n">
        <v>14</v>
      </c>
    </row>
    <row r="24" customFormat="false" ht="14.25" hidden="false" customHeight="true" outlineLevel="0" collapsed="false">
      <c r="Q24" s="464"/>
      <c r="R24" s="46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64"/>
      <c r="R25" s="464"/>
      <c r="S25" s="261" t="str">
        <f aca="false">IF(org=0,"Не определено",org)</f>
        <v>ООО "Газпром теплоэнерго Ярославль"</v>
      </c>
      <c r="T25" s="261"/>
      <c r="U25" s="261"/>
      <c r="V25" s="261"/>
      <c r="W25" s="261"/>
      <c r="X25" s="261"/>
      <c r="Y25" s="261"/>
      <c r="Z25" s="261"/>
      <c r="AA25" s="261"/>
      <c r="AB25" s="261"/>
      <c r="AC25" s="261"/>
      <c r="AD25" s="261"/>
      <c r="AE25" s="261"/>
      <c r="AF25" s="261"/>
      <c r="AG25" s="261"/>
      <c r="AH25" s="261"/>
      <c r="AI25" s="222"/>
      <c r="AQ25" s="42" t="n">
        <v>14</v>
      </c>
    </row>
    <row r="26" customFormat="false" ht="14.25" hidden="true" customHeight="true" outlineLevel="0" collapsed="false">
      <c r="Q26" s="464"/>
      <c r="R26" s="464"/>
      <c r="S26" s="465"/>
      <c r="T26" s="80"/>
      <c r="U26" s="80"/>
      <c r="V26" s="466"/>
      <c r="W26" s="466"/>
      <c r="X26" s="466"/>
      <c r="Y26" s="466"/>
      <c r="Z26" s="466"/>
      <c r="AA26" s="466"/>
      <c r="AB26" s="466"/>
      <c r="AC26" s="466"/>
      <c r="AD26" s="466"/>
      <c r="AE26" s="466"/>
      <c r="AF26" s="466"/>
      <c r="AG26" s="466"/>
      <c r="AH26" s="466"/>
      <c r="AI26" s="466"/>
      <c r="AQ26" s="42" t="n">
        <v>0</v>
      </c>
    </row>
    <row r="27" s="175" customFormat="true" ht="25.5" hidden="true" customHeight="true" outlineLevel="0" collapsed="false">
      <c r="A27" s="140"/>
      <c r="B27" s="140"/>
      <c r="C27" s="140"/>
      <c r="D27" s="140"/>
      <c r="E27" s="140"/>
      <c r="F27" s="140"/>
      <c r="G27" s="140"/>
      <c r="H27" s="140"/>
      <c r="I27" s="140"/>
      <c r="J27" s="140"/>
      <c r="K27" s="140"/>
      <c r="L27" s="414"/>
      <c r="M27" s="140"/>
      <c r="N27" s="140"/>
      <c r="O27" s="140"/>
      <c r="S27" s="467" t="s">
        <v>40</v>
      </c>
      <c r="T27" s="467"/>
      <c r="U27" s="468"/>
      <c r="V27" s="469" t="str">
        <f aca="false">IF(TITLE_NAME_OR_PR_CHANGE="",IF(TITLE_NAME_OR_PR="","",TITLE_NAME_OR_PR),TITLE_NAME_OR_PR_CHANGE)</f>
        <v/>
      </c>
      <c r="W27" s="469"/>
      <c r="X27" s="469"/>
      <c r="Y27" s="469"/>
      <c r="Z27" s="469"/>
      <c r="AA27" s="469"/>
      <c r="AB27" s="42"/>
      <c r="AC27" s="469" t="str">
        <f aca="false">IF(TITLE_NAME_OR_PR_CHANGE="",IF(TITLE_NAME_OR_PR="","",TITLE_NAME_OR_PR),TITLE_NAME_OR_PR_CHANGE)</f>
        <v/>
      </c>
      <c r="AD27" s="469"/>
      <c r="AE27" s="469"/>
      <c r="AF27" s="469"/>
      <c r="AG27" s="469"/>
      <c r="AH27" s="469"/>
      <c r="AI27" s="42"/>
      <c r="AJ27" s="42"/>
      <c r="AK27" s="470"/>
      <c r="AL27" s="118"/>
      <c r="AM27" s="118"/>
      <c r="AN27" s="118"/>
      <c r="AO27" s="118"/>
      <c r="AP27" s="118"/>
      <c r="AQ27" s="175" t="n">
        <v>0</v>
      </c>
    </row>
    <row r="28" s="175" customFormat="true" ht="18.75" hidden="true" customHeight="true" outlineLevel="0" collapsed="false">
      <c r="A28" s="140"/>
      <c r="B28" s="140"/>
      <c r="C28" s="140"/>
      <c r="D28" s="140"/>
      <c r="E28" s="140"/>
      <c r="F28" s="140"/>
      <c r="G28" s="140"/>
      <c r="H28" s="140"/>
      <c r="I28" s="140"/>
      <c r="J28" s="140"/>
      <c r="K28" s="140"/>
      <c r="L28" s="414"/>
      <c r="M28" s="140"/>
      <c r="N28" s="140"/>
      <c r="O28" s="140"/>
      <c r="S28" s="467" t="s">
        <v>436</v>
      </c>
      <c r="T28" s="467"/>
      <c r="U28" s="468"/>
      <c r="V28" s="471" t="str">
        <f aca="false">IF(TITLE_DATE_PR_CHANGE="",IF(TITLE_DATE_PR="","",TITLE_DATE_PR),TITLE_DATE_PR_CHANGE)</f>
        <v/>
      </c>
      <c r="W28" s="471"/>
      <c r="X28" s="471"/>
      <c r="Y28" s="471"/>
      <c r="Z28" s="471"/>
      <c r="AA28" s="471"/>
      <c r="AB28" s="42"/>
      <c r="AC28" s="471" t="str">
        <f aca="false">IF(TITLE_DATE_PR_CHANGE="",IF(TITLE_DATE_PR="","",TITLE_DATE_PR),TITLE_DATE_PR_CHANGE)</f>
        <v/>
      </c>
      <c r="AD28" s="471"/>
      <c r="AE28" s="471"/>
      <c r="AF28" s="471"/>
      <c r="AG28" s="471"/>
      <c r="AH28" s="471"/>
      <c r="AI28" s="42"/>
      <c r="AJ28" s="42"/>
      <c r="AK28" s="470"/>
      <c r="AL28" s="118"/>
      <c r="AM28" s="118"/>
      <c r="AN28" s="118"/>
      <c r="AO28" s="118"/>
      <c r="AP28" s="118"/>
      <c r="AQ28" s="175" t="n">
        <v>0</v>
      </c>
    </row>
    <row r="29" s="175" customFormat="true" ht="18.75" hidden="true" customHeight="true" outlineLevel="0" collapsed="false">
      <c r="A29" s="140"/>
      <c r="B29" s="140"/>
      <c r="C29" s="140"/>
      <c r="D29" s="140"/>
      <c r="E29" s="140"/>
      <c r="F29" s="140"/>
      <c r="G29" s="140"/>
      <c r="H29" s="140"/>
      <c r="I29" s="140"/>
      <c r="J29" s="140"/>
      <c r="K29" s="140"/>
      <c r="L29" s="414"/>
      <c r="M29" s="140"/>
      <c r="N29" s="140"/>
      <c r="O29" s="140"/>
      <c r="S29" s="467" t="s">
        <v>437</v>
      </c>
      <c r="T29" s="467"/>
      <c r="U29" s="468"/>
      <c r="V29" s="469" t="str">
        <f aca="false">IF(TITLE_NUMBER_PR_CHANGE="",IF(TITLE_NUMBER_PR="","",TITLE_NUMBER_PR),TITLE_NUMBER_PR_CHANGE)</f>
        <v/>
      </c>
      <c r="W29" s="469"/>
      <c r="X29" s="469"/>
      <c r="Y29" s="469"/>
      <c r="Z29" s="469"/>
      <c r="AA29" s="469"/>
      <c r="AB29" s="42"/>
      <c r="AC29" s="469" t="str">
        <f aca="false">IF(TITLE_NUMBER_PR_CHANGE="",IF(TITLE_NUMBER_PR="","",TITLE_NUMBER_PR),TITLE_NUMBER_PR_CHANGE)</f>
        <v/>
      </c>
      <c r="AD29" s="469"/>
      <c r="AE29" s="469"/>
      <c r="AF29" s="469"/>
      <c r="AG29" s="469"/>
      <c r="AH29" s="469"/>
      <c r="AI29" s="42"/>
      <c r="AJ29" s="42"/>
      <c r="AK29" s="470"/>
      <c r="AL29" s="118"/>
      <c r="AM29" s="118"/>
      <c r="AN29" s="118"/>
      <c r="AO29" s="118"/>
      <c r="AP29" s="118"/>
      <c r="AQ29" s="175" t="n">
        <v>0</v>
      </c>
    </row>
    <row r="30" s="175" customFormat="true" ht="18.75" hidden="true" customHeight="true" outlineLevel="0" collapsed="false">
      <c r="A30" s="140"/>
      <c r="B30" s="140"/>
      <c r="C30" s="140"/>
      <c r="D30" s="140"/>
      <c r="E30" s="140"/>
      <c r="F30" s="140"/>
      <c r="G30" s="140"/>
      <c r="H30" s="140"/>
      <c r="I30" s="140"/>
      <c r="J30" s="140"/>
      <c r="K30" s="140"/>
      <c r="L30" s="414"/>
      <c r="M30" s="140"/>
      <c r="N30" s="140"/>
      <c r="O30" s="140"/>
      <c r="S30" s="467" t="s">
        <v>41</v>
      </c>
      <c r="T30" s="467"/>
      <c r="U30" s="468"/>
      <c r="V30" s="469" t="str">
        <f aca="false">IF(TITLE_IST_PUB_CHANGE="",IF(TITLE_IST_PUB="","",TITLE_IST_PUB),TITLE_IST_PUB_CHANGE)</f>
        <v/>
      </c>
      <c r="W30" s="469"/>
      <c r="X30" s="469"/>
      <c r="Y30" s="469"/>
      <c r="Z30" s="469"/>
      <c r="AA30" s="469"/>
      <c r="AB30" s="42"/>
      <c r="AC30" s="469" t="str">
        <f aca="false">IF(TITLE_IST_PUB_CHANGE="",IF(TITLE_IST_PUB="","",TITLE_IST_PUB),TITLE_IST_PUB_CHANGE)</f>
        <v/>
      </c>
      <c r="AD30" s="469"/>
      <c r="AE30" s="469"/>
      <c r="AF30" s="469"/>
      <c r="AG30" s="469"/>
      <c r="AH30" s="469"/>
      <c r="AI30" s="42"/>
      <c r="AJ30" s="42"/>
      <c r="AK30" s="470"/>
      <c r="AL30" s="118"/>
      <c r="AM30" s="118"/>
      <c r="AN30" s="118"/>
      <c r="AO30" s="118"/>
      <c r="AP30" s="118"/>
      <c r="AQ30" s="175" t="n">
        <v>0</v>
      </c>
    </row>
    <row r="31" customFormat="false" ht="14.25" hidden="true" customHeight="true" outlineLevel="0" collapsed="false">
      <c r="Q31" s="464"/>
      <c r="R31" s="464"/>
      <c r="S31" s="465"/>
      <c r="T31" s="80"/>
      <c r="U31" s="80"/>
      <c r="V31" s="466"/>
      <c r="W31" s="466"/>
      <c r="X31" s="466"/>
      <c r="Y31" s="466"/>
      <c r="Z31" s="466"/>
      <c r="AA31" s="466"/>
      <c r="AB31" s="466"/>
      <c r="AC31" s="466"/>
      <c r="AD31" s="466"/>
      <c r="AE31" s="466"/>
      <c r="AF31" s="466"/>
      <c r="AG31" s="466"/>
      <c r="AH31" s="466"/>
      <c r="AI31" s="466"/>
      <c r="AQ31" s="42" t="n">
        <v>0</v>
      </c>
    </row>
    <row r="32" s="175" customFormat="true" ht="18.75" hidden="true" customHeight="true" outlineLevel="0" collapsed="false">
      <c r="A32" s="140"/>
      <c r="B32" s="140"/>
      <c r="C32" s="140"/>
      <c r="D32" s="140"/>
      <c r="E32" s="140"/>
      <c r="F32" s="140"/>
      <c r="G32" s="140"/>
      <c r="H32" s="140"/>
      <c r="I32" s="140"/>
      <c r="J32" s="140"/>
      <c r="K32" s="140"/>
      <c r="L32" s="414"/>
      <c r="M32" s="140"/>
      <c r="N32" s="140"/>
      <c r="O32" s="140"/>
      <c r="S32" s="467" t="s">
        <v>438</v>
      </c>
      <c r="T32" s="467"/>
      <c r="U32" s="468"/>
      <c r="V32" s="471" t="str">
        <f aca="false">IF(TITLE_DATE_PR_CHANGE="",IF(TITLE_DATE_PR="","",TITLE_DATE_PR),TITLE_DATE_PR_CHANGE)</f>
        <v/>
      </c>
      <c r="W32" s="471"/>
      <c r="X32" s="471"/>
      <c r="Y32" s="471"/>
      <c r="Z32" s="471"/>
      <c r="AA32" s="471"/>
      <c r="AB32" s="42"/>
      <c r="AC32" s="471" t="str">
        <f aca="false">IF(TITLE_DATE_PR_CHANGE="",IF(TITLE_DATE_PR="","",TITLE_DATE_PR),TITLE_DATE_PR_CHANGE)</f>
        <v/>
      </c>
      <c r="AD32" s="471"/>
      <c r="AE32" s="471"/>
      <c r="AF32" s="471"/>
      <c r="AG32" s="471"/>
      <c r="AH32" s="471"/>
      <c r="AI32" s="42"/>
      <c r="AJ32" s="42"/>
      <c r="AK32" s="470"/>
      <c r="AL32" s="118"/>
      <c r="AM32" s="118"/>
      <c r="AN32" s="118"/>
      <c r="AO32" s="118"/>
      <c r="AP32" s="118"/>
      <c r="AQ32" s="175" t="n">
        <v>0</v>
      </c>
    </row>
    <row r="33" s="175" customFormat="true" ht="18.75" hidden="true" customHeight="true" outlineLevel="0" collapsed="false">
      <c r="A33" s="140"/>
      <c r="B33" s="140"/>
      <c r="C33" s="140"/>
      <c r="D33" s="140"/>
      <c r="E33" s="140"/>
      <c r="F33" s="140"/>
      <c r="G33" s="140"/>
      <c r="H33" s="140"/>
      <c r="I33" s="140"/>
      <c r="J33" s="140"/>
      <c r="K33" s="140"/>
      <c r="L33" s="414"/>
      <c r="M33" s="140"/>
      <c r="N33" s="140"/>
      <c r="O33" s="140"/>
      <c r="S33" s="467" t="s">
        <v>439</v>
      </c>
      <c r="T33" s="467"/>
      <c r="U33" s="468"/>
      <c r="V33" s="469" t="str">
        <f aca="false">IF(TITLE_NUMBER_PR_CHANGE="",IF(TITLE_NUMBER_PR="","",TITLE_NUMBER_PR),TITLE_NUMBER_PR_CHANGE)</f>
        <v/>
      </c>
      <c r="W33" s="469"/>
      <c r="X33" s="469"/>
      <c r="Y33" s="469"/>
      <c r="Z33" s="469"/>
      <c r="AA33" s="469"/>
      <c r="AB33" s="42"/>
      <c r="AC33" s="469" t="str">
        <f aca="false">IF(TITLE_NUMBER_PR_CHANGE="",IF(TITLE_NUMBER_PR="","",TITLE_NUMBER_PR),TITLE_NUMBER_PR_CHANGE)</f>
        <v/>
      </c>
      <c r="AD33" s="469"/>
      <c r="AE33" s="469"/>
      <c r="AF33" s="469"/>
      <c r="AG33" s="469"/>
      <c r="AH33" s="469"/>
      <c r="AI33" s="42"/>
      <c r="AJ33" s="42"/>
      <c r="AK33" s="470"/>
      <c r="AL33" s="118"/>
      <c r="AM33" s="118"/>
      <c r="AN33" s="118"/>
      <c r="AO33" s="118"/>
      <c r="AP33" s="118"/>
      <c r="AQ33" s="175" t="n">
        <v>0</v>
      </c>
    </row>
    <row r="34" s="175" customFormat="true" ht="0.75" hidden="false" customHeight="true" outlineLevel="0" collapsed="false">
      <c r="A34" s="140"/>
      <c r="B34" s="140"/>
      <c r="C34" s="140"/>
      <c r="D34" s="140"/>
      <c r="E34" s="140"/>
      <c r="F34" s="140"/>
      <c r="G34" s="140"/>
      <c r="H34" s="140"/>
      <c r="I34" s="140"/>
      <c r="J34" s="140"/>
      <c r="K34" s="140"/>
      <c r="L34" s="414"/>
      <c r="M34" s="140"/>
      <c r="N34" s="140"/>
      <c r="O34" s="140"/>
      <c r="S34" s="42"/>
      <c r="T34" s="42"/>
      <c r="U34" s="128"/>
      <c r="V34" s="42"/>
      <c r="W34" s="42"/>
      <c r="X34" s="42"/>
      <c r="Y34" s="42"/>
      <c r="Z34" s="42"/>
      <c r="AA34" s="42"/>
      <c r="AB34" s="47" t="s">
        <v>440</v>
      </c>
      <c r="AC34" s="42"/>
      <c r="AD34" s="42"/>
      <c r="AE34" s="42"/>
      <c r="AF34" s="42"/>
      <c r="AG34" s="42"/>
      <c r="AH34" s="42"/>
      <c r="AI34" s="47" t="s">
        <v>440</v>
      </c>
      <c r="AL34" s="118"/>
      <c r="AM34" s="118"/>
      <c r="AN34" s="118"/>
      <c r="AO34" s="118"/>
      <c r="AP34" s="118"/>
      <c r="AQ34" s="175" t="n">
        <v>1</v>
      </c>
    </row>
    <row r="35" customFormat="false" ht="14.25" hidden="false" customHeight="true" outlineLevel="0" collapsed="false">
      <c r="Q35" s="464"/>
      <c r="R35" s="464"/>
      <c r="S35" s="465"/>
      <c r="T35" s="80"/>
      <c r="U35" s="472"/>
      <c r="V35" s="473"/>
      <c r="W35" s="473"/>
      <c r="X35" s="473"/>
      <c r="Y35" s="473"/>
      <c r="Z35" s="473"/>
      <c r="AA35" s="473"/>
      <c r="AB35" s="473"/>
      <c r="AC35" s="473"/>
      <c r="AD35" s="473"/>
      <c r="AE35" s="473"/>
      <c r="AF35" s="473"/>
      <c r="AG35" s="473"/>
      <c r="AH35" s="473"/>
      <c r="AI35" s="473"/>
      <c r="AQ35" s="42" t="n">
        <v>14</v>
      </c>
    </row>
    <row r="36" customFormat="false" ht="14.25" hidden="false" customHeight="true" outlineLevel="0" collapsed="false">
      <c r="Q36" s="464"/>
      <c r="R36" s="464"/>
      <c r="S36" s="134" t="s">
        <v>313</v>
      </c>
      <c r="T36" s="134"/>
      <c r="U36" s="134"/>
      <c r="V36" s="134"/>
      <c r="W36" s="134"/>
      <c r="X36" s="134"/>
      <c r="Y36" s="134"/>
      <c r="Z36" s="134"/>
      <c r="AA36" s="134"/>
      <c r="AB36" s="134"/>
      <c r="AC36" s="134"/>
      <c r="AD36" s="134"/>
      <c r="AE36" s="134"/>
      <c r="AF36" s="134"/>
      <c r="AG36" s="134"/>
      <c r="AH36" s="134"/>
      <c r="AI36" s="134"/>
      <c r="AJ36" s="134"/>
      <c r="AK36" s="134" t="s">
        <v>314</v>
      </c>
      <c r="AQ36" s="42" t="n">
        <v>14</v>
      </c>
    </row>
    <row r="37" customFormat="false" ht="14.25" hidden="false" customHeight="true" outlineLevel="0" collapsed="false">
      <c r="Q37" s="464"/>
      <c r="R37" s="464"/>
      <c r="S37" s="474" t="s">
        <v>87</v>
      </c>
      <c r="T37" s="391" t="s">
        <v>441</v>
      </c>
      <c r="U37" s="475"/>
      <c r="V37" s="296" t="s">
        <v>442</v>
      </c>
      <c r="W37" s="296"/>
      <c r="X37" s="296"/>
      <c r="Y37" s="296"/>
      <c r="Z37" s="296"/>
      <c r="AA37" s="296"/>
      <c r="AB37" s="391" t="s">
        <v>443</v>
      </c>
      <c r="AC37" s="296" t="s">
        <v>442</v>
      </c>
      <c r="AD37" s="296"/>
      <c r="AE37" s="296"/>
      <c r="AF37" s="296"/>
      <c r="AG37" s="296"/>
      <c r="AH37" s="296"/>
      <c r="AI37" s="391" t="s">
        <v>444</v>
      </c>
      <c r="AJ37" s="476" t="s">
        <v>445</v>
      </c>
      <c r="AK37" s="134"/>
      <c r="AQ37" s="42" t="n">
        <v>14</v>
      </c>
    </row>
    <row r="38" customFormat="false" ht="35.25" hidden="false" customHeight="true" outlineLevel="0" collapsed="false">
      <c r="Q38" s="464"/>
      <c r="R38" s="464"/>
      <c r="S38" s="474"/>
      <c r="T38" s="391"/>
      <c r="U38" s="477"/>
      <c r="V38" s="262" t="s">
        <v>502</v>
      </c>
      <c r="W38" s="134" t="s">
        <v>448</v>
      </c>
      <c r="X38" s="134"/>
      <c r="Y38" s="134" t="s">
        <v>449</v>
      </c>
      <c r="Z38" s="134"/>
      <c r="AA38" s="134"/>
      <c r="AB38" s="391"/>
      <c r="AC38" s="262" t="s">
        <v>502</v>
      </c>
      <c r="AD38" s="134" t="s">
        <v>448</v>
      </c>
      <c r="AE38" s="134"/>
      <c r="AF38" s="134" t="s">
        <v>449</v>
      </c>
      <c r="AG38" s="134"/>
      <c r="AH38" s="134"/>
      <c r="AI38" s="391"/>
      <c r="AJ38" s="476"/>
      <c r="AK38" s="134"/>
      <c r="AQ38" s="42" t="n">
        <v>34</v>
      </c>
    </row>
    <row r="39" customFormat="false" ht="35.25" hidden="false" customHeight="true" outlineLevel="0" collapsed="false">
      <c r="A39" s="140"/>
      <c r="B39" s="140" t="s">
        <v>150</v>
      </c>
      <c r="C39" s="140" t="s">
        <v>151</v>
      </c>
      <c r="D39" s="140" t="s">
        <v>152</v>
      </c>
      <c r="E39" s="414" t="s">
        <v>450</v>
      </c>
      <c r="F39" s="414" t="s">
        <v>451</v>
      </c>
      <c r="G39" s="414" t="s">
        <v>452</v>
      </c>
      <c r="H39" s="414"/>
      <c r="I39" s="414" t="s">
        <v>503</v>
      </c>
      <c r="J39" s="414" t="s">
        <v>455</v>
      </c>
      <c r="K39" s="414" t="s">
        <v>504</v>
      </c>
      <c r="L39" s="414" t="s">
        <v>431</v>
      </c>
      <c r="Q39" s="464"/>
      <c r="R39" s="464"/>
      <c r="S39" s="474"/>
      <c r="T39" s="391"/>
      <c r="U39" s="478"/>
      <c r="V39" s="262" t="s">
        <v>505</v>
      </c>
      <c r="W39" s="185" t="s">
        <v>506</v>
      </c>
      <c r="X39" s="185" t="s">
        <v>507</v>
      </c>
      <c r="Y39" s="185" t="s">
        <v>459</v>
      </c>
      <c r="Z39" s="185" t="s">
        <v>460</v>
      </c>
      <c r="AA39" s="185"/>
      <c r="AB39" s="391"/>
      <c r="AC39" s="262" t="s">
        <v>505</v>
      </c>
      <c r="AD39" s="185" t="s">
        <v>506</v>
      </c>
      <c r="AE39" s="185" t="s">
        <v>507</v>
      </c>
      <c r="AF39" s="185" t="s">
        <v>459</v>
      </c>
      <c r="AG39" s="185" t="s">
        <v>460</v>
      </c>
      <c r="AH39" s="185"/>
      <c r="AI39" s="391"/>
      <c r="AJ39" s="476"/>
      <c r="AK39" s="134"/>
      <c r="AQ39" s="42" t="n">
        <v>34</v>
      </c>
    </row>
    <row r="40" s="120" customFormat="true" ht="12.8" hidden="false" customHeight="false" outlineLevel="0" collapsed="false">
      <c r="A40" s="140"/>
      <c r="B40" s="140"/>
      <c r="C40" s="140"/>
      <c r="D40" s="140"/>
      <c r="E40" s="140"/>
      <c r="F40" s="140"/>
      <c r="G40" s="140"/>
      <c r="H40" s="140"/>
      <c r="I40" s="140"/>
      <c r="J40" s="140"/>
      <c r="K40" s="140"/>
      <c r="L40" s="414"/>
      <c r="M40" s="51"/>
      <c r="N40" s="51"/>
      <c r="O40" s="51"/>
      <c r="P40" s="479"/>
      <c r="Q40" s="480"/>
      <c r="R40" s="481" t="n">
        <v>1</v>
      </c>
      <c r="S40" s="482" t="s">
        <v>120</v>
      </c>
      <c r="T40" s="483" t="s">
        <v>102</v>
      </c>
      <c r="U40" s="484" t="str">
        <f aca="true">OFFSET(U40,0,-1)</f>
        <v>2</v>
      </c>
      <c r="V40" s="485" t="n">
        <f aca="true">OFFSET(V40,0,-1)+1</f>
        <v>3</v>
      </c>
      <c r="W40" s="485" t="n">
        <f aca="true">OFFSET(W40,0,-1)+1</f>
        <v>4</v>
      </c>
      <c r="X40" s="485" t="n">
        <f aca="true">OFFSET(X40,0,-1)+1</f>
        <v>5</v>
      </c>
      <c r="Y40" s="485" t="n">
        <f aca="true">OFFSET(Y40,0,-1)+1</f>
        <v>6</v>
      </c>
      <c r="Z40" s="485" t="n">
        <f aca="true">OFFSET(Z40,0,-1)+1</f>
        <v>7</v>
      </c>
      <c r="AA40" s="485"/>
      <c r="AB40" s="485" t="n">
        <f aca="true">OFFSET(AB40,0,-2)+1</f>
        <v>8</v>
      </c>
      <c r="AC40" s="485" t="n">
        <f aca="true">OFFSET(AC40,0,-1)+1</f>
        <v>9</v>
      </c>
      <c r="AD40" s="485" t="n">
        <f aca="true">OFFSET(AD40,0,-1)+1</f>
        <v>10</v>
      </c>
      <c r="AE40" s="485" t="n">
        <f aca="true">OFFSET(AE40,0,-1)+1</f>
        <v>11</v>
      </c>
      <c r="AF40" s="485" t="n">
        <f aca="true">OFFSET(AF40,0,-1)+1</f>
        <v>12</v>
      </c>
      <c r="AG40" s="485" t="n">
        <f aca="true">OFFSET(AG40,0,-1)+1</f>
        <v>13</v>
      </c>
      <c r="AH40" s="485"/>
      <c r="AI40" s="485" t="n">
        <f aca="true">OFFSET(AI40,0,-2)+1</f>
        <v>14</v>
      </c>
      <c r="AJ40" s="484" t="n">
        <f aca="true">OFFSET(AJ40,0,-1)</f>
        <v>14</v>
      </c>
      <c r="AK40" s="485" t="n">
        <f aca="true">OFFSET(AK40,0,-1)+1</f>
        <v>15</v>
      </c>
      <c r="AL40" s="47"/>
      <c r="AM40" s="47"/>
      <c r="AN40" s="47"/>
      <c r="AO40" s="47"/>
      <c r="AP40" s="47"/>
      <c r="AQ40" s="120" t="n">
        <v>0</v>
      </c>
    </row>
    <row r="41" customFormat="false" ht="24" hidden="false" customHeight="true" outlineLevel="0" collapsed="false">
      <c r="A41" s="412" t="s">
        <v>254</v>
      </c>
      <c r="B41" s="412"/>
      <c r="C41" s="412"/>
      <c r="D41" s="412"/>
      <c r="E41" s="413" t="n">
        <v>1</v>
      </c>
      <c r="F41" s="412"/>
      <c r="G41" s="412"/>
      <c r="H41" s="412"/>
      <c r="I41" s="412"/>
      <c r="J41" s="412"/>
      <c r="K41" s="412"/>
      <c r="L41" s="414"/>
      <c r="M41" s="40"/>
      <c r="N41" s="40"/>
      <c r="O41" s="40"/>
      <c r="Q41" s="132"/>
      <c r="R41" s="415"/>
      <c r="S41" s="416" t="n">
        <f aca="false">INDEX(PT_DIFFERENTIATION_NUM_NTAR,MATCH(A41,PT_DIFFERENTIATION_NTAR_ID,0))</f>
        <v>0</v>
      </c>
      <c r="T41" s="417" t="s">
        <v>138</v>
      </c>
      <c r="U41" s="418"/>
      <c r="V41" s="419"/>
      <c r="W41" s="419"/>
      <c r="X41" s="419"/>
      <c r="Y41" s="419"/>
      <c r="Z41" s="419"/>
      <c r="AA41" s="419"/>
      <c r="AB41" s="419"/>
      <c r="AC41" s="419" t="str">
        <f aca="false">INDEX(PT_DIFFERENTIATION_NTAR,MATCH(A41,PT_DIFFERENTIATION_NTAR_ID,0))</f>
        <v/>
      </c>
      <c r="AD41" s="419"/>
      <c r="AE41" s="419"/>
      <c r="AF41" s="419"/>
      <c r="AG41" s="419"/>
      <c r="AH41" s="419"/>
      <c r="AI41" s="419"/>
      <c r="AJ41" s="419"/>
      <c r="AK41" s="42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8"/>
      <c r="AN41" s="118" t="str">
        <f aca="false">IF(T41="","",T41)</f>
        <v>Наименование тарифа</v>
      </c>
      <c r="AO41" s="118"/>
      <c r="AP41" s="118"/>
      <c r="AQ41" s="42" t="n">
        <v>23</v>
      </c>
    </row>
    <row r="42" customFormat="false" ht="24" hidden="false" customHeight="true" outlineLevel="0" collapsed="false">
      <c r="A42" s="412" t="s">
        <v>254</v>
      </c>
      <c r="B42" s="412" t="s">
        <v>255</v>
      </c>
      <c r="C42" s="412"/>
      <c r="D42" s="412"/>
      <c r="E42" s="413"/>
      <c r="F42" s="413" t="n">
        <v>1</v>
      </c>
      <c r="G42" s="412"/>
      <c r="H42" s="412"/>
      <c r="I42" s="412"/>
      <c r="J42" s="412"/>
      <c r="K42" s="412"/>
      <c r="L42" s="414"/>
      <c r="M42" s="40"/>
      <c r="N42" s="40"/>
      <c r="O42" s="40"/>
      <c r="P42" s="43"/>
      <c r="Q42" s="422"/>
      <c r="R42" s="423"/>
      <c r="S42" s="416" t="str">
        <f aca="false">INDEX(PT_DIFFERENTIATION_NUM_TER,MATCH(B42,PT_DIFFERENTIATION_TER_ID,0))</f>
        <v>.</v>
      </c>
      <c r="T42" s="424" t="s">
        <v>410</v>
      </c>
      <c r="U42" s="418"/>
      <c r="V42" s="419"/>
      <c r="W42" s="419"/>
      <c r="X42" s="419"/>
      <c r="Y42" s="419"/>
      <c r="Z42" s="419"/>
      <c r="AA42" s="419"/>
      <c r="AB42" s="419"/>
      <c r="AC42" s="419" t="str">
        <f aca="false">INDEX(PT_DIFFERENTIATION_TER,MATCH(B42,PT_DIFFERENTIATION_TER_ID,0))</f>
        <v/>
      </c>
      <c r="AD42" s="419"/>
      <c r="AE42" s="419"/>
      <c r="AF42" s="419"/>
      <c r="AG42" s="419"/>
      <c r="AH42" s="419"/>
      <c r="AI42" s="419"/>
      <c r="AJ42" s="419"/>
      <c r="AK42" s="421" t="s">
        <v>411</v>
      </c>
      <c r="AM42" s="118"/>
      <c r="AN42" s="118" t="str">
        <f aca="false">IF(T42="","",T42)</f>
        <v>Территория действия тарифа</v>
      </c>
      <c r="AO42" s="118"/>
      <c r="AP42" s="118"/>
      <c r="AQ42" s="42" t="n">
        <v>23</v>
      </c>
    </row>
    <row r="43" customFormat="false" ht="24" hidden="false" customHeight="true" outlineLevel="0" collapsed="false">
      <c r="A43" s="412" t="s">
        <v>254</v>
      </c>
      <c r="B43" s="412" t="s">
        <v>255</v>
      </c>
      <c r="C43" s="412" t="s">
        <v>256</v>
      </c>
      <c r="D43" s="412"/>
      <c r="E43" s="413"/>
      <c r="F43" s="413"/>
      <c r="G43" s="413" t="n">
        <v>1</v>
      </c>
      <c r="H43" s="412"/>
      <c r="I43" s="412"/>
      <c r="J43" s="412"/>
      <c r="K43" s="412"/>
      <c r="L43" s="414"/>
      <c r="M43" s="40"/>
      <c r="N43" s="40"/>
      <c r="O43" s="40"/>
      <c r="P43" s="425"/>
      <c r="Q43" s="422"/>
      <c r="R43" s="423"/>
      <c r="S43" s="416" t="str">
        <f aca="false">INDEX(PT_DIFFERENTIATION_NUM_CS,MATCH(C43,PT_DIFFERENTIATION_CS_ID,0))</f>
        <v>..</v>
      </c>
      <c r="T43" s="426" t="s">
        <v>494</v>
      </c>
      <c r="U43" s="418"/>
      <c r="V43" s="419"/>
      <c r="W43" s="419"/>
      <c r="X43" s="419"/>
      <c r="Y43" s="419"/>
      <c r="Z43" s="419"/>
      <c r="AA43" s="419"/>
      <c r="AB43" s="419"/>
      <c r="AC43" s="419" t="str">
        <f aca="false">INDEX(PT_DIFFERENTIATION_CS,MATCH(C43,PT_DIFFERENTIATION_CS_ID,0))</f>
        <v/>
      </c>
      <c r="AD43" s="419"/>
      <c r="AE43" s="419"/>
      <c r="AF43" s="419"/>
      <c r="AG43" s="419"/>
      <c r="AH43" s="419"/>
      <c r="AI43" s="419"/>
      <c r="AJ43" s="419"/>
      <c r="AK43" s="421" t="s">
        <v>495</v>
      </c>
      <c r="AM43" s="118"/>
      <c r="AN43" s="118" t="str">
        <f aca="false">IF(T43="","",T43)</f>
        <v>Наименование централизованной системы холодного водоснабжения</v>
      </c>
      <c r="AO43" s="118"/>
      <c r="AP43" s="118"/>
      <c r="AQ43" s="42" t="n">
        <v>23</v>
      </c>
    </row>
    <row r="44" customFormat="false" ht="24" hidden="false" customHeight="true" outlineLevel="0" collapsed="false">
      <c r="A44" s="412" t="s">
        <v>254</v>
      </c>
      <c r="B44" s="412" t="s">
        <v>255</v>
      </c>
      <c r="C44" s="412" t="s">
        <v>256</v>
      </c>
      <c r="D44" s="412" t="s">
        <v>511</v>
      </c>
      <c r="E44" s="413"/>
      <c r="F44" s="413"/>
      <c r="G44" s="413"/>
      <c r="H44" s="571"/>
      <c r="I44" s="428" t="str">
        <f aca="false">S43&amp;".1"</f>
        <v>...1</v>
      </c>
      <c r="J44" s="412"/>
      <c r="K44" s="412"/>
      <c r="L44" s="414"/>
      <c r="P44" s="121" t="n">
        <v>1</v>
      </c>
      <c r="Q44" s="121"/>
      <c r="R44" s="429"/>
      <c r="S44" s="416" t="str">
        <f aca="false">$I44</f>
        <v>...1</v>
      </c>
      <c r="T44" s="430" t="s">
        <v>496</v>
      </c>
      <c r="U44" s="418"/>
      <c r="V44" s="572"/>
      <c r="W44" s="572"/>
      <c r="X44" s="572"/>
      <c r="Y44" s="572"/>
      <c r="Z44" s="572"/>
      <c r="AA44" s="572"/>
      <c r="AB44" s="572"/>
      <c r="AC44" s="334"/>
      <c r="AD44" s="334"/>
      <c r="AE44" s="334"/>
      <c r="AF44" s="334"/>
      <c r="AG44" s="334"/>
      <c r="AH44" s="334"/>
      <c r="AI44" s="334"/>
      <c r="AJ44" s="334"/>
      <c r="AK44" s="421" t="s">
        <v>497</v>
      </c>
      <c r="AM44" s="118"/>
      <c r="AN44" s="118" t="str">
        <f aca="false">IF(T44="","",T44)</f>
        <v>Наименование признака дифференциации</v>
      </c>
      <c r="AO44" s="118"/>
      <c r="AP44" s="118"/>
      <c r="AQ44" s="42" t="n">
        <v>23</v>
      </c>
    </row>
    <row r="45" customFormat="false" ht="24" hidden="false" customHeight="true" outlineLevel="0" collapsed="false">
      <c r="A45" s="412" t="s">
        <v>254</v>
      </c>
      <c r="B45" s="412" t="s">
        <v>255</v>
      </c>
      <c r="C45" s="412" t="s">
        <v>256</v>
      </c>
      <c r="D45" s="412" t="s">
        <v>511</v>
      </c>
      <c r="E45" s="413"/>
      <c r="F45" s="413"/>
      <c r="G45" s="413"/>
      <c r="H45" s="413"/>
      <c r="I45" s="428"/>
      <c r="J45" s="428" t="str">
        <f aca="false">I44&amp;".1"</f>
        <v>...1.1</v>
      </c>
      <c r="K45" s="412"/>
      <c r="L45" s="414" t="s">
        <v>419</v>
      </c>
      <c r="P45" s="121"/>
      <c r="Q45" s="121" t="n">
        <v>1</v>
      </c>
      <c r="R45" s="432"/>
      <c r="S45" s="416" t="str">
        <f aca="false">$J45</f>
        <v>...1.1</v>
      </c>
      <c r="T45" s="433" t="s">
        <v>420</v>
      </c>
      <c r="U45" s="418"/>
      <c r="V45" s="431"/>
      <c r="W45" s="431"/>
      <c r="X45" s="431"/>
      <c r="Y45" s="431"/>
      <c r="Z45" s="431"/>
      <c r="AA45" s="431"/>
      <c r="AB45" s="431"/>
      <c r="AC45" s="431"/>
      <c r="AD45" s="431"/>
      <c r="AE45" s="431"/>
      <c r="AF45" s="431"/>
      <c r="AG45" s="431"/>
      <c r="AH45" s="431"/>
      <c r="AI45" s="431"/>
      <c r="AJ45" s="431"/>
      <c r="AK45" s="523" t="s">
        <v>498</v>
      </c>
      <c r="AM45" s="118"/>
      <c r="AN45" s="118" t="str">
        <f aca="false">IF(T45="","",T45)</f>
        <v>Группа потребителей</v>
      </c>
      <c r="AO45" s="118"/>
      <c r="AP45" s="118"/>
      <c r="AQ45" s="42" t="n">
        <v>23</v>
      </c>
    </row>
    <row r="46" customFormat="false" ht="24" hidden="false" customHeight="true" outlineLevel="0" collapsed="false">
      <c r="A46" s="412" t="s">
        <v>254</v>
      </c>
      <c r="B46" s="412" t="s">
        <v>255</v>
      </c>
      <c r="C46" s="412" t="s">
        <v>256</v>
      </c>
      <c r="D46" s="412" t="s">
        <v>511</v>
      </c>
      <c r="E46" s="413"/>
      <c r="F46" s="413"/>
      <c r="G46" s="413"/>
      <c r="H46" s="413"/>
      <c r="I46" s="428"/>
      <c r="J46" s="428"/>
      <c r="K46" s="428" t="str">
        <f aca="false">J45&amp;".1"</f>
        <v>...1.1.1</v>
      </c>
      <c r="L46" s="414"/>
      <c r="P46" s="121"/>
      <c r="Q46" s="121"/>
      <c r="R46" s="432" t="n">
        <v>1</v>
      </c>
      <c r="S46" s="416" t="str">
        <f aca="false">$K46</f>
        <v>...1.1.1</v>
      </c>
      <c r="T46" s="573"/>
      <c r="U46" s="418"/>
      <c r="V46" s="435"/>
      <c r="W46" s="435"/>
      <c r="X46" s="437"/>
      <c r="Y46" s="438"/>
      <c r="Z46" s="204" t="s">
        <v>61</v>
      </c>
      <c r="AA46" s="438"/>
      <c r="AB46" s="204" t="s">
        <v>61</v>
      </c>
      <c r="AC46" s="435"/>
      <c r="AD46" s="435"/>
      <c r="AE46" s="437"/>
      <c r="AF46" s="438"/>
      <c r="AG46" s="204" t="s">
        <v>61</v>
      </c>
      <c r="AH46" s="438"/>
      <c r="AI46" s="204" t="s">
        <v>61</v>
      </c>
      <c r="AJ46" s="574"/>
      <c r="AK46" s="57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7" t="e">
        <f aca="false">strcheckdate(V47:AJ47)</f>
        <v>#NAME?</v>
      </c>
      <c r="AM46" s="118"/>
      <c r="AN46" s="118" t="str">
        <f aca="false">IF(T46="","",T46)</f>
        <v/>
      </c>
      <c r="AO46" s="118"/>
      <c r="AP46" s="118"/>
      <c r="AQ46" s="42" t="n">
        <v>23</v>
      </c>
    </row>
    <row r="47" customFormat="false" ht="12.8" hidden="false" customHeight="false" outlineLevel="0" collapsed="false">
      <c r="A47" s="412" t="s">
        <v>254</v>
      </c>
      <c r="B47" s="412" t="s">
        <v>255</v>
      </c>
      <c r="C47" s="412" t="s">
        <v>256</v>
      </c>
      <c r="D47" s="412" t="s">
        <v>511</v>
      </c>
      <c r="E47" s="413"/>
      <c r="F47" s="413"/>
      <c r="G47" s="413"/>
      <c r="H47" s="413"/>
      <c r="I47" s="428"/>
      <c r="J47" s="428"/>
      <c r="K47" s="428"/>
      <c r="L47" s="414"/>
      <c r="P47" s="121"/>
      <c r="Q47" s="121"/>
      <c r="R47" s="432"/>
      <c r="S47" s="393"/>
      <c r="T47" s="418"/>
      <c r="U47" s="418"/>
      <c r="V47" s="436"/>
      <c r="W47" s="436"/>
      <c r="X47" s="440" t="str">
        <f aca="false">Y46&amp;"-"&amp;AA46</f>
        <v>-</v>
      </c>
      <c r="Y47" s="438"/>
      <c r="Z47" s="204"/>
      <c r="AA47" s="438"/>
      <c r="AB47" s="204"/>
      <c r="AC47" s="436"/>
      <c r="AD47" s="436"/>
      <c r="AE47" s="440" t="str">
        <f aca="false">AF46&amp;"-"&amp;AH46</f>
        <v>-</v>
      </c>
      <c r="AF47" s="438"/>
      <c r="AG47" s="204"/>
      <c r="AH47" s="438"/>
      <c r="AI47" s="204"/>
      <c r="AJ47" s="576"/>
      <c r="AK47" s="575"/>
      <c r="AM47" s="118"/>
      <c r="AN47" s="118" t="str">
        <f aca="false">IF(T47="","",T47)</f>
        <v/>
      </c>
      <c r="AO47" s="118"/>
      <c r="AP47" s="118"/>
      <c r="AQ47" s="42" t="n">
        <v>0</v>
      </c>
    </row>
    <row r="48" customFormat="false" ht="21" hidden="false" customHeight="true" outlineLevel="0" collapsed="false">
      <c r="A48" s="412" t="s">
        <v>254</v>
      </c>
      <c r="B48" s="412" t="s">
        <v>255</v>
      </c>
      <c r="C48" s="412" t="s">
        <v>256</v>
      </c>
      <c r="D48" s="412" t="s">
        <v>511</v>
      </c>
      <c r="E48" s="413"/>
      <c r="F48" s="413"/>
      <c r="G48" s="413"/>
      <c r="H48" s="413"/>
      <c r="I48" s="428"/>
      <c r="J48" s="428"/>
      <c r="K48" s="412"/>
      <c r="L48" s="414"/>
      <c r="P48" s="121"/>
      <c r="Q48" s="121"/>
      <c r="R48" s="429"/>
      <c r="S48" s="441"/>
      <c r="T48" s="444" t="s">
        <v>499</v>
      </c>
      <c r="U48" s="194"/>
      <c r="V48" s="194"/>
      <c r="W48" s="194"/>
      <c r="X48" s="194"/>
      <c r="Y48" s="194"/>
      <c r="Z48" s="194"/>
      <c r="AA48" s="194"/>
      <c r="AB48" s="194"/>
      <c r="AC48" s="194"/>
      <c r="AD48" s="194"/>
      <c r="AE48" s="194"/>
      <c r="AF48" s="194"/>
      <c r="AG48" s="194"/>
      <c r="AH48" s="194"/>
      <c r="AI48" s="194"/>
      <c r="AJ48" s="194"/>
      <c r="AK48" s="421" t="s">
        <v>500</v>
      </c>
      <c r="AM48" s="118"/>
      <c r="AN48" s="118" t="str">
        <f aca="false">IF(T48="","",T48)</f>
        <v>Добавить значение признака дифференциации</v>
      </c>
      <c r="AO48" s="118"/>
      <c r="AP48" s="118"/>
      <c r="AQ48" s="42" t="n">
        <v>20</v>
      </c>
    </row>
    <row r="49" customFormat="false" ht="21.75" hidden="false" customHeight="true" outlineLevel="0" collapsed="false">
      <c r="A49" s="412" t="s">
        <v>254</v>
      </c>
      <c r="B49" s="412" t="s">
        <v>255</v>
      </c>
      <c r="C49" s="412" t="s">
        <v>256</v>
      </c>
      <c r="D49" s="412" t="s">
        <v>511</v>
      </c>
      <c r="E49" s="413"/>
      <c r="F49" s="413"/>
      <c r="G49" s="413"/>
      <c r="H49" s="413"/>
      <c r="I49" s="428"/>
      <c r="J49" s="412"/>
      <c r="K49" s="412"/>
      <c r="L49" s="414"/>
      <c r="P49" s="121"/>
      <c r="Q49" s="121"/>
      <c r="R49" s="429"/>
      <c r="S49" s="441"/>
      <c r="T49" s="448" t="s">
        <v>425</v>
      </c>
      <c r="U49" s="194"/>
      <c r="V49" s="194"/>
      <c r="W49" s="194"/>
      <c r="X49" s="194"/>
      <c r="Y49" s="194"/>
      <c r="Z49" s="194"/>
      <c r="AA49" s="194"/>
      <c r="AB49" s="445"/>
      <c r="AC49" s="194"/>
      <c r="AD49" s="194"/>
      <c r="AE49" s="194"/>
      <c r="AF49" s="194"/>
      <c r="AG49" s="194"/>
      <c r="AH49" s="194"/>
      <c r="AI49" s="445"/>
      <c r="AJ49" s="194"/>
      <c r="AK49" s="577"/>
      <c r="AM49" s="118"/>
      <c r="AN49" s="118" t="str">
        <f aca="false">IF(T49="","",T49)</f>
        <v>Добавить группу потребителей</v>
      </c>
      <c r="AO49" s="118"/>
      <c r="AP49" s="118"/>
      <c r="AQ49" s="42" t="n">
        <v>21</v>
      </c>
    </row>
    <row r="50" customFormat="false" ht="21.75" hidden="false" customHeight="true" outlineLevel="0" collapsed="false">
      <c r="A50" s="412" t="s">
        <v>254</v>
      </c>
      <c r="B50" s="412" t="s">
        <v>255</v>
      </c>
      <c r="C50" s="412" t="s">
        <v>256</v>
      </c>
      <c r="D50" s="412" t="s">
        <v>511</v>
      </c>
      <c r="E50" s="413"/>
      <c r="F50" s="413"/>
      <c r="G50" s="413"/>
      <c r="H50" s="571"/>
      <c r="I50" s="412"/>
      <c r="J50" s="412"/>
      <c r="K50" s="412"/>
      <c r="L50" s="414"/>
      <c r="M50" s="40"/>
      <c r="N50" s="40"/>
      <c r="O50" s="45"/>
      <c r="P50" s="132"/>
      <c r="Q50" s="447"/>
      <c r="R50" s="415"/>
      <c r="S50" s="441"/>
      <c r="T50" s="578" t="s">
        <v>501</v>
      </c>
      <c r="U50" s="194"/>
      <c r="V50" s="194"/>
      <c r="W50" s="194"/>
      <c r="X50" s="194"/>
      <c r="Y50" s="194"/>
      <c r="Z50" s="194"/>
      <c r="AA50" s="194"/>
      <c r="AB50" s="445"/>
      <c r="AC50" s="194"/>
      <c r="AD50" s="194"/>
      <c r="AE50" s="194"/>
      <c r="AF50" s="194"/>
      <c r="AG50" s="194"/>
      <c r="AH50" s="194"/>
      <c r="AI50" s="445"/>
      <c r="AJ50" s="194"/>
      <c r="AK50" s="446"/>
      <c r="AM50" s="118"/>
      <c r="AN50" s="118" t="str">
        <f aca="false">IF(T50="","",T50)</f>
        <v>Добавить наименование признака дифференциации</v>
      </c>
      <c r="AO50" s="118"/>
      <c r="AP50" s="118"/>
      <c r="AQ50" s="42" t="n">
        <v>21</v>
      </c>
    </row>
    <row r="51" s="47" customFormat="true" ht="12.8" hidden="false" customHeight="false" outlineLevel="0" collapsed="false">
      <c r="A51" s="122" t="s">
        <v>254</v>
      </c>
      <c r="B51" s="122" t="s">
        <v>255</v>
      </c>
      <c r="C51" s="122"/>
      <c r="D51" s="122"/>
      <c r="E51" s="413"/>
      <c r="F51" s="413"/>
      <c r="G51" s="122"/>
      <c r="H51" s="122"/>
      <c r="I51" s="122"/>
      <c r="J51" s="122"/>
      <c r="K51" s="122"/>
      <c r="L51" s="192"/>
      <c r="M51" s="453"/>
      <c r="N51" s="453"/>
      <c r="P51" s="156"/>
      <c r="Q51" s="449"/>
      <c r="R51" s="156"/>
      <c r="S51" s="454"/>
      <c r="T51" s="457" t="s">
        <v>428</v>
      </c>
      <c r="U51" s="456"/>
      <c r="V51" s="456"/>
      <c r="W51" s="456"/>
      <c r="X51" s="456"/>
      <c r="Y51" s="456"/>
      <c r="Z51" s="456"/>
      <c r="AA51" s="456"/>
      <c r="AB51" s="456"/>
      <c r="AC51" s="456"/>
      <c r="AD51" s="456"/>
      <c r="AE51" s="456"/>
      <c r="AF51" s="456"/>
      <c r="AG51" s="456"/>
      <c r="AH51" s="456"/>
      <c r="AI51" s="456"/>
      <c r="AJ51" s="456"/>
      <c r="AK51" s="456"/>
      <c r="AM51" s="118"/>
      <c r="AN51" s="118" t="str">
        <f aca="false">IF(T51="","",T51)</f>
        <v>Добавить централизованную систему для дифференциации</v>
      </c>
      <c r="AO51" s="118"/>
      <c r="AP51" s="118"/>
      <c r="AQ51" s="47" t="n">
        <v>0</v>
      </c>
    </row>
    <row r="52" s="47" customFormat="true" ht="12.8" hidden="false" customHeight="false" outlineLevel="0" collapsed="false">
      <c r="A52" s="122" t="s">
        <v>254</v>
      </c>
      <c r="B52" s="122"/>
      <c r="C52" s="122"/>
      <c r="D52" s="122"/>
      <c r="E52" s="413"/>
      <c r="F52" s="122"/>
      <c r="G52" s="122"/>
      <c r="H52" s="122"/>
      <c r="I52" s="122"/>
      <c r="J52" s="122"/>
      <c r="K52" s="122"/>
      <c r="L52" s="192"/>
      <c r="M52" s="453"/>
      <c r="N52" s="453"/>
      <c r="P52" s="156"/>
      <c r="Q52" s="449"/>
      <c r="R52" s="156"/>
      <c r="S52" s="454"/>
      <c r="T52" s="457" t="s">
        <v>429</v>
      </c>
      <c r="U52" s="456"/>
      <c r="V52" s="456"/>
      <c r="W52" s="456"/>
      <c r="X52" s="456"/>
      <c r="Y52" s="456"/>
      <c r="Z52" s="456"/>
      <c r="AA52" s="456"/>
      <c r="AB52" s="456"/>
      <c r="AC52" s="456"/>
      <c r="AD52" s="456"/>
      <c r="AE52" s="456"/>
      <c r="AF52" s="456"/>
      <c r="AG52" s="456"/>
      <c r="AH52" s="456"/>
      <c r="AI52" s="456"/>
      <c r="AJ52" s="456"/>
      <c r="AK52" s="456"/>
      <c r="AM52" s="118"/>
      <c r="AN52" s="118" t="str">
        <f aca="false">IF(T52="","",T52)</f>
        <v>Добавить территорию для дифференциации</v>
      </c>
      <c r="AO52" s="118"/>
      <c r="AP52" s="118"/>
      <c r="AQ52" s="47" t="n">
        <v>0</v>
      </c>
    </row>
    <row r="53" s="47" customFormat="true" ht="12.8" hidden="false" customHeight="false" outlineLevel="0" collapsed="false">
      <c r="A53" s="122"/>
      <c r="B53" s="122"/>
      <c r="C53" s="122"/>
      <c r="D53" s="122"/>
      <c r="E53" s="122"/>
      <c r="F53" s="122"/>
      <c r="G53" s="122"/>
      <c r="H53" s="122"/>
      <c r="I53" s="122"/>
      <c r="J53" s="122"/>
      <c r="K53" s="122"/>
      <c r="L53" s="192"/>
      <c r="M53" s="453"/>
      <c r="N53" s="453"/>
      <c r="P53" s="156"/>
      <c r="Q53" s="449"/>
      <c r="R53" s="156"/>
      <c r="S53" s="454"/>
      <c r="T53" s="457" t="s">
        <v>461</v>
      </c>
      <c r="U53" s="456"/>
      <c r="V53" s="456"/>
      <c r="W53" s="456"/>
      <c r="X53" s="456"/>
      <c r="Y53" s="456"/>
      <c r="Z53" s="456"/>
      <c r="AA53" s="456"/>
      <c r="AB53" s="456"/>
      <c r="AC53" s="456"/>
      <c r="AD53" s="456"/>
      <c r="AE53" s="456"/>
      <c r="AF53" s="456"/>
      <c r="AG53" s="456"/>
      <c r="AH53" s="456"/>
      <c r="AI53" s="456"/>
      <c r="AJ53" s="456"/>
      <c r="AK53" s="456"/>
      <c r="AM53" s="118"/>
      <c r="AN53" s="118" t="str">
        <f aca="false">IF(T53="","",T53)</f>
        <v>Добавить наименование тарифа</v>
      </c>
      <c r="AO53" s="118"/>
      <c r="AP53" s="118"/>
      <c r="AQ53" s="47"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09"/>
      <c r="T55" s="488"/>
      <c r="U55" s="488"/>
      <c r="V55" s="488"/>
      <c r="W55" s="488"/>
      <c r="X55" s="488"/>
      <c r="Y55" s="488"/>
      <c r="Z55" s="488"/>
      <c r="AA55" s="488"/>
      <c r="AB55" s="488"/>
      <c r="AC55" s="488"/>
      <c r="AD55" s="488"/>
      <c r="AE55" s="488"/>
      <c r="AF55" s="488"/>
      <c r="AG55" s="488"/>
      <c r="AH55" s="488"/>
      <c r="AI55" s="488"/>
      <c r="AJ55" s="488"/>
      <c r="AK55" s="488"/>
      <c r="AQ55" s="42" t="n">
        <v>14</v>
      </c>
    </row>
    <row r="56" customFormat="false" ht="14.25" hidden="false" customHeight="true" outlineLevel="0" collapsed="false">
      <c r="O56" s="45"/>
      <c r="AQ56" s="42" t="n">
        <v>14</v>
      </c>
    </row>
    <row r="57" customFormat="false" ht="14.25" hidden="false" customHeight="true" outlineLevel="0" collapsed="false">
      <c r="O57" s="45"/>
      <c r="S57" s="409"/>
      <c r="T57" s="488"/>
      <c r="U57" s="488"/>
      <c r="V57" s="488"/>
      <c r="W57" s="488"/>
      <c r="X57" s="488"/>
      <c r="Y57" s="488"/>
      <c r="Z57" s="488"/>
      <c r="AA57" s="488"/>
      <c r="AB57" s="488"/>
      <c r="AC57" s="488"/>
      <c r="AD57" s="488"/>
      <c r="AE57" s="488"/>
      <c r="AF57" s="488"/>
      <c r="AG57" s="488"/>
      <c r="AH57" s="488"/>
      <c r="AI57" s="488"/>
      <c r="AJ57" s="488"/>
      <c r="AK57" s="488"/>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44" t="n">
        <v>0</v>
      </c>
      <c r="M58" s="51" t="n">
        <v>0</v>
      </c>
      <c r="N58" s="51" t="n">
        <v>0</v>
      </c>
      <c r="O58" s="51" t="n">
        <v>0</v>
      </c>
      <c r="P58" s="50" t="n">
        <v>3</v>
      </c>
      <c r="Q58" s="411" t="n">
        <v>3</v>
      </c>
      <c r="R58" s="411" t="n">
        <v>3</v>
      </c>
      <c r="S58" s="75"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7" t="n">
        <v>10</v>
      </c>
      <c r="AM58" s="47" t="n">
        <v>10</v>
      </c>
      <c r="AN58" s="47" t="n">
        <v>10</v>
      </c>
      <c r="AO58" s="47" t="n">
        <v>10</v>
      </c>
      <c r="AP58" s="47"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6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3" min="1" style="42" width="10.14"/>
    <col collapsed="false" customWidth="true" hidden="true" outlineLevel="0" max="4" min="4" style="42" width="11.85"/>
    <col collapsed="false" customWidth="true" hidden="true" outlineLevel="0" max="11" min="5" style="42" width="10.14"/>
    <col collapsed="false" customWidth="true" hidden="true" outlineLevel="0" max="12" min="12" style="43" width="10.14"/>
    <col collapsed="false" customWidth="true" hidden="true" outlineLevel="0" max="15" min="13" style="50" width="10.14"/>
    <col collapsed="false" customWidth="true" hidden="false" outlineLevel="0" max="16" min="16" style="51" width="3"/>
    <col collapsed="false" customWidth="true" hidden="false" outlineLevel="0" max="17" min="17" style="463" width="3"/>
    <col collapsed="false" customWidth="true" hidden="false" outlineLevel="0" max="18" min="18" style="411" width="3"/>
    <col collapsed="false" customWidth="true" hidden="false" outlineLevel="0" max="19" min="19" style="75" width="12"/>
    <col collapsed="false" customWidth="true" hidden="false" outlineLevel="0" max="20" min="20" style="42" width="31"/>
    <col collapsed="false" customWidth="true" hidden="false" outlineLevel="0" max="21" min="21" style="42" width="0.14"/>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27"/>
    <col collapsed="false" customWidth="true" hidden="false" outlineLevel="0" max="29" min="29" style="42" width="24.57"/>
    <col collapsed="false" customWidth="true" hidden="false" outlineLevel="0" max="31" min="30" style="42" width="21"/>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7" width="10"/>
    <col collapsed="false" customWidth="false" hidden="true" outlineLevel="0" max="43" min="43" style="42" width="10.57"/>
  </cols>
  <sheetData>
    <row r="1" customFormat="false" ht="0.75" hidden="true" customHeight="true" outlineLevel="0" collapsed="false">
      <c r="AQ1" s="42" t="s">
        <v>14</v>
      </c>
    </row>
    <row r="2" customFormat="false" ht="21" hidden="true" customHeight="true" outlineLevel="0" collapsed="false">
      <c r="A2" s="241"/>
      <c r="B2" s="241"/>
      <c r="C2" s="241"/>
      <c r="D2" s="241"/>
      <c r="E2" s="489" t="n">
        <v>1</v>
      </c>
      <c r="F2" s="241"/>
      <c r="G2" s="241"/>
      <c r="H2" s="241"/>
      <c r="I2" s="241"/>
      <c r="J2" s="241"/>
      <c r="K2" s="241"/>
      <c r="L2" s="490"/>
      <c r="M2" s="75"/>
      <c r="N2" s="75"/>
      <c r="O2" s="75"/>
      <c r="Q2" s="54"/>
      <c r="R2" s="415"/>
      <c r="S2" s="416" t="e">
        <f aca="false">INDEX(PT_DIFFERENTIATION_NUM_NTAR,MATCH(A2,PT_DIFFERENTIATION_NTAR_ID,0))</f>
        <v>#N/A</v>
      </c>
      <c r="T2" s="417" t="s">
        <v>138</v>
      </c>
      <c r="U2" s="418"/>
      <c r="V2" s="532"/>
      <c r="W2" s="532"/>
      <c r="X2" s="532"/>
      <c r="Y2" s="532"/>
      <c r="Z2" s="532"/>
      <c r="AA2" s="532"/>
      <c r="AB2" s="580"/>
      <c r="AC2" s="581" t="e">
        <f aca="false">INDEX(PT_DIFFERENTIATION_NTAR,MATCH(A2,PT_DIFFERENTIATION_NTAR_ID,0))</f>
        <v>#N/A</v>
      </c>
      <c r="AD2" s="581"/>
      <c r="AE2" s="581"/>
      <c r="AF2" s="581"/>
      <c r="AG2" s="581"/>
      <c r="AH2" s="581"/>
      <c r="AI2" s="581"/>
      <c r="AJ2" s="581"/>
      <c r="AK2" s="421" t="s">
        <v>409</v>
      </c>
      <c r="AM2" s="118"/>
      <c r="AN2" s="118" t="str">
        <f aca="false">IF(T2="","",T2)</f>
        <v>Наименование тарифа</v>
      </c>
      <c r="AO2" s="118"/>
      <c r="AP2" s="118"/>
      <c r="AQ2" s="42" t="n">
        <v>0</v>
      </c>
    </row>
    <row r="3" customFormat="false" ht="21" hidden="true" customHeight="true" outlineLevel="0" collapsed="false">
      <c r="A3" s="241"/>
      <c r="B3" s="241"/>
      <c r="C3" s="241"/>
      <c r="D3" s="241"/>
      <c r="E3" s="489"/>
      <c r="F3" s="489" t="n">
        <v>1</v>
      </c>
      <c r="G3" s="241"/>
      <c r="H3" s="241"/>
      <c r="I3" s="241"/>
      <c r="J3" s="241"/>
      <c r="K3" s="241"/>
      <c r="L3" s="490"/>
      <c r="M3" s="75"/>
      <c r="N3" s="75"/>
      <c r="O3" s="75"/>
      <c r="P3" s="44"/>
      <c r="Q3" s="533"/>
      <c r="R3" s="423"/>
      <c r="S3" s="416" t="e">
        <f aca="false">INDEX(PT_DIFFERENTIATION_NUM_TER,MATCH(B3,PT_DIFFERENTIATION_TER_ID,0))</f>
        <v>#N/A</v>
      </c>
      <c r="T3" s="424" t="s">
        <v>410</v>
      </c>
      <c r="U3" s="418"/>
      <c r="V3" s="532"/>
      <c r="W3" s="532"/>
      <c r="X3" s="532"/>
      <c r="Y3" s="532"/>
      <c r="Z3" s="532"/>
      <c r="AA3" s="532"/>
      <c r="AB3" s="580"/>
      <c r="AC3" s="581" t="e">
        <f aca="false">INDEX(PT_DIFFERENTIATION_TER,MATCH(B3,PT_DIFFERENTIATION_TER_ID,0))</f>
        <v>#N/A</v>
      </c>
      <c r="AD3" s="581"/>
      <c r="AE3" s="581"/>
      <c r="AF3" s="581"/>
      <c r="AG3" s="581"/>
      <c r="AH3" s="581"/>
      <c r="AI3" s="581"/>
      <c r="AJ3" s="581"/>
      <c r="AK3" s="421" t="s">
        <v>411</v>
      </c>
      <c r="AM3" s="118"/>
      <c r="AN3" s="118" t="str">
        <f aca="false">IF(T3="","",T3)</f>
        <v>Территория действия тарифа</v>
      </c>
      <c r="AO3" s="118"/>
      <c r="AP3" s="118"/>
      <c r="AQ3" s="42" t="n">
        <v>0</v>
      </c>
    </row>
    <row r="4" customFormat="false" ht="22.5" hidden="true" customHeight="true" outlineLevel="0" collapsed="false">
      <c r="A4" s="241"/>
      <c r="B4" s="241"/>
      <c r="C4" s="241"/>
      <c r="D4" s="241"/>
      <c r="E4" s="489"/>
      <c r="F4" s="489"/>
      <c r="G4" s="489" t="n">
        <v>1</v>
      </c>
      <c r="H4" s="241"/>
      <c r="I4" s="241"/>
      <c r="J4" s="241"/>
      <c r="K4" s="241"/>
      <c r="L4" s="490"/>
      <c r="M4" s="75"/>
      <c r="N4" s="75"/>
      <c r="O4" s="75"/>
      <c r="P4" s="127"/>
      <c r="Q4" s="533"/>
      <c r="R4" s="423"/>
      <c r="S4" s="416" t="e">
        <f aca="false">INDEX(PT_DIFFERENTIATION_NUM_CS,MATCH(C4,PT_DIFFERENTIATION_CS_ID,0))</f>
        <v>#N/A</v>
      </c>
      <c r="T4" s="426" t="s">
        <v>412</v>
      </c>
      <c r="U4" s="418"/>
      <c r="V4" s="532"/>
      <c r="W4" s="532"/>
      <c r="X4" s="532"/>
      <c r="Y4" s="532"/>
      <c r="Z4" s="532"/>
      <c r="AA4" s="532"/>
      <c r="AB4" s="580"/>
      <c r="AC4" s="581" t="e">
        <f aca="false">INDEX(PT_DIFFERENTIATION_CS,MATCH(C4,PT_DIFFERENTIATION_CS_ID,0))</f>
        <v>#N/A</v>
      </c>
      <c r="AD4" s="581"/>
      <c r="AE4" s="581"/>
      <c r="AF4" s="581"/>
      <c r="AG4" s="581"/>
      <c r="AH4" s="581"/>
      <c r="AI4" s="581"/>
      <c r="AJ4" s="581"/>
      <c r="AK4" s="421" t="s">
        <v>413</v>
      </c>
      <c r="AM4" s="118"/>
      <c r="AN4" s="118" t="str">
        <f aca="false">IF(T4="","",T4)</f>
        <v>Наименование системы теплоснабжения</v>
      </c>
      <c r="AO4" s="118"/>
      <c r="AP4" s="118"/>
      <c r="AQ4" s="42" t="n">
        <v>0</v>
      </c>
    </row>
    <row r="5" customFormat="false" ht="21" hidden="true" customHeight="true" outlineLevel="0" collapsed="false">
      <c r="A5" s="241"/>
      <c r="B5" s="241"/>
      <c r="C5" s="241"/>
      <c r="D5" s="241"/>
      <c r="E5" s="489"/>
      <c r="F5" s="489"/>
      <c r="G5" s="489"/>
      <c r="H5" s="489" t="n">
        <v>1</v>
      </c>
      <c r="I5" s="241"/>
      <c r="J5" s="241"/>
      <c r="K5" s="241"/>
      <c r="L5" s="490"/>
      <c r="M5" s="75"/>
      <c r="N5" s="75"/>
      <c r="O5" s="75"/>
      <c r="P5" s="127"/>
      <c r="Q5" s="533"/>
      <c r="R5" s="423"/>
      <c r="S5" s="416" t="e">
        <f aca="false">INDEX(PT_DIFFERENTIATION_NUM_IST_TE,MATCH(D5,PT_DIFFERENTIATION_IST_TE_ID,0))</f>
        <v>#N/A</v>
      </c>
      <c r="T5" s="427" t="s">
        <v>414</v>
      </c>
      <c r="U5" s="418"/>
      <c r="V5" s="532"/>
      <c r="W5" s="532"/>
      <c r="X5" s="532"/>
      <c r="Y5" s="532"/>
      <c r="Z5" s="532"/>
      <c r="AA5" s="532"/>
      <c r="AB5" s="580"/>
      <c r="AC5" s="581" t="e">
        <f aca="false">INDEX(PT_DIFFERENTIATION_IST_TE,MATCH(D5,PT_DIFFERENTIATION_IST_TE_ID,0))</f>
        <v>#N/A</v>
      </c>
      <c r="AD5" s="581"/>
      <c r="AE5" s="581"/>
      <c r="AF5" s="581"/>
      <c r="AG5" s="581"/>
      <c r="AH5" s="581"/>
      <c r="AI5" s="581"/>
      <c r="AJ5" s="581"/>
      <c r="AK5" s="421" t="s">
        <v>415</v>
      </c>
      <c r="AM5" s="118"/>
      <c r="AN5" s="118" t="str">
        <f aca="false">IF(T5="","",T5)</f>
        <v>Источник тепловой энергии</v>
      </c>
      <c r="AO5" s="118"/>
      <c r="AP5" s="118"/>
      <c r="AQ5" s="42" t="n">
        <v>0</v>
      </c>
    </row>
    <row r="6" s="47" customFormat="true" ht="0.75" hidden="true" customHeight="true" outlineLevel="0" collapsed="false">
      <c r="A6" s="491"/>
      <c r="B6" s="491"/>
      <c r="C6" s="491"/>
      <c r="D6" s="491"/>
      <c r="E6" s="489"/>
      <c r="F6" s="489"/>
      <c r="G6" s="489"/>
      <c r="H6" s="489"/>
      <c r="I6" s="134" t="e">
        <f aca="false">S5&amp;".1"</f>
        <v>#N/A</v>
      </c>
      <c r="J6" s="491"/>
      <c r="K6" s="491"/>
      <c r="L6" s="492" t="s">
        <v>416</v>
      </c>
      <c r="M6" s="479"/>
      <c r="N6" s="479"/>
      <c r="O6" s="479"/>
      <c r="P6" s="121" t="n">
        <v>1</v>
      </c>
      <c r="Q6" s="121"/>
      <c r="R6" s="429"/>
      <c r="S6" s="301"/>
      <c r="T6" s="498"/>
      <c r="U6" s="499"/>
      <c r="V6" s="534"/>
      <c r="W6" s="534"/>
      <c r="X6" s="534"/>
      <c r="Y6" s="534"/>
      <c r="Z6" s="534"/>
      <c r="AA6" s="534"/>
      <c r="AB6" s="582"/>
      <c r="AC6" s="534"/>
      <c r="AD6" s="534"/>
      <c r="AE6" s="534"/>
      <c r="AF6" s="534"/>
      <c r="AG6" s="534"/>
      <c r="AH6" s="534"/>
      <c r="AI6" s="534"/>
      <c r="AJ6" s="534"/>
      <c r="AK6" s="501"/>
      <c r="AM6" s="118"/>
      <c r="AN6" s="118" t="str">
        <f aca="false">IF(T6="","",T6)</f>
        <v/>
      </c>
      <c r="AO6" s="118"/>
      <c r="AP6" s="118"/>
      <c r="AQ6" s="47" t="n">
        <v>0</v>
      </c>
    </row>
    <row r="7" s="47" customFormat="true" ht="0.75" hidden="true" customHeight="true" outlineLevel="0" collapsed="false">
      <c r="A7" s="491"/>
      <c r="B7" s="491"/>
      <c r="C7" s="491"/>
      <c r="D7" s="491"/>
      <c r="E7" s="489"/>
      <c r="F7" s="489"/>
      <c r="G7" s="489"/>
      <c r="H7" s="489"/>
      <c r="I7" s="134"/>
      <c r="J7" s="146" t="e">
        <f aca="false">S5&amp;".1"</f>
        <v>#N/A</v>
      </c>
      <c r="K7" s="491"/>
      <c r="L7" s="492"/>
      <c r="M7" s="479"/>
      <c r="N7" s="479"/>
      <c r="O7" s="479"/>
      <c r="P7" s="121"/>
      <c r="Q7" s="121" t="n">
        <v>1</v>
      </c>
      <c r="R7" s="432"/>
      <c r="S7" s="301"/>
      <c r="T7" s="535"/>
      <c r="U7" s="499"/>
      <c r="V7" s="534"/>
      <c r="W7" s="534"/>
      <c r="X7" s="534"/>
      <c r="Y7" s="534"/>
      <c r="Z7" s="534"/>
      <c r="AA7" s="534"/>
      <c r="AB7" s="582"/>
      <c r="AC7" s="534"/>
      <c r="AD7" s="534"/>
      <c r="AE7" s="534"/>
      <c r="AF7" s="534"/>
      <c r="AG7" s="534"/>
      <c r="AH7" s="534"/>
      <c r="AI7" s="534"/>
      <c r="AJ7" s="534"/>
      <c r="AK7" s="501"/>
      <c r="AM7" s="118"/>
      <c r="AN7" s="118" t="str">
        <f aca="false">IF(T7="","",T7)</f>
        <v/>
      </c>
      <c r="AO7" s="118"/>
      <c r="AP7" s="118"/>
      <c r="AQ7" s="47" t="n">
        <v>0</v>
      </c>
    </row>
    <row r="8" customFormat="false" ht="21" hidden="true" customHeight="true" outlineLevel="0" collapsed="false">
      <c r="A8" s="241"/>
      <c r="B8" s="241"/>
      <c r="C8" s="241"/>
      <c r="D8" s="241"/>
      <c r="E8" s="489"/>
      <c r="F8" s="489"/>
      <c r="G8" s="489"/>
      <c r="H8" s="489"/>
      <c r="I8" s="134"/>
      <c r="J8" s="134"/>
      <c r="K8" s="146" t="e">
        <f aca="false">S5&amp;".1"</f>
        <v>#N/A</v>
      </c>
      <c r="L8" s="490"/>
      <c r="P8" s="121"/>
      <c r="Q8" s="121"/>
      <c r="R8" s="536" t="n">
        <v>1</v>
      </c>
      <c r="S8" s="508" t="e">
        <f aca="false">$K8</f>
        <v>#N/A</v>
      </c>
      <c r="T8" s="583"/>
      <c r="U8" s="418"/>
      <c r="V8" s="435"/>
      <c r="W8" s="437"/>
      <c r="X8" s="438"/>
      <c r="Y8" s="204" t="s">
        <v>61</v>
      </c>
      <c r="Z8" s="438"/>
      <c r="AA8" s="204" t="s">
        <v>61</v>
      </c>
      <c r="AB8" s="584"/>
      <c r="AC8" s="585"/>
      <c r="AD8" s="435"/>
      <c r="AE8" s="437"/>
      <c r="AF8" s="438"/>
      <c r="AG8" s="204" t="s">
        <v>61</v>
      </c>
      <c r="AH8" s="438"/>
      <c r="AI8" s="204" t="s">
        <v>61</v>
      </c>
      <c r="AJ8" s="486"/>
      <c r="AK8" s="575" t="s">
        <v>477</v>
      </c>
      <c r="AL8" s="47" t="e">
        <f aca="false">strcheckdate(#REF!)</f>
        <v>#REF!</v>
      </c>
      <c r="AM8" s="118"/>
      <c r="AN8" s="118" t="str">
        <f aca="false">IF(T8="","",T8)</f>
        <v/>
      </c>
      <c r="AO8" s="118"/>
      <c r="AP8" s="118"/>
      <c r="AQ8" s="42" t="n">
        <v>0</v>
      </c>
    </row>
    <row r="9" customFormat="false" ht="11.25" hidden="true" customHeight="true" outlineLevel="0" collapsed="false">
      <c r="A9" s="241"/>
      <c r="B9" s="241"/>
      <c r="C9" s="241"/>
      <c r="D9" s="241"/>
      <c r="E9" s="489"/>
      <c r="F9" s="489"/>
      <c r="G9" s="489"/>
      <c r="H9" s="489"/>
      <c r="I9" s="134"/>
      <c r="J9" s="146"/>
      <c r="K9" s="241"/>
      <c r="L9" s="490"/>
      <c r="P9" s="121"/>
      <c r="Q9" s="121"/>
      <c r="R9" s="429"/>
      <c r="S9" s="441"/>
      <c r="T9" s="444" t="s">
        <v>481</v>
      </c>
      <c r="U9" s="194"/>
      <c r="V9" s="194"/>
      <c r="W9" s="194"/>
      <c r="X9" s="194"/>
      <c r="Y9" s="194"/>
      <c r="Z9" s="194"/>
      <c r="AA9" s="194"/>
      <c r="AB9" s="194"/>
      <c r="AC9" s="194"/>
      <c r="AD9" s="194"/>
      <c r="AE9" s="194"/>
      <c r="AF9" s="194"/>
      <c r="AG9" s="194"/>
      <c r="AH9" s="194"/>
      <c r="AI9" s="194"/>
      <c r="AJ9" s="443"/>
      <c r="AK9" s="575"/>
      <c r="AM9" s="118"/>
      <c r="AN9" s="118" t="str">
        <f aca="false">IF(T9="","",T9)</f>
        <v>Добавить строку</v>
      </c>
      <c r="AO9" s="118"/>
      <c r="AP9" s="118"/>
      <c r="AQ9" s="42" t="n">
        <v>0</v>
      </c>
    </row>
    <row r="10" s="47" customFormat="true" ht="0.75" hidden="true" customHeight="true" outlineLevel="0" collapsed="false">
      <c r="A10" s="491"/>
      <c r="B10" s="491"/>
      <c r="C10" s="491"/>
      <c r="D10" s="491"/>
      <c r="E10" s="489"/>
      <c r="F10" s="489"/>
      <c r="G10" s="489"/>
      <c r="H10" s="489"/>
      <c r="I10" s="134"/>
      <c r="J10" s="491"/>
      <c r="K10" s="491"/>
      <c r="L10" s="492"/>
      <c r="M10" s="479"/>
      <c r="N10" s="479"/>
      <c r="O10" s="479"/>
      <c r="P10" s="121"/>
      <c r="Q10" s="121"/>
      <c r="R10" s="429"/>
      <c r="S10" s="502"/>
      <c r="T10" s="503"/>
      <c r="U10" s="504"/>
      <c r="V10" s="504"/>
      <c r="W10" s="504"/>
      <c r="X10" s="504"/>
      <c r="Y10" s="504"/>
      <c r="Z10" s="504"/>
      <c r="AA10" s="504"/>
      <c r="AB10" s="504"/>
      <c r="AC10" s="504"/>
      <c r="AD10" s="504"/>
      <c r="AE10" s="504"/>
      <c r="AF10" s="504"/>
      <c r="AG10" s="504"/>
      <c r="AH10" s="504"/>
      <c r="AI10" s="504"/>
      <c r="AJ10" s="504"/>
      <c r="AK10" s="505"/>
      <c r="AM10" s="118"/>
      <c r="AN10" s="118" t="str">
        <f aca="false">IF(T10="","",T10)</f>
        <v/>
      </c>
      <c r="AO10" s="118"/>
      <c r="AP10" s="118"/>
      <c r="AQ10" s="47" t="n">
        <v>0</v>
      </c>
    </row>
    <row r="11" s="47" customFormat="true" ht="0.75" hidden="true" customHeight="true" outlineLevel="0" collapsed="false">
      <c r="A11" s="491"/>
      <c r="B11" s="491"/>
      <c r="C11" s="491"/>
      <c r="D11" s="491"/>
      <c r="E11" s="489"/>
      <c r="F11" s="489"/>
      <c r="G11" s="489"/>
      <c r="H11" s="489"/>
      <c r="I11" s="491"/>
      <c r="J11" s="491"/>
      <c r="K11" s="491"/>
      <c r="L11" s="492"/>
      <c r="M11" s="493"/>
      <c r="N11" s="493"/>
      <c r="O11" s="120"/>
      <c r="P11" s="156"/>
      <c r="Q11" s="449"/>
      <c r="R11" s="548"/>
      <c r="S11" s="502"/>
      <c r="T11" s="503"/>
      <c r="U11" s="504"/>
      <c r="V11" s="504"/>
      <c r="W11" s="504"/>
      <c r="X11" s="504"/>
      <c r="Y11" s="504"/>
      <c r="Z11" s="504"/>
      <c r="AA11" s="504"/>
      <c r="AB11" s="504"/>
      <c r="AC11" s="504"/>
      <c r="AD11" s="504"/>
      <c r="AE11" s="504"/>
      <c r="AF11" s="504"/>
      <c r="AG11" s="504"/>
      <c r="AH11" s="504"/>
      <c r="AI11" s="504"/>
      <c r="AJ11" s="504"/>
      <c r="AK11" s="505"/>
      <c r="AM11" s="118"/>
      <c r="AN11" s="118" t="str">
        <f aca="false">IF(T11="","",T11)</f>
        <v/>
      </c>
      <c r="AO11" s="118"/>
      <c r="AP11" s="118"/>
      <c r="AQ11" s="47" t="n">
        <v>0</v>
      </c>
    </row>
    <row r="12" s="47" customFormat="true" ht="0.75" hidden="true" customHeight="true" outlineLevel="0" collapsed="false">
      <c r="A12" s="491"/>
      <c r="B12" s="491"/>
      <c r="C12" s="491"/>
      <c r="D12" s="491"/>
      <c r="E12" s="489"/>
      <c r="F12" s="489"/>
      <c r="G12" s="489"/>
      <c r="H12" s="491"/>
      <c r="I12" s="491"/>
      <c r="J12" s="491"/>
      <c r="K12" s="491"/>
      <c r="L12" s="492"/>
      <c r="M12" s="493"/>
      <c r="N12" s="493"/>
      <c r="O12" s="120"/>
      <c r="P12" s="156"/>
      <c r="Q12" s="449"/>
      <c r="R12" s="156"/>
      <c r="S12" s="454"/>
      <c r="T12" s="457" t="s">
        <v>427</v>
      </c>
      <c r="U12" s="456"/>
      <c r="V12" s="456"/>
      <c r="W12" s="456"/>
      <c r="X12" s="456"/>
      <c r="Y12" s="456"/>
      <c r="Z12" s="456"/>
      <c r="AA12" s="456"/>
      <c r="AB12" s="456"/>
      <c r="AC12" s="456"/>
      <c r="AD12" s="456"/>
      <c r="AE12" s="456"/>
      <c r="AF12" s="456"/>
      <c r="AG12" s="456"/>
      <c r="AH12" s="456"/>
      <c r="AI12" s="456"/>
      <c r="AJ12" s="456"/>
      <c r="AK12" s="456"/>
      <c r="AM12" s="118"/>
      <c r="AN12" s="118" t="str">
        <f aca="false">IF(T12="","",T12)</f>
        <v>Добавить источник для дифференциации</v>
      </c>
      <c r="AO12" s="118"/>
      <c r="AP12" s="118"/>
      <c r="AQ12" s="47" t="n">
        <v>0</v>
      </c>
    </row>
    <row r="13" s="47" customFormat="true" ht="0.75" hidden="true" customHeight="true" outlineLevel="0" collapsed="false">
      <c r="A13" s="491"/>
      <c r="B13" s="491"/>
      <c r="C13" s="491"/>
      <c r="D13" s="491"/>
      <c r="E13" s="489"/>
      <c r="F13" s="489"/>
      <c r="G13" s="491"/>
      <c r="H13" s="491"/>
      <c r="I13" s="491"/>
      <c r="J13" s="491"/>
      <c r="K13" s="491"/>
      <c r="L13" s="492"/>
      <c r="M13" s="494"/>
      <c r="N13" s="494"/>
      <c r="O13" s="120"/>
      <c r="P13" s="156"/>
      <c r="Q13" s="449"/>
      <c r="R13" s="156"/>
      <c r="S13" s="454"/>
      <c r="T13" s="457" t="s">
        <v>428</v>
      </c>
      <c r="U13" s="456"/>
      <c r="V13" s="456"/>
      <c r="W13" s="456"/>
      <c r="X13" s="456"/>
      <c r="Y13" s="456"/>
      <c r="Z13" s="456"/>
      <c r="AA13" s="456"/>
      <c r="AB13" s="456"/>
      <c r="AC13" s="456"/>
      <c r="AD13" s="456"/>
      <c r="AE13" s="456"/>
      <c r="AF13" s="456"/>
      <c r="AG13" s="456"/>
      <c r="AH13" s="456"/>
      <c r="AI13" s="456"/>
      <c r="AJ13" s="456"/>
      <c r="AK13" s="456"/>
      <c r="AM13" s="118"/>
      <c r="AN13" s="118" t="str">
        <f aca="false">IF(T13="","",T13)</f>
        <v>Добавить централизованную систему для дифференциации</v>
      </c>
      <c r="AO13" s="118"/>
      <c r="AP13" s="118"/>
      <c r="AQ13" s="47" t="n">
        <v>0</v>
      </c>
    </row>
    <row r="14" s="47" customFormat="true" ht="0.75" hidden="true" customHeight="true" outlineLevel="0" collapsed="false">
      <c r="A14" s="491"/>
      <c r="B14" s="491"/>
      <c r="C14" s="491"/>
      <c r="D14" s="491"/>
      <c r="E14" s="489"/>
      <c r="F14" s="491"/>
      <c r="G14" s="491"/>
      <c r="H14" s="491"/>
      <c r="I14" s="491"/>
      <c r="J14" s="491"/>
      <c r="K14" s="491"/>
      <c r="L14" s="492"/>
      <c r="M14" s="494"/>
      <c r="N14" s="494"/>
      <c r="O14" s="120"/>
      <c r="P14" s="156"/>
      <c r="Q14" s="449"/>
      <c r="R14" s="156"/>
      <c r="S14" s="454"/>
      <c r="T14" s="457" t="s">
        <v>429</v>
      </c>
      <c r="U14" s="456"/>
      <c r="V14" s="456"/>
      <c r="W14" s="456"/>
      <c r="X14" s="456"/>
      <c r="Y14" s="456"/>
      <c r="Z14" s="456"/>
      <c r="AA14" s="456"/>
      <c r="AB14" s="456"/>
      <c r="AC14" s="456"/>
      <c r="AD14" s="456"/>
      <c r="AE14" s="456"/>
      <c r="AF14" s="456"/>
      <c r="AG14" s="456"/>
      <c r="AH14" s="456"/>
      <c r="AI14" s="456"/>
      <c r="AJ14" s="456"/>
      <c r="AK14" s="456"/>
      <c r="AM14" s="118"/>
      <c r="AN14" s="118" t="str">
        <f aca="false">IF(T14="","",T14)</f>
        <v>Добавить территорию для дифференциации</v>
      </c>
      <c r="AO14" s="118"/>
      <c r="AP14" s="118"/>
      <c r="AQ14" s="47" t="n">
        <v>0</v>
      </c>
    </row>
    <row r="15" customFormat="false" ht="14.25" hidden="true" customHeight="true" outlineLevel="0" collapsed="false">
      <c r="AQ15" s="42" t="n">
        <v>0</v>
      </c>
    </row>
    <row r="16" customFormat="false" ht="14.25" hidden="true" customHeight="true" outlineLevel="0" collapsed="false">
      <c r="AC16" s="550"/>
      <c r="AD16" s="553"/>
      <c r="AE16" s="554"/>
      <c r="AF16" s="555"/>
      <c r="AG16" s="556" t="s">
        <v>61</v>
      </c>
      <c r="AH16" s="555"/>
      <c r="AI16" s="556" t="s">
        <v>61</v>
      </c>
      <c r="AQ16" s="42" t="n">
        <v>0</v>
      </c>
    </row>
    <row r="17" customFormat="false" ht="14.25" hidden="true" customHeight="true" outlineLevel="0" collapsed="false">
      <c r="AL17" s="120"/>
      <c r="AM17" s="120"/>
      <c r="AN17" s="120"/>
      <c r="AO17" s="120"/>
      <c r="AP17" s="120"/>
      <c r="AQ17" s="42" t="n">
        <v>0</v>
      </c>
    </row>
    <row r="18" customFormat="false" ht="14.25" hidden="true" customHeight="true" outlineLevel="0" collapsed="false">
      <c r="O18" s="495" t="s">
        <v>430</v>
      </c>
      <c r="X18" s="495"/>
      <c r="Z18" s="495"/>
      <c r="AF18" s="495"/>
      <c r="AH18" s="495"/>
      <c r="AL18" s="120"/>
      <c r="AM18" s="120"/>
      <c r="AN18" s="120"/>
      <c r="AO18" s="120"/>
      <c r="AP18" s="120"/>
      <c r="AQ18" s="42" t="n">
        <v>0</v>
      </c>
    </row>
    <row r="19" customFormat="false" ht="14.25" hidden="true" customHeight="true" outlineLevel="0" collapsed="false">
      <c r="AL19" s="120"/>
      <c r="AM19" s="120"/>
      <c r="AN19" s="120"/>
      <c r="AO19" s="120"/>
      <c r="AP19" s="120"/>
      <c r="AQ19" s="42" t="n">
        <v>0</v>
      </c>
    </row>
    <row r="20" s="557" customFormat="true" ht="14.25" hidden="true" customHeight="true" outlineLevel="0" collapsed="false">
      <c r="A20" s="586"/>
      <c r="B20" s="586"/>
      <c r="C20" s="586"/>
      <c r="D20" s="586"/>
      <c r="E20" s="586"/>
      <c r="F20" s="586"/>
      <c r="G20" s="586"/>
      <c r="H20" s="586"/>
      <c r="I20" s="586"/>
      <c r="J20" s="586"/>
      <c r="K20" s="586"/>
      <c r="L20" s="586"/>
      <c r="M20" s="496"/>
      <c r="N20" s="496"/>
      <c r="O20" s="586" t="s">
        <v>431</v>
      </c>
      <c r="P20" s="558"/>
      <c r="Q20" s="559"/>
      <c r="R20" s="559"/>
      <c r="Y20" s="557" t="s">
        <v>433</v>
      </c>
      <c r="AA20" s="557" t="s">
        <v>434</v>
      </c>
      <c r="AC20" s="557" t="s">
        <v>483</v>
      </c>
      <c r="AG20" s="557" t="s">
        <v>433</v>
      </c>
      <c r="AI20" s="557" t="s">
        <v>434</v>
      </c>
      <c r="AL20" s="560"/>
      <c r="AM20" s="560"/>
      <c r="AN20" s="560"/>
      <c r="AO20" s="560"/>
      <c r="AP20" s="560"/>
      <c r="AQ20" s="557" t="n">
        <v>0</v>
      </c>
    </row>
    <row r="21" customFormat="false" ht="14.25" hidden="true" customHeight="true" outlineLevel="0" collapsed="false">
      <c r="O21" s="490"/>
      <c r="AL21" s="120"/>
      <c r="AM21" s="120"/>
      <c r="AN21" s="120"/>
      <c r="AO21" s="120"/>
      <c r="AP21" s="120"/>
      <c r="AQ21" s="42" t="n">
        <v>0</v>
      </c>
    </row>
    <row r="22" customFormat="false" ht="14.25" hidden="true" customHeight="true" outlineLevel="0" collapsed="false">
      <c r="O22" s="490"/>
      <c r="AL22" s="120"/>
      <c r="AM22" s="120"/>
      <c r="AN22" s="120"/>
      <c r="AO22" s="120"/>
      <c r="AP22" s="120"/>
      <c r="AQ22" s="42" t="n">
        <v>0</v>
      </c>
    </row>
    <row r="23" customFormat="false" ht="14.25" hidden="false" customHeight="true" outlineLevel="0" collapsed="false">
      <c r="Q23" s="561"/>
      <c r="R23" s="464"/>
      <c r="S23" s="465"/>
      <c r="T23" s="80"/>
      <c r="U23" s="80"/>
      <c r="AQ23" s="42" t="n">
        <v>14</v>
      </c>
    </row>
    <row r="24" customFormat="false" ht="39.75" hidden="false" customHeight="true" outlineLevel="0" collapsed="false">
      <c r="Q24" s="561"/>
      <c r="R24" s="464"/>
      <c r="S24" s="220"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0"/>
      <c r="U24" s="220"/>
      <c r="V24" s="220"/>
      <c r="W24" s="220"/>
      <c r="X24" s="220"/>
      <c r="Y24" s="220"/>
      <c r="Z24" s="220"/>
      <c r="AA24" s="220"/>
      <c r="AB24" s="220"/>
      <c r="AC24" s="220"/>
      <c r="AD24" s="220"/>
      <c r="AE24" s="220"/>
      <c r="AF24" s="220"/>
      <c r="AG24" s="220"/>
      <c r="AH24" s="220"/>
      <c r="AI24" s="222"/>
      <c r="AQ24" s="42" t="n">
        <v>38</v>
      </c>
    </row>
    <row r="25" customFormat="false" ht="14.25" hidden="false" customHeight="true" outlineLevel="0" collapsed="false">
      <c r="Q25" s="561"/>
      <c r="R25" s="464"/>
      <c r="S25" s="261" t="str">
        <f aca="false">IF(org=0,"Не определено",org)</f>
        <v>ООО "Газпром теплоэнерго Ярославль"</v>
      </c>
      <c r="T25" s="261"/>
      <c r="U25" s="261"/>
      <c r="V25" s="261"/>
      <c r="W25" s="261"/>
      <c r="X25" s="261"/>
      <c r="Y25" s="261"/>
      <c r="Z25" s="261"/>
      <c r="AA25" s="261"/>
      <c r="AB25" s="261"/>
      <c r="AC25" s="261"/>
      <c r="AD25" s="261"/>
      <c r="AE25" s="261"/>
      <c r="AF25" s="261"/>
      <c r="AG25" s="261"/>
      <c r="AH25" s="261"/>
      <c r="AI25" s="222"/>
      <c r="AQ25" s="42" t="n">
        <v>14</v>
      </c>
    </row>
    <row r="26" customFormat="false" ht="14.25" hidden="true" customHeight="true" outlineLevel="0" collapsed="false">
      <c r="Q26" s="561"/>
      <c r="R26" s="464"/>
      <c r="S26" s="465"/>
      <c r="T26" s="80"/>
      <c r="U26" s="80"/>
      <c r="V26" s="466"/>
      <c r="W26" s="466"/>
      <c r="X26" s="466"/>
      <c r="Y26" s="466"/>
      <c r="Z26" s="466"/>
      <c r="AA26" s="466"/>
      <c r="AB26" s="466"/>
      <c r="AC26" s="466"/>
      <c r="AD26" s="466"/>
      <c r="AE26" s="466"/>
      <c r="AF26" s="466"/>
      <c r="AG26" s="466"/>
      <c r="AH26" s="466"/>
      <c r="AI26" s="466"/>
      <c r="AQ26" s="42" t="n">
        <v>0</v>
      </c>
    </row>
    <row r="27" s="175" customFormat="true" ht="25.5" hidden="true" customHeight="true" outlineLevel="0" collapsed="false">
      <c r="A27" s="96"/>
      <c r="B27" s="96"/>
      <c r="C27" s="96"/>
      <c r="D27" s="96"/>
      <c r="E27" s="96"/>
      <c r="F27" s="96"/>
      <c r="G27" s="96"/>
      <c r="H27" s="96"/>
      <c r="I27" s="96"/>
      <c r="J27" s="96"/>
      <c r="K27" s="96"/>
      <c r="L27" s="490"/>
      <c r="M27" s="96"/>
      <c r="N27" s="96"/>
      <c r="O27" s="96"/>
      <c r="P27" s="140"/>
      <c r="Q27" s="140"/>
      <c r="S27" s="467" t="s">
        <v>40</v>
      </c>
      <c r="T27" s="467"/>
      <c r="U27" s="468"/>
      <c r="V27" s="469" t="str">
        <f aca="false">IF(TITLE_NAME_OR_PR_CHANGE="",IF(TITLE_NAME_OR_PR="","",TITLE_NAME_OR_PR),TITLE_NAME_OR_PR_CHANGE)</f>
        <v/>
      </c>
      <c r="W27" s="469"/>
      <c r="X27" s="469"/>
      <c r="Y27" s="469"/>
      <c r="Z27" s="469"/>
      <c r="AA27" s="42"/>
      <c r="AB27" s="42"/>
      <c r="AC27" s="469"/>
      <c r="AD27" s="469"/>
      <c r="AE27" s="469"/>
      <c r="AF27" s="469"/>
      <c r="AG27" s="469"/>
      <c r="AH27" s="469"/>
      <c r="AI27" s="42"/>
      <c r="AJ27" s="42"/>
      <c r="AK27" s="470"/>
      <c r="AL27" s="118"/>
      <c r="AM27" s="118"/>
      <c r="AN27" s="118"/>
      <c r="AO27" s="118"/>
      <c r="AP27" s="118"/>
      <c r="AQ27" s="175" t="n">
        <v>0</v>
      </c>
    </row>
    <row r="28" s="175" customFormat="true" ht="18.75" hidden="true" customHeight="true" outlineLevel="0" collapsed="false">
      <c r="A28" s="96"/>
      <c r="B28" s="96"/>
      <c r="C28" s="96"/>
      <c r="D28" s="96"/>
      <c r="E28" s="96"/>
      <c r="F28" s="96"/>
      <c r="G28" s="96"/>
      <c r="H28" s="96"/>
      <c r="I28" s="96"/>
      <c r="J28" s="96"/>
      <c r="K28" s="96"/>
      <c r="L28" s="490"/>
      <c r="M28" s="96"/>
      <c r="N28" s="96"/>
      <c r="O28" s="96"/>
      <c r="P28" s="140"/>
      <c r="Q28" s="140"/>
      <c r="S28" s="467" t="s">
        <v>436</v>
      </c>
      <c r="T28" s="467"/>
      <c r="U28" s="468"/>
      <c r="V28" s="471" t="str">
        <f aca="false">IF(TITLE_DATE_PR_CHANGE="",IF(TITLE_DATE_PR="","",TITLE_DATE_PR),TITLE_DATE_PR_CHANGE)</f>
        <v/>
      </c>
      <c r="W28" s="471"/>
      <c r="X28" s="471"/>
      <c r="Y28" s="471"/>
      <c r="Z28" s="471"/>
      <c r="AA28" s="42"/>
      <c r="AB28" s="42"/>
      <c r="AC28" s="471"/>
      <c r="AD28" s="471"/>
      <c r="AE28" s="471"/>
      <c r="AF28" s="471"/>
      <c r="AG28" s="471"/>
      <c r="AH28" s="471"/>
      <c r="AI28" s="42"/>
      <c r="AJ28" s="42"/>
      <c r="AK28" s="470"/>
      <c r="AL28" s="118"/>
      <c r="AM28" s="118"/>
      <c r="AN28" s="118"/>
      <c r="AO28" s="118"/>
      <c r="AP28" s="118"/>
      <c r="AQ28" s="175" t="n">
        <v>0</v>
      </c>
    </row>
    <row r="29" s="175" customFormat="true" ht="18.75" hidden="true" customHeight="true" outlineLevel="0" collapsed="false">
      <c r="A29" s="96"/>
      <c r="B29" s="96"/>
      <c r="C29" s="96"/>
      <c r="D29" s="96"/>
      <c r="E29" s="96"/>
      <c r="F29" s="96"/>
      <c r="G29" s="96"/>
      <c r="H29" s="96"/>
      <c r="I29" s="96"/>
      <c r="J29" s="96"/>
      <c r="K29" s="96"/>
      <c r="L29" s="490"/>
      <c r="M29" s="96"/>
      <c r="N29" s="96"/>
      <c r="O29" s="96"/>
      <c r="P29" s="140"/>
      <c r="Q29" s="140"/>
      <c r="S29" s="467" t="s">
        <v>437</v>
      </c>
      <c r="T29" s="467"/>
      <c r="U29" s="468"/>
      <c r="V29" s="469" t="str">
        <f aca="false">IF(TITLE_NUMBER_PR_CHANGE="",IF(TITLE_NUMBER_PR="","",TITLE_NUMBER_PR),TITLE_NUMBER_PR_CHANGE)</f>
        <v/>
      </c>
      <c r="W29" s="469"/>
      <c r="X29" s="469"/>
      <c r="Y29" s="469"/>
      <c r="Z29" s="469"/>
      <c r="AA29" s="42"/>
      <c r="AB29" s="42"/>
      <c r="AC29" s="469"/>
      <c r="AD29" s="469"/>
      <c r="AE29" s="469"/>
      <c r="AF29" s="469"/>
      <c r="AG29" s="469"/>
      <c r="AH29" s="469"/>
      <c r="AI29" s="42"/>
      <c r="AJ29" s="42"/>
      <c r="AK29" s="470"/>
      <c r="AL29" s="118"/>
      <c r="AM29" s="118"/>
      <c r="AN29" s="118"/>
      <c r="AO29" s="118"/>
      <c r="AP29" s="118"/>
      <c r="AQ29" s="175" t="n">
        <v>0</v>
      </c>
    </row>
    <row r="30" s="175" customFormat="true" ht="18.75" hidden="true" customHeight="true" outlineLevel="0" collapsed="false">
      <c r="A30" s="96"/>
      <c r="B30" s="96"/>
      <c r="C30" s="96"/>
      <c r="D30" s="96"/>
      <c r="E30" s="96"/>
      <c r="F30" s="96"/>
      <c r="G30" s="96"/>
      <c r="H30" s="96"/>
      <c r="I30" s="96"/>
      <c r="J30" s="96"/>
      <c r="K30" s="96"/>
      <c r="L30" s="490"/>
      <c r="M30" s="96"/>
      <c r="N30" s="96"/>
      <c r="O30" s="96"/>
      <c r="P30" s="140"/>
      <c r="Q30" s="140"/>
      <c r="S30" s="467" t="s">
        <v>41</v>
      </c>
      <c r="T30" s="467"/>
      <c r="U30" s="468"/>
      <c r="V30" s="469" t="str">
        <f aca="false">IF(TITLE_IST_PUB_CHANGE="",IF(TITLE_IST_PUB="","",TITLE_IST_PUB),TITLE_IST_PUB_CHANGE)</f>
        <v/>
      </c>
      <c r="W30" s="469"/>
      <c r="X30" s="469"/>
      <c r="Y30" s="469"/>
      <c r="Z30" s="469"/>
      <c r="AA30" s="42"/>
      <c r="AB30" s="42"/>
      <c r="AC30" s="469"/>
      <c r="AD30" s="469"/>
      <c r="AE30" s="469"/>
      <c r="AF30" s="469"/>
      <c r="AG30" s="469"/>
      <c r="AH30" s="469"/>
      <c r="AI30" s="42"/>
      <c r="AJ30" s="42"/>
      <c r="AK30" s="470"/>
      <c r="AL30" s="118"/>
      <c r="AM30" s="118"/>
      <c r="AN30" s="118"/>
      <c r="AO30" s="118"/>
      <c r="AP30" s="118"/>
      <c r="AQ30" s="175" t="n">
        <v>0</v>
      </c>
    </row>
    <row r="31" customFormat="false" ht="14.25" hidden="true" customHeight="true" outlineLevel="0" collapsed="false">
      <c r="Q31" s="561"/>
      <c r="R31" s="464"/>
      <c r="S31" s="465"/>
      <c r="T31" s="80"/>
      <c r="U31" s="80"/>
      <c r="V31" s="466"/>
      <c r="W31" s="466"/>
      <c r="X31" s="466"/>
      <c r="Y31" s="466"/>
      <c r="Z31" s="466"/>
      <c r="AA31" s="466"/>
      <c r="AB31" s="466"/>
      <c r="AC31" s="466"/>
      <c r="AD31" s="466"/>
      <c r="AE31" s="466"/>
      <c r="AF31" s="466"/>
      <c r="AG31" s="466"/>
      <c r="AH31" s="466"/>
      <c r="AI31" s="466"/>
      <c r="AQ31" s="42" t="n">
        <v>0</v>
      </c>
    </row>
    <row r="32" s="175" customFormat="true" ht="18.75" hidden="true" customHeight="true" outlineLevel="0" collapsed="false">
      <c r="A32" s="96"/>
      <c r="B32" s="96"/>
      <c r="C32" s="96"/>
      <c r="D32" s="96"/>
      <c r="E32" s="96"/>
      <c r="F32" s="96"/>
      <c r="G32" s="96"/>
      <c r="H32" s="96"/>
      <c r="I32" s="96"/>
      <c r="J32" s="96"/>
      <c r="K32" s="96"/>
      <c r="L32" s="490"/>
      <c r="M32" s="96"/>
      <c r="N32" s="96"/>
      <c r="O32" s="96"/>
      <c r="P32" s="140"/>
      <c r="Q32" s="140"/>
      <c r="S32" s="467" t="s">
        <v>436</v>
      </c>
      <c r="T32" s="467"/>
      <c r="U32" s="468"/>
      <c r="V32" s="471" t="str">
        <f aca="false">IF(TITLE_DATE_PR_CHANGE="",IF(TITLE_DATE_PR="","",TITLE_DATE_PR),TITLE_DATE_PR_CHANGE)</f>
        <v/>
      </c>
      <c r="W32" s="471"/>
      <c r="X32" s="471"/>
      <c r="Y32" s="471"/>
      <c r="Z32" s="471"/>
      <c r="AA32" s="42"/>
      <c r="AB32" s="42"/>
      <c r="AC32" s="471"/>
      <c r="AD32" s="471"/>
      <c r="AE32" s="471"/>
      <c r="AF32" s="471"/>
      <c r="AG32" s="471"/>
      <c r="AH32" s="471"/>
      <c r="AI32" s="42"/>
      <c r="AJ32" s="42"/>
      <c r="AK32" s="470"/>
      <c r="AL32" s="118"/>
      <c r="AM32" s="118"/>
      <c r="AN32" s="118"/>
      <c r="AO32" s="118"/>
      <c r="AP32" s="118"/>
      <c r="AQ32" s="175" t="n">
        <v>0</v>
      </c>
    </row>
    <row r="33" s="175" customFormat="true" ht="18" hidden="true" customHeight="true" outlineLevel="0" collapsed="false">
      <c r="A33" s="96"/>
      <c r="B33" s="96"/>
      <c r="C33" s="96"/>
      <c r="D33" s="96"/>
      <c r="E33" s="96"/>
      <c r="F33" s="96"/>
      <c r="G33" s="96"/>
      <c r="H33" s="96"/>
      <c r="I33" s="96"/>
      <c r="J33" s="96"/>
      <c r="K33" s="96"/>
      <c r="L33" s="490"/>
      <c r="M33" s="96"/>
      <c r="N33" s="96"/>
      <c r="O33" s="96"/>
      <c r="P33" s="140"/>
      <c r="Q33" s="140"/>
      <c r="S33" s="467" t="s">
        <v>437</v>
      </c>
      <c r="T33" s="467"/>
      <c r="U33" s="468"/>
      <c r="V33" s="469" t="str">
        <f aca="false">IF(TITLE_NUMBER_PR_CHANGE="",IF(TITLE_NUMBER_PR="","",TITLE_NUMBER_PR),TITLE_NUMBER_PR_CHANGE)</f>
        <v/>
      </c>
      <c r="W33" s="469"/>
      <c r="X33" s="469"/>
      <c r="Y33" s="469"/>
      <c r="Z33" s="469"/>
      <c r="AA33" s="42"/>
      <c r="AB33" s="42"/>
      <c r="AC33" s="469"/>
      <c r="AD33" s="469"/>
      <c r="AE33" s="469"/>
      <c r="AF33" s="469"/>
      <c r="AG33" s="469"/>
      <c r="AH33" s="469"/>
      <c r="AI33" s="42"/>
      <c r="AJ33" s="42"/>
      <c r="AK33" s="470"/>
      <c r="AL33" s="118"/>
      <c r="AM33" s="118"/>
      <c r="AN33" s="118"/>
      <c r="AO33" s="118"/>
      <c r="AP33" s="118"/>
      <c r="AQ33" s="175" t="n">
        <v>0</v>
      </c>
    </row>
    <row r="34" s="175" customFormat="true" ht="0.75" hidden="false" customHeight="true" outlineLevel="0" collapsed="false">
      <c r="A34" s="96"/>
      <c r="B34" s="96"/>
      <c r="C34" s="96"/>
      <c r="D34" s="96"/>
      <c r="E34" s="96"/>
      <c r="F34" s="96"/>
      <c r="G34" s="96"/>
      <c r="H34" s="96"/>
      <c r="I34" s="96"/>
      <c r="J34" s="96"/>
      <c r="K34" s="96"/>
      <c r="L34" s="490"/>
      <c r="M34" s="96"/>
      <c r="N34" s="96"/>
      <c r="O34" s="96"/>
      <c r="P34" s="140"/>
      <c r="Q34" s="140"/>
      <c r="S34" s="42"/>
      <c r="T34" s="42"/>
      <c r="U34" s="128"/>
      <c r="V34" s="42"/>
      <c r="W34" s="42"/>
      <c r="X34" s="42"/>
      <c r="Y34" s="42"/>
      <c r="Z34" s="42"/>
      <c r="AA34" s="47" t="s">
        <v>440</v>
      </c>
      <c r="AB34" s="47"/>
      <c r="AC34" s="42"/>
      <c r="AD34" s="42"/>
      <c r="AE34" s="42"/>
      <c r="AF34" s="42"/>
      <c r="AG34" s="42"/>
      <c r="AH34" s="42"/>
      <c r="AI34" s="47" t="s">
        <v>440</v>
      </c>
      <c r="AL34" s="118"/>
      <c r="AM34" s="118"/>
      <c r="AN34" s="118"/>
      <c r="AO34" s="118"/>
      <c r="AP34" s="118"/>
      <c r="AQ34" s="175" t="n">
        <v>1</v>
      </c>
    </row>
    <row r="35" customFormat="false" ht="14.25" hidden="false" customHeight="true" outlineLevel="0" collapsed="false">
      <c r="Q35" s="561"/>
      <c r="R35" s="464"/>
      <c r="S35" s="465"/>
      <c r="T35" s="80"/>
      <c r="U35" s="472"/>
      <c r="V35" s="473"/>
      <c r="W35" s="473"/>
      <c r="X35" s="473"/>
      <c r="Y35" s="473"/>
      <c r="Z35" s="473"/>
      <c r="AA35" s="473"/>
      <c r="AB35" s="473"/>
      <c r="AC35" s="473"/>
      <c r="AD35" s="473"/>
      <c r="AE35" s="473"/>
      <c r="AF35" s="473"/>
      <c r="AG35" s="473"/>
      <c r="AH35" s="473"/>
      <c r="AI35" s="473"/>
      <c r="AQ35" s="42" t="n">
        <v>14</v>
      </c>
    </row>
    <row r="36" customFormat="false" ht="14.25" hidden="false" customHeight="true" outlineLevel="0" collapsed="false">
      <c r="Q36" s="561"/>
      <c r="R36" s="464"/>
      <c r="S36" s="134" t="s">
        <v>313</v>
      </c>
      <c r="T36" s="134"/>
      <c r="U36" s="134"/>
      <c r="V36" s="134"/>
      <c r="W36" s="134"/>
      <c r="X36" s="134"/>
      <c r="Y36" s="134"/>
      <c r="Z36" s="134"/>
      <c r="AA36" s="134"/>
      <c r="AB36" s="134"/>
      <c r="AC36" s="134"/>
      <c r="AD36" s="134"/>
      <c r="AE36" s="134"/>
      <c r="AF36" s="134"/>
      <c r="AG36" s="134"/>
      <c r="AH36" s="134"/>
      <c r="AI36" s="134"/>
      <c r="AJ36" s="134"/>
      <c r="AK36" s="134" t="s">
        <v>314</v>
      </c>
      <c r="AQ36" s="42" t="n">
        <v>14</v>
      </c>
    </row>
    <row r="37" customFormat="false" ht="14.25" hidden="false" customHeight="true" outlineLevel="0" collapsed="false">
      <c r="Q37" s="561"/>
      <c r="R37" s="464"/>
      <c r="S37" s="416" t="s">
        <v>87</v>
      </c>
      <c r="T37" s="391" t="s">
        <v>512</v>
      </c>
      <c r="U37" s="475"/>
      <c r="V37" s="587"/>
      <c r="W37" s="587"/>
      <c r="X37" s="587"/>
      <c r="Y37" s="587"/>
      <c r="Z37" s="587"/>
      <c r="AA37" s="391" t="s">
        <v>443</v>
      </c>
      <c r="AB37" s="296" t="s">
        <v>513</v>
      </c>
      <c r="AC37" s="296" t="s">
        <v>487</v>
      </c>
      <c r="AD37" s="588" t="s">
        <v>442</v>
      </c>
      <c r="AE37" s="588"/>
      <c r="AF37" s="588"/>
      <c r="AG37" s="588"/>
      <c r="AH37" s="588"/>
      <c r="AI37" s="391" t="s">
        <v>443</v>
      </c>
      <c r="AJ37" s="476" t="s">
        <v>445</v>
      </c>
      <c r="AK37" s="134"/>
      <c r="AQ37" s="42" t="n">
        <v>14</v>
      </c>
    </row>
    <row r="38" customFormat="false" ht="35.25" hidden="false" customHeight="true" outlineLevel="0" collapsed="false">
      <c r="Q38" s="561"/>
      <c r="R38" s="464"/>
      <c r="S38" s="416"/>
      <c r="T38" s="391"/>
      <c r="U38" s="477"/>
      <c r="V38" s="209" t="s">
        <v>490</v>
      </c>
      <c r="W38" s="209"/>
      <c r="X38" s="265" t="s">
        <v>449</v>
      </c>
      <c r="Y38" s="265"/>
      <c r="Z38" s="265"/>
      <c r="AA38" s="391"/>
      <c r="AB38" s="296"/>
      <c r="AC38" s="296"/>
      <c r="AD38" s="209" t="s">
        <v>490</v>
      </c>
      <c r="AE38" s="209"/>
      <c r="AF38" s="209" t="s">
        <v>449</v>
      </c>
      <c r="AG38" s="209"/>
      <c r="AH38" s="209"/>
      <c r="AI38" s="391"/>
      <c r="AJ38" s="476"/>
      <c r="AK38" s="134"/>
      <c r="AQ38" s="42" t="n">
        <v>34</v>
      </c>
    </row>
    <row r="39" customFormat="false" ht="14.25" hidden="false" customHeight="true" outlineLevel="0" collapsed="false">
      <c r="Q39" s="561"/>
      <c r="R39" s="464"/>
      <c r="S39" s="416"/>
      <c r="T39" s="391"/>
      <c r="U39" s="477"/>
      <c r="V39" s="565" t="str">
        <f aca="false">IF($AD$39&lt;&gt;"",$AD$39,"")</f>
        <v/>
      </c>
      <c r="W39" s="565"/>
      <c r="X39" s="265"/>
      <c r="Y39" s="265"/>
      <c r="Z39" s="265"/>
      <c r="AA39" s="391"/>
      <c r="AB39" s="296"/>
      <c r="AC39" s="296"/>
      <c r="AD39" s="589"/>
      <c r="AE39" s="589"/>
      <c r="AF39" s="209"/>
      <c r="AG39" s="209"/>
      <c r="AH39" s="209"/>
      <c r="AI39" s="391"/>
      <c r="AJ39" s="476"/>
      <c r="AK39" s="134"/>
      <c r="AQ39" s="42" t="n">
        <v>14</v>
      </c>
    </row>
    <row r="40" customFormat="false" ht="14.25" hidden="false" customHeight="true" outlineLevel="0" collapsed="false">
      <c r="A40" s="96"/>
      <c r="B40" s="96" t="s">
        <v>150</v>
      </c>
      <c r="C40" s="96" t="s">
        <v>151</v>
      </c>
      <c r="D40" s="96" t="s">
        <v>152</v>
      </c>
      <c r="E40" s="490" t="s">
        <v>450</v>
      </c>
      <c r="F40" s="490" t="s">
        <v>451</v>
      </c>
      <c r="G40" s="490" t="s">
        <v>452</v>
      </c>
      <c r="H40" s="490" t="s">
        <v>453</v>
      </c>
      <c r="I40" s="490" t="s">
        <v>454</v>
      </c>
      <c r="J40" s="490" t="s">
        <v>455</v>
      </c>
      <c r="K40" s="490" t="s">
        <v>456</v>
      </c>
      <c r="L40" s="490" t="s">
        <v>431</v>
      </c>
      <c r="Q40" s="561"/>
      <c r="R40" s="464"/>
      <c r="S40" s="416"/>
      <c r="T40" s="391"/>
      <c r="U40" s="478"/>
      <c r="V40" s="391" t="s">
        <v>491</v>
      </c>
      <c r="W40" s="391" t="s">
        <v>492</v>
      </c>
      <c r="X40" s="185" t="s">
        <v>459</v>
      </c>
      <c r="Y40" s="357" t="s">
        <v>460</v>
      </c>
      <c r="Z40" s="357"/>
      <c r="AA40" s="391"/>
      <c r="AB40" s="296"/>
      <c r="AC40" s="296"/>
      <c r="AD40" s="590" t="s">
        <v>491</v>
      </c>
      <c r="AE40" s="567" t="s">
        <v>492</v>
      </c>
      <c r="AF40" s="185" t="s">
        <v>459</v>
      </c>
      <c r="AG40" s="185" t="s">
        <v>460</v>
      </c>
      <c r="AH40" s="185"/>
      <c r="AI40" s="391"/>
      <c r="AJ40" s="476"/>
      <c r="AK40" s="134"/>
      <c r="AQ40" s="42" t="n">
        <v>14</v>
      </c>
    </row>
    <row r="41" s="120" customFormat="true" ht="11.25" hidden="true" customHeight="true" outlineLevel="0" collapsed="false">
      <c r="A41" s="96"/>
      <c r="B41" s="96"/>
      <c r="C41" s="96"/>
      <c r="D41" s="96"/>
      <c r="E41" s="96"/>
      <c r="F41" s="96"/>
      <c r="G41" s="96"/>
      <c r="H41" s="96"/>
      <c r="I41" s="96"/>
      <c r="J41" s="96"/>
      <c r="K41" s="96"/>
      <c r="L41" s="490"/>
      <c r="M41" s="50"/>
      <c r="N41" s="50"/>
      <c r="O41" s="50"/>
      <c r="P41" s="506"/>
      <c r="Q41" s="481"/>
      <c r="R41" s="481" t="n">
        <v>1</v>
      </c>
      <c r="S41" s="482" t="s">
        <v>120</v>
      </c>
      <c r="T41" s="483" t="s">
        <v>102</v>
      </c>
      <c r="U41" s="484" t="str">
        <f aca="true">OFFSET(U41,0,-1)</f>
        <v>2</v>
      </c>
      <c r="V41" s="485" t="n">
        <f aca="true">OFFSET(V41,0,-1)+1</f>
        <v>3</v>
      </c>
      <c r="W41" s="485" t="n">
        <f aca="true">OFFSET(W41,0,-1)+1</f>
        <v>4</v>
      </c>
      <c r="X41" s="485" t="n">
        <f aca="true">OFFSET(X41,0,-1)+1</f>
        <v>5</v>
      </c>
      <c r="Y41" s="485" t="n">
        <f aca="true">OFFSET(Y41,0,-1)+1</f>
        <v>6</v>
      </c>
      <c r="Z41" s="485"/>
      <c r="AA41" s="364" t="n">
        <f aca="true">OFFSET(AA41,0,-2)+1</f>
        <v>7</v>
      </c>
      <c r="AB41" s="364"/>
      <c r="AC41" s="364"/>
      <c r="AD41" s="485" t="n">
        <f aca="true">OFFSET(AD41,0,-1)+1</f>
        <v>1</v>
      </c>
      <c r="AE41" s="485" t="n">
        <f aca="true">OFFSET(AE41,0,-1)+1</f>
        <v>2</v>
      </c>
      <c r="AF41" s="485" t="n">
        <f aca="true">OFFSET(AF41,0,-1)+1</f>
        <v>3</v>
      </c>
      <c r="AG41" s="485" t="n">
        <f aca="true">OFFSET(AG41,0,-1)+1</f>
        <v>4</v>
      </c>
      <c r="AH41" s="485"/>
      <c r="AI41" s="485" t="n">
        <f aca="true">OFFSET(AI41,0,-2)+1</f>
        <v>5</v>
      </c>
      <c r="AJ41" s="484" t="n">
        <f aca="true">OFFSET(AJ41,0,-1)</f>
        <v>5</v>
      </c>
      <c r="AK41" s="485" t="n">
        <f aca="true">OFFSET(AK41,0,-1)+1</f>
        <v>6</v>
      </c>
      <c r="AL41" s="47"/>
      <c r="AM41" s="47"/>
      <c r="AN41" s="47"/>
      <c r="AO41" s="47"/>
      <c r="AP41" s="47"/>
      <c r="AQ41" s="120" t="n">
        <v>0</v>
      </c>
    </row>
    <row r="42" customFormat="false" ht="107.25" hidden="false" customHeight="true" outlineLevel="0" collapsed="false">
      <c r="A42" s="241" t="s">
        <v>219</v>
      </c>
      <c r="B42" s="241"/>
      <c r="C42" s="241"/>
      <c r="D42" s="241"/>
      <c r="E42" s="489" t="n">
        <v>1</v>
      </c>
      <c r="F42" s="241"/>
      <c r="G42" s="241"/>
      <c r="H42" s="241"/>
      <c r="I42" s="241"/>
      <c r="J42" s="241"/>
      <c r="K42" s="241"/>
      <c r="L42" s="490"/>
      <c r="M42" s="75"/>
      <c r="N42" s="75"/>
      <c r="O42" s="75"/>
      <c r="Q42" s="54"/>
      <c r="R42" s="415"/>
      <c r="S42" s="416" t="n">
        <f aca="false">INDEX(PT_DIFFERENTIATION_NUM_NTAR,MATCH(A42,PT_DIFFERENTIATION_NTAR_ID,0))</f>
        <v>0</v>
      </c>
      <c r="T42" s="417" t="s">
        <v>138</v>
      </c>
      <c r="U42" s="418"/>
      <c r="V42" s="532"/>
      <c r="W42" s="532"/>
      <c r="X42" s="532"/>
      <c r="Y42" s="532"/>
      <c r="Z42" s="532"/>
      <c r="AA42" s="532"/>
      <c r="AB42" s="580"/>
      <c r="AC42" s="581" t="str">
        <f aca="false">INDEX(PT_DIFFERENTIATION_NTAR,MATCH(A42,PT_DIFFERENTIATION_NTAR_ID,0))</f>
        <v/>
      </c>
      <c r="AD42" s="581"/>
      <c r="AE42" s="581"/>
      <c r="AF42" s="581"/>
      <c r="AG42" s="581"/>
      <c r="AH42" s="581"/>
      <c r="AI42" s="581"/>
      <c r="AJ42" s="581"/>
      <c r="AK42" s="421"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18"/>
      <c r="AN42" s="118" t="str">
        <f aca="false">IF(T42="","",T42)</f>
        <v>Наименование тарифа</v>
      </c>
      <c r="AO42" s="118"/>
      <c r="AP42" s="118"/>
      <c r="AQ42" s="42" t="n">
        <v>102</v>
      </c>
    </row>
    <row r="43" customFormat="false" ht="21.75" hidden="false" customHeight="true" outlineLevel="0" collapsed="false">
      <c r="A43" s="241" t="s">
        <v>219</v>
      </c>
      <c r="B43" s="241" t="s">
        <v>220</v>
      </c>
      <c r="C43" s="241"/>
      <c r="D43" s="241"/>
      <c r="E43" s="489"/>
      <c r="F43" s="489" t="n">
        <v>1</v>
      </c>
      <c r="G43" s="241"/>
      <c r="H43" s="241"/>
      <c r="I43" s="241"/>
      <c r="J43" s="241"/>
      <c r="K43" s="241"/>
      <c r="L43" s="490"/>
      <c r="M43" s="75"/>
      <c r="N43" s="75"/>
      <c r="O43" s="75"/>
      <c r="P43" s="44"/>
      <c r="Q43" s="533"/>
      <c r="R43" s="423"/>
      <c r="S43" s="416" t="str">
        <f aca="false">INDEX(PT_DIFFERENTIATION_NUM_TER,MATCH(B43,PT_DIFFERENTIATION_TER_ID,0))</f>
        <v>.</v>
      </c>
      <c r="T43" s="424" t="s">
        <v>410</v>
      </c>
      <c r="U43" s="418"/>
      <c r="V43" s="532"/>
      <c r="W43" s="532"/>
      <c r="X43" s="532"/>
      <c r="Y43" s="532"/>
      <c r="Z43" s="532"/>
      <c r="AA43" s="532"/>
      <c r="AB43" s="580"/>
      <c r="AC43" s="581" t="str">
        <f aca="false">INDEX(PT_DIFFERENTIATION_TER,MATCH(B43,PT_DIFFERENTIATION_TER_ID,0))</f>
        <v/>
      </c>
      <c r="AD43" s="581"/>
      <c r="AE43" s="581"/>
      <c r="AF43" s="581"/>
      <c r="AG43" s="581"/>
      <c r="AH43" s="581"/>
      <c r="AI43" s="581"/>
      <c r="AJ43" s="581"/>
      <c r="AK43" s="421" t="s">
        <v>411</v>
      </c>
      <c r="AM43" s="118"/>
      <c r="AN43" s="118" t="str">
        <f aca="false">IF(T43="","",T43)</f>
        <v>Территория действия тарифа</v>
      </c>
      <c r="AO43" s="118"/>
      <c r="AP43" s="118"/>
      <c r="AQ43" s="42" t="n">
        <v>21</v>
      </c>
    </row>
    <row r="44" customFormat="false" ht="24" hidden="false" customHeight="true" outlineLevel="0" collapsed="false">
      <c r="A44" s="241" t="s">
        <v>219</v>
      </c>
      <c r="B44" s="241" t="s">
        <v>220</v>
      </c>
      <c r="C44" s="241" t="s">
        <v>221</v>
      </c>
      <c r="D44" s="241"/>
      <c r="E44" s="489"/>
      <c r="F44" s="489"/>
      <c r="G44" s="489" t="n">
        <v>1</v>
      </c>
      <c r="H44" s="241"/>
      <c r="I44" s="241"/>
      <c r="J44" s="241"/>
      <c r="K44" s="241"/>
      <c r="L44" s="490"/>
      <c r="M44" s="75"/>
      <c r="N44" s="75"/>
      <c r="O44" s="75"/>
      <c r="P44" s="127"/>
      <c r="Q44" s="533"/>
      <c r="R44" s="423"/>
      <c r="S44" s="416" t="str">
        <f aca="false">INDEX(PT_DIFFERENTIATION_NUM_CS,MATCH(C44,PT_DIFFERENTIATION_CS_ID,0))</f>
        <v>..</v>
      </c>
      <c r="T44" s="426" t="s">
        <v>412</v>
      </c>
      <c r="U44" s="418"/>
      <c r="V44" s="532"/>
      <c r="W44" s="532"/>
      <c r="X44" s="532"/>
      <c r="Y44" s="532"/>
      <c r="Z44" s="532"/>
      <c r="AA44" s="532"/>
      <c r="AB44" s="580"/>
      <c r="AC44" s="581" t="str">
        <f aca="false">INDEX(PT_DIFFERENTIATION_CS,MATCH(C44,PT_DIFFERENTIATION_CS_ID,0))</f>
        <v/>
      </c>
      <c r="AD44" s="581"/>
      <c r="AE44" s="581"/>
      <c r="AF44" s="581"/>
      <c r="AG44" s="581"/>
      <c r="AH44" s="581"/>
      <c r="AI44" s="581"/>
      <c r="AJ44" s="581"/>
      <c r="AK44" s="421" t="s">
        <v>413</v>
      </c>
      <c r="AM44" s="118"/>
      <c r="AN44" s="118" t="str">
        <f aca="false">IF(T44="","",T44)</f>
        <v>Наименование системы теплоснабжения</v>
      </c>
      <c r="AO44" s="118"/>
      <c r="AP44" s="118"/>
      <c r="AQ44" s="42" t="n">
        <v>23</v>
      </c>
    </row>
    <row r="45" customFormat="false" ht="21.75" hidden="false" customHeight="true" outlineLevel="0" collapsed="false">
      <c r="A45" s="241" t="s">
        <v>219</v>
      </c>
      <c r="B45" s="241" t="s">
        <v>220</v>
      </c>
      <c r="C45" s="241" t="s">
        <v>221</v>
      </c>
      <c r="D45" s="241" t="s">
        <v>222</v>
      </c>
      <c r="E45" s="489"/>
      <c r="F45" s="489"/>
      <c r="G45" s="489"/>
      <c r="H45" s="489" t="n">
        <v>1</v>
      </c>
      <c r="I45" s="241"/>
      <c r="J45" s="241"/>
      <c r="K45" s="241"/>
      <c r="L45" s="490"/>
      <c r="M45" s="75"/>
      <c r="N45" s="75"/>
      <c r="O45" s="75"/>
      <c r="P45" s="127"/>
      <c r="Q45" s="533"/>
      <c r="R45" s="423"/>
      <c r="S45" s="416" t="str">
        <f aca="false">INDEX(PT_DIFFERENTIATION_NUM_IST_TE,MATCH(D45,PT_DIFFERENTIATION_IST_TE_ID,0))</f>
        <v>...</v>
      </c>
      <c r="T45" s="427" t="s">
        <v>414</v>
      </c>
      <c r="U45" s="418"/>
      <c r="V45" s="532"/>
      <c r="W45" s="532"/>
      <c r="X45" s="532"/>
      <c r="Y45" s="532"/>
      <c r="Z45" s="532"/>
      <c r="AA45" s="532"/>
      <c r="AB45" s="580"/>
      <c r="AC45" s="581" t="str">
        <f aca="false">INDEX(PT_DIFFERENTIATION_IST_TE,MATCH(D45,PT_DIFFERENTIATION_IST_TE_ID,0))</f>
        <v/>
      </c>
      <c r="AD45" s="581"/>
      <c r="AE45" s="581"/>
      <c r="AF45" s="581"/>
      <c r="AG45" s="581"/>
      <c r="AH45" s="581"/>
      <c r="AI45" s="581"/>
      <c r="AJ45" s="581"/>
      <c r="AK45" s="421" t="s">
        <v>415</v>
      </c>
      <c r="AM45" s="118"/>
      <c r="AN45" s="118" t="str">
        <f aca="false">IF(T45="","",T45)</f>
        <v>Источник тепловой энергии</v>
      </c>
      <c r="AO45" s="118"/>
      <c r="AP45" s="118"/>
      <c r="AQ45" s="42" t="n">
        <v>21</v>
      </c>
    </row>
    <row r="46" s="47" customFormat="true" ht="12.8" hidden="false" customHeight="false" outlineLevel="0" collapsed="false">
      <c r="A46" s="491" t="s">
        <v>219</v>
      </c>
      <c r="B46" s="491" t="s">
        <v>220</v>
      </c>
      <c r="C46" s="491" t="s">
        <v>221</v>
      </c>
      <c r="D46" s="491" t="s">
        <v>222</v>
      </c>
      <c r="E46" s="489"/>
      <c r="F46" s="489"/>
      <c r="G46" s="489"/>
      <c r="H46" s="489"/>
      <c r="I46" s="134" t="str">
        <f aca="false">S45&amp;".1"</f>
        <v>....1</v>
      </c>
      <c r="J46" s="491"/>
      <c r="K46" s="491"/>
      <c r="L46" s="492" t="s">
        <v>416</v>
      </c>
      <c r="M46" s="479"/>
      <c r="N46" s="479"/>
      <c r="O46" s="479"/>
      <c r="P46" s="121" t="n">
        <v>1</v>
      </c>
      <c r="Q46" s="121"/>
      <c r="R46" s="429"/>
      <c r="S46" s="301"/>
      <c r="T46" s="498"/>
      <c r="U46" s="499"/>
      <c r="V46" s="534"/>
      <c r="W46" s="534"/>
      <c r="X46" s="534"/>
      <c r="Y46" s="534"/>
      <c r="Z46" s="534"/>
      <c r="AA46" s="534"/>
      <c r="AB46" s="582"/>
      <c r="AC46" s="534"/>
      <c r="AD46" s="534"/>
      <c r="AE46" s="534"/>
      <c r="AF46" s="534"/>
      <c r="AG46" s="534"/>
      <c r="AH46" s="534"/>
      <c r="AI46" s="534"/>
      <c r="AJ46" s="534"/>
      <c r="AK46" s="501"/>
      <c r="AM46" s="118"/>
      <c r="AN46" s="118" t="str">
        <f aca="false">IF(T46="","",T46)</f>
        <v/>
      </c>
      <c r="AO46" s="118"/>
      <c r="AP46" s="118"/>
      <c r="AQ46" s="47" t="n">
        <v>0</v>
      </c>
    </row>
    <row r="47" s="47" customFormat="true" ht="12.8" hidden="false" customHeight="false" outlineLevel="0" collapsed="false">
      <c r="A47" s="491" t="s">
        <v>219</v>
      </c>
      <c r="B47" s="491" t="s">
        <v>220</v>
      </c>
      <c r="C47" s="491" t="s">
        <v>221</v>
      </c>
      <c r="D47" s="491" t="s">
        <v>222</v>
      </c>
      <c r="E47" s="489"/>
      <c r="F47" s="489"/>
      <c r="G47" s="489"/>
      <c r="H47" s="489"/>
      <c r="I47" s="134"/>
      <c r="J47" s="146" t="str">
        <f aca="false">S45&amp;".1"</f>
        <v>....1</v>
      </c>
      <c r="K47" s="491"/>
      <c r="L47" s="492"/>
      <c r="M47" s="479"/>
      <c r="N47" s="479"/>
      <c r="O47" s="479"/>
      <c r="P47" s="121"/>
      <c r="Q47" s="121" t="n">
        <v>1</v>
      </c>
      <c r="R47" s="432"/>
      <c r="S47" s="301"/>
      <c r="T47" s="535"/>
      <c r="U47" s="499"/>
      <c r="V47" s="534"/>
      <c r="W47" s="534"/>
      <c r="X47" s="534"/>
      <c r="Y47" s="534"/>
      <c r="Z47" s="534"/>
      <c r="AA47" s="534"/>
      <c r="AB47" s="582"/>
      <c r="AC47" s="534"/>
      <c r="AD47" s="534"/>
      <c r="AE47" s="534"/>
      <c r="AF47" s="534"/>
      <c r="AG47" s="534"/>
      <c r="AH47" s="534"/>
      <c r="AI47" s="534"/>
      <c r="AJ47" s="534"/>
      <c r="AK47" s="501"/>
      <c r="AM47" s="118"/>
      <c r="AN47" s="118" t="str">
        <f aca="false">IF(T47="","",T47)</f>
        <v/>
      </c>
      <c r="AO47" s="118"/>
      <c r="AP47" s="118"/>
      <c r="AQ47" s="47" t="n">
        <v>0</v>
      </c>
    </row>
    <row r="48" customFormat="false" ht="21.75" hidden="false" customHeight="true" outlineLevel="0" collapsed="false">
      <c r="A48" s="241" t="s">
        <v>219</v>
      </c>
      <c r="B48" s="241" t="s">
        <v>220</v>
      </c>
      <c r="C48" s="241" t="s">
        <v>221</v>
      </c>
      <c r="D48" s="241" t="s">
        <v>222</v>
      </c>
      <c r="E48" s="489"/>
      <c r="F48" s="489"/>
      <c r="G48" s="489"/>
      <c r="H48" s="489"/>
      <c r="I48" s="134"/>
      <c r="J48" s="134"/>
      <c r="K48" s="146" t="str">
        <f aca="false">S45&amp;".1"</f>
        <v>....1</v>
      </c>
      <c r="L48" s="490"/>
      <c r="P48" s="121"/>
      <c r="Q48" s="121"/>
      <c r="R48" s="432" t="n">
        <v>1</v>
      </c>
      <c r="S48" s="508" t="str">
        <f aca="false">$K48</f>
        <v>....1</v>
      </c>
      <c r="T48" s="583"/>
      <c r="U48" s="418"/>
      <c r="V48" s="435"/>
      <c r="W48" s="437"/>
      <c r="X48" s="438"/>
      <c r="Y48" s="204" t="s">
        <v>61</v>
      </c>
      <c r="Z48" s="438"/>
      <c r="AA48" s="204" t="s">
        <v>61</v>
      </c>
      <c r="AB48" s="584"/>
      <c r="AC48" s="585"/>
      <c r="AD48" s="435"/>
      <c r="AE48" s="437"/>
      <c r="AF48" s="438"/>
      <c r="AG48" s="204" t="s">
        <v>61</v>
      </c>
      <c r="AH48" s="438"/>
      <c r="AI48" s="204" t="s">
        <v>61</v>
      </c>
      <c r="AJ48" s="486"/>
      <c r="AK48" s="575" t="s">
        <v>493</v>
      </c>
      <c r="AL48" s="47" t="e">
        <f aca="false">strcheckdate(#REF!)</f>
        <v>#REF!</v>
      </c>
      <c r="AM48" s="118"/>
      <c r="AN48" s="118" t="str">
        <f aca="false">IF(T48="","",T48)</f>
        <v/>
      </c>
      <c r="AO48" s="118"/>
      <c r="AP48" s="118"/>
      <c r="AQ48" s="42" t="n">
        <v>21</v>
      </c>
    </row>
    <row r="49" customFormat="false" ht="11.25" hidden="false" customHeight="true" outlineLevel="0" collapsed="false">
      <c r="A49" s="241" t="s">
        <v>219</v>
      </c>
      <c r="B49" s="241" t="s">
        <v>220</v>
      </c>
      <c r="C49" s="241" t="s">
        <v>221</v>
      </c>
      <c r="D49" s="241" t="s">
        <v>222</v>
      </c>
      <c r="E49" s="489"/>
      <c r="F49" s="489"/>
      <c r="G49" s="489"/>
      <c r="H49" s="489"/>
      <c r="I49" s="134"/>
      <c r="J49" s="146"/>
      <c r="K49" s="241"/>
      <c r="L49" s="490"/>
      <c r="P49" s="121"/>
      <c r="Q49" s="121"/>
      <c r="R49" s="429"/>
      <c r="S49" s="441"/>
      <c r="T49" s="444" t="s">
        <v>481</v>
      </c>
      <c r="U49" s="194"/>
      <c r="V49" s="194"/>
      <c r="W49" s="194"/>
      <c r="X49" s="194"/>
      <c r="Y49" s="194"/>
      <c r="Z49" s="194"/>
      <c r="AA49" s="443"/>
      <c r="AB49" s="194"/>
      <c r="AC49" s="194"/>
      <c r="AD49" s="194"/>
      <c r="AE49" s="194"/>
      <c r="AF49" s="194"/>
      <c r="AG49" s="194"/>
      <c r="AH49" s="194"/>
      <c r="AI49" s="194"/>
      <c r="AJ49" s="443"/>
      <c r="AK49" s="575"/>
      <c r="AM49" s="118"/>
      <c r="AN49" s="118" t="str">
        <f aca="false">IF(T49="","",T49)</f>
        <v>Добавить строку</v>
      </c>
      <c r="AO49" s="118"/>
      <c r="AP49" s="118"/>
      <c r="AQ49" s="42" t="n">
        <v>11</v>
      </c>
    </row>
    <row r="50" s="47" customFormat="true" ht="0.75" hidden="false" customHeight="true" outlineLevel="0" collapsed="false">
      <c r="A50" s="491" t="s">
        <v>219</v>
      </c>
      <c r="B50" s="491" t="s">
        <v>220</v>
      </c>
      <c r="C50" s="491" t="s">
        <v>221</v>
      </c>
      <c r="D50" s="491" t="s">
        <v>222</v>
      </c>
      <c r="E50" s="489"/>
      <c r="F50" s="489"/>
      <c r="G50" s="489"/>
      <c r="H50" s="489"/>
      <c r="I50" s="134"/>
      <c r="J50" s="491"/>
      <c r="K50" s="491"/>
      <c r="L50" s="492"/>
      <c r="M50" s="479"/>
      <c r="N50" s="479"/>
      <c r="O50" s="479"/>
      <c r="P50" s="121"/>
      <c r="Q50" s="121"/>
      <c r="R50" s="429"/>
      <c r="S50" s="502"/>
      <c r="T50" s="503" t="s">
        <v>425</v>
      </c>
      <c r="U50" s="504"/>
      <c r="V50" s="504"/>
      <c r="W50" s="504"/>
      <c r="X50" s="504"/>
      <c r="Y50" s="504"/>
      <c r="Z50" s="504"/>
      <c r="AA50" s="504"/>
      <c r="AB50" s="504"/>
      <c r="AC50" s="504"/>
      <c r="AD50" s="504"/>
      <c r="AE50" s="504"/>
      <c r="AF50" s="504"/>
      <c r="AG50" s="504"/>
      <c r="AH50" s="504"/>
      <c r="AI50" s="504"/>
      <c r="AJ50" s="504"/>
      <c r="AK50" s="505"/>
      <c r="AM50" s="118"/>
      <c r="AN50" s="118" t="str">
        <f aca="false">IF(T50="","",T50)</f>
        <v>Добавить группу потребителей</v>
      </c>
      <c r="AO50" s="118"/>
      <c r="AP50" s="118"/>
      <c r="AQ50" s="47" t="n">
        <v>1</v>
      </c>
    </row>
    <row r="51" s="120" customFormat="true" ht="0.75" hidden="false" customHeight="true" outlineLevel="0" collapsed="false">
      <c r="A51" s="491" t="s">
        <v>219</v>
      </c>
      <c r="B51" s="491" t="s">
        <v>220</v>
      </c>
      <c r="C51" s="491" t="s">
        <v>221</v>
      </c>
      <c r="D51" s="491" t="s">
        <v>222</v>
      </c>
      <c r="E51" s="489"/>
      <c r="F51" s="489"/>
      <c r="G51" s="489"/>
      <c r="H51" s="489"/>
      <c r="I51" s="491"/>
      <c r="J51" s="491"/>
      <c r="K51" s="491"/>
      <c r="L51" s="492"/>
      <c r="M51" s="493"/>
      <c r="N51" s="493"/>
      <c r="P51" s="156"/>
      <c r="Q51" s="449"/>
      <c r="R51" s="570"/>
      <c r="S51" s="502"/>
      <c r="T51" s="503"/>
      <c r="U51" s="504"/>
      <c r="V51" s="504"/>
      <c r="W51" s="504"/>
      <c r="X51" s="504"/>
      <c r="Y51" s="504"/>
      <c r="Z51" s="504"/>
      <c r="AA51" s="504"/>
      <c r="AB51" s="504"/>
      <c r="AC51" s="504"/>
      <c r="AD51" s="504"/>
      <c r="AE51" s="504"/>
      <c r="AF51" s="504"/>
      <c r="AG51" s="504"/>
      <c r="AH51" s="504"/>
      <c r="AI51" s="504"/>
      <c r="AJ51" s="504"/>
      <c r="AK51" s="505"/>
      <c r="AL51" s="47"/>
      <c r="AM51" s="118"/>
      <c r="AN51" s="118" t="str">
        <f aca="false">IF(T51="","",T51)</f>
        <v/>
      </c>
      <c r="AO51" s="118"/>
      <c r="AP51" s="118"/>
      <c r="AQ51" s="120" t="n">
        <v>1</v>
      </c>
    </row>
    <row r="52" s="47" customFormat="true" ht="0.75" hidden="false" customHeight="true" outlineLevel="0" collapsed="false">
      <c r="A52" s="491" t="s">
        <v>219</v>
      </c>
      <c r="B52" s="491" t="s">
        <v>220</v>
      </c>
      <c r="C52" s="491" t="s">
        <v>221</v>
      </c>
      <c r="D52" s="491"/>
      <c r="E52" s="489"/>
      <c r="F52" s="489"/>
      <c r="G52" s="489"/>
      <c r="H52" s="491"/>
      <c r="I52" s="491"/>
      <c r="J52" s="491"/>
      <c r="K52" s="491"/>
      <c r="L52" s="492"/>
      <c r="M52" s="493"/>
      <c r="N52" s="493"/>
      <c r="O52" s="120"/>
      <c r="P52" s="156"/>
      <c r="Q52" s="449"/>
      <c r="R52" s="156"/>
      <c r="S52" s="454"/>
      <c r="T52" s="457" t="s">
        <v>427</v>
      </c>
      <c r="U52" s="456"/>
      <c r="V52" s="456"/>
      <c r="W52" s="456"/>
      <c r="X52" s="456"/>
      <c r="Y52" s="456"/>
      <c r="Z52" s="456"/>
      <c r="AA52" s="456"/>
      <c r="AB52" s="456"/>
      <c r="AC52" s="456"/>
      <c r="AD52" s="456"/>
      <c r="AE52" s="456"/>
      <c r="AF52" s="456"/>
      <c r="AG52" s="456"/>
      <c r="AH52" s="456"/>
      <c r="AI52" s="456"/>
      <c r="AJ52" s="456"/>
      <c r="AK52" s="456"/>
      <c r="AM52" s="118"/>
      <c r="AN52" s="118" t="str">
        <f aca="false">IF(T52="","",T52)</f>
        <v>Добавить источник для дифференциации</v>
      </c>
      <c r="AO52" s="118"/>
      <c r="AP52" s="118"/>
      <c r="AQ52" s="47" t="n">
        <v>1</v>
      </c>
    </row>
    <row r="53" s="47" customFormat="true" ht="0.75" hidden="false" customHeight="true" outlineLevel="0" collapsed="false">
      <c r="A53" s="491" t="s">
        <v>219</v>
      </c>
      <c r="B53" s="491" t="s">
        <v>220</v>
      </c>
      <c r="C53" s="491"/>
      <c r="D53" s="491"/>
      <c r="E53" s="489"/>
      <c r="F53" s="489"/>
      <c r="G53" s="491"/>
      <c r="H53" s="491"/>
      <c r="I53" s="491"/>
      <c r="J53" s="491"/>
      <c r="K53" s="491"/>
      <c r="L53" s="492"/>
      <c r="M53" s="494"/>
      <c r="N53" s="494"/>
      <c r="O53" s="120"/>
      <c r="P53" s="156"/>
      <c r="Q53" s="449"/>
      <c r="R53" s="156"/>
      <c r="S53" s="454"/>
      <c r="T53" s="457" t="s">
        <v>428</v>
      </c>
      <c r="U53" s="456"/>
      <c r="V53" s="456"/>
      <c r="W53" s="456"/>
      <c r="X53" s="456"/>
      <c r="Y53" s="456"/>
      <c r="Z53" s="456"/>
      <c r="AA53" s="456"/>
      <c r="AB53" s="456"/>
      <c r="AC53" s="456"/>
      <c r="AD53" s="456"/>
      <c r="AE53" s="456"/>
      <c r="AF53" s="456"/>
      <c r="AG53" s="456"/>
      <c r="AH53" s="456"/>
      <c r="AI53" s="456"/>
      <c r="AJ53" s="456"/>
      <c r="AK53" s="456"/>
      <c r="AM53" s="118"/>
      <c r="AN53" s="118" t="str">
        <f aca="false">IF(T53="","",T53)</f>
        <v>Добавить централизованную систему для дифференциации</v>
      </c>
      <c r="AO53" s="118"/>
      <c r="AP53" s="118"/>
      <c r="AQ53" s="47" t="n">
        <v>1</v>
      </c>
    </row>
    <row r="54" s="47" customFormat="true" ht="0.75" hidden="false" customHeight="true" outlineLevel="0" collapsed="false">
      <c r="A54" s="491" t="s">
        <v>219</v>
      </c>
      <c r="B54" s="491"/>
      <c r="C54" s="491"/>
      <c r="D54" s="491"/>
      <c r="E54" s="489"/>
      <c r="F54" s="491"/>
      <c r="G54" s="491"/>
      <c r="H54" s="491"/>
      <c r="I54" s="491"/>
      <c r="J54" s="491"/>
      <c r="K54" s="491"/>
      <c r="L54" s="492"/>
      <c r="M54" s="494"/>
      <c r="N54" s="494"/>
      <c r="O54" s="120"/>
      <c r="P54" s="156"/>
      <c r="Q54" s="449"/>
      <c r="R54" s="156"/>
      <c r="S54" s="454"/>
      <c r="T54" s="457" t="s">
        <v>429</v>
      </c>
      <c r="U54" s="456"/>
      <c r="V54" s="456"/>
      <c r="W54" s="456"/>
      <c r="X54" s="456"/>
      <c r="Y54" s="456"/>
      <c r="Z54" s="456"/>
      <c r="AA54" s="456"/>
      <c r="AB54" s="456"/>
      <c r="AC54" s="456"/>
      <c r="AD54" s="456"/>
      <c r="AE54" s="456"/>
      <c r="AF54" s="456"/>
      <c r="AG54" s="456"/>
      <c r="AH54" s="456"/>
      <c r="AI54" s="456"/>
      <c r="AJ54" s="456"/>
      <c r="AK54" s="456"/>
      <c r="AM54" s="118"/>
      <c r="AN54" s="118" t="str">
        <f aca="false">IF(T54="","",T54)</f>
        <v>Добавить территорию для дифференциации</v>
      </c>
      <c r="AO54" s="118"/>
      <c r="AP54" s="118"/>
      <c r="AQ54" s="47" t="n">
        <v>1</v>
      </c>
    </row>
    <row r="55" s="47" customFormat="true" ht="0.75" hidden="false" customHeight="true" outlineLevel="0" collapsed="false">
      <c r="A55" s="491" t="s">
        <v>219</v>
      </c>
      <c r="B55" s="491"/>
      <c r="C55" s="491"/>
      <c r="D55" s="491"/>
      <c r="E55" s="489"/>
      <c r="F55" s="491"/>
      <c r="G55" s="491"/>
      <c r="H55" s="491"/>
      <c r="I55" s="491"/>
      <c r="J55" s="491"/>
      <c r="K55" s="491"/>
      <c r="L55" s="492"/>
      <c r="M55" s="494"/>
      <c r="N55" s="494"/>
      <c r="O55" s="120"/>
      <c r="P55" s="156"/>
      <c r="Q55" s="449"/>
      <c r="R55" s="156"/>
      <c r="S55" s="454"/>
      <c r="T55" s="457" t="s">
        <v>429</v>
      </c>
      <c r="U55" s="456"/>
      <c r="V55" s="456"/>
      <c r="W55" s="456"/>
      <c r="X55" s="456"/>
      <c r="Y55" s="456"/>
      <c r="Z55" s="456"/>
      <c r="AA55" s="456"/>
      <c r="AB55" s="456"/>
      <c r="AC55" s="456"/>
      <c r="AD55" s="456"/>
      <c r="AE55" s="456"/>
      <c r="AF55" s="456"/>
      <c r="AG55" s="456"/>
      <c r="AH55" s="456"/>
      <c r="AI55" s="456"/>
      <c r="AJ55" s="456"/>
      <c r="AK55" s="456"/>
      <c r="AM55" s="118"/>
      <c r="AN55" s="118" t="str">
        <f aca="false">IF(T55="","",T55)</f>
        <v>Добавить территорию для дифференциации</v>
      </c>
      <c r="AO55" s="118"/>
      <c r="AP55" s="118"/>
      <c r="AQ55" s="47" t="n">
        <v>1</v>
      </c>
    </row>
    <row r="56" s="47" customFormat="true" ht="0.75" hidden="false" customHeight="true" outlineLevel="0" collapsed="false">
      <c r="A56" s="491"/>
      <c r="B56" s="491"/>
      <c r="C56" s="491"/>
      <c r="D56" s="491"/>
      <c r="E56" s="491"/>
      <c r="F56" s="491"/>
      <c r="G56" s="491"/>
      <c r="H56" s="491"/>
      <c r="I56" s="491"/>
      <c r="J56" s="491"/>
      <c r="K56" s="491"/>
      <c r="L56" s="492"/>
      <c r="M56" s="494"/>
      <c r="N56" s="494"/>
      <c r="O56" s="120"/>
      <c r="P56" s="156"/>
      <c r="Q56" s="449"/>
      <c r="R56" s="156"/>
      <c r="S56" s="454"/>
      <c r="T56" s="457" t="s">
        <v>461</v>
      </c>
      <c r="U56" s="456"/>
      <c r="V56" s="456"/>
      <c r="W56" s="456"/>
      <c r="X56" s="456"/>
      <c r="Y56" s="456"/>
      <c r="Z56" s="456"/>
      <c r="AA56" s="456"/>
      <c r="AB56" s="456"/>
      <c r="AC56" s="456"/>
      <c r="AD56" s="456"/>
      <c r="AE56" s="456"/>
      <c r="AF56" s="456"/>
      <c r="AG56" s="456"/>
      <c r="AH56" s="456"/>
      <c r="AI56" s="456"/>
      <c r="AJ56" s="456"/>
      <c r="AK56" s="456"/>
      <c r="AM56" s="118"/>
      <c r="AN56" s="118" t="str">
        <f aca="false">IF(T56="","",T56)</f>
        <v>Добавить наименование тарифа</v>
      </c>
      <c r="AO56" s="118"/>
      <c r="AP56" s="118"/>
      <c r="AQ56" s="47" t="n">
        <v>1</v>
      </c>
    </row>
    <row r="57" customFormat="false" ht="11.25" hidden="false" customHeight="true" outlineLevel="0" collapsed="false">
      <c r="M57" s="42"/>
      <c r="N57" s="42"/>
      <c r="O57" s="42"/>
      <c r="P57" s="45"/>
      <c r="Q57" s="45"/>
      <c r="R57" s="42"/>
      <c r="S57" s="42"/>
      <c r="AL57" s="42"/>
      <c r="AM57" s="42"/>
      <c r="AN57" s="42"/>
      <c r="AO57" s="42"/>
      <c r="AP57" s="42"/>
      <c r="AQ57" s="42" t="n">
        <v>11</v>
      </c>
    </row>
    <row r="58" customFormat="false" ht="19.5" hidden="false" customHeight="true" outlineLevel="0" collapsed="false">
      <c r="O58" s="42"/>
      <c r="S58" s="409"/>
      <c r="T58" s="488"/>
      <c r="U58" s="488"/>
      <c r="V58" s="488"/>
      <c r="W58" s="488"/>
      <c r="X58" s="488"/>
      <c r="Y58" s="488"/>
      <c r="Z58" s="488"/>
      <c r="AA58" s="488"/>
      <c r="AB58" s="488"/>
      <c r="AC58" s="488"/>
      <c r="AD58" s="488"/>
      <c r="AE58" s="488"/>
      <c r="AF58" s="488"/>
      <c r="AG58" s="488"/>
      <c r="AH58" s="488"/>
      <c r="AI58" s="488"/>
      <c r="AJ58" s="488"/>
      <c r="AK58" s="488"/>
      <c r="AQ58" s="42" t="n">
        <v>19</v>
      </c>
    </row>
    <row r="59" customFormat="false" ht="21" hidden="false" customHeight="true" outlineLevel="0" collapsed="false">
      <c r="O59" s="42"/>
      <c r="T59" s="488"/>
      <c r="U59" s="488"/>
      <c r="V59" s="488"/>
      <c r="W59" s="488"/>
      <c r="X59" s="488"/>
      <c r="Y59" s="488"/>
      <c r="Z59" s="488"/>
      <c r="AA59" s="488"/>
      <c r="AB59" s="488"/>
      <c r="AC59" s="488"/>
      <c r="AD59" s="488"/>
      <c r="AE59" s="488"/>
      <c r="AF59" s="488"/>
      <c r="AG59" s="488"/>
      <c r="AH59" s="488"/>
      <c r="AI59" s="488"/>
      <c r="AJ59" s="488"/>
      <c r="AK59" s="488"/>
      <c r="AQ59" s="42" t="n">
        <v>20</v>
      </c>
    </row>
    <row r="60" customFormat="false" ht="14.25" hidden="false" customHeight="true" outlineLevel="0" collapsed="false">
      <c r="O60" s="42"/>
      <c r="T60" s="488"/>
      <c r="U60" s="488"/>
      <c r="V60" s="488"/>
      <c r="W60" s="488"/>
      <c r="X60" s="488"/>
      <c r="Y60" s="488"/>
      <c r="Z60" s="488"/>
      <c r="AA60" s="488"/>
      <c r="AB60" s="488"/>
      <c r="AC60" s="488"/>
      <c r="AD60" s="488"/>
      <c r="AE60" s="488"/>
      <c r="AF60" s="488"/>
      <c r="AG60" s="488"/>
      <c r="AH60" s="488"/>
      <c r="AI60" s="488"/>
      <c r="AJ60" s="488"/>
      <c r="AK60" s="488"/>
      <c r="AQ60" s="42" t="n">
        <v>14</v>
      </c>
    </row>
    <row r="61" customFormat="false" ht="19.5" hidden="false" customHeight="true" outlineLevel="0" collapsed="false">
      <c r="O61" s="42"/>
      <c r="T61" s="488"/>
      <c r="U61" s="488"/>
      <c r="V61" s="488"/>
      <c r="W61" s="488"/>
      <c r="X61" s="488"/>
      <c r="Y61" s="488"/>
      <c r="Z61" s="488"/>
      <c r="AA61" s="488"/>
      <c r="AB61" s="488"/>
      <c r="AC61" s="488"/>
      <c r="AD61" s="488"/>
      <c r="AE61" s="488"/>
      <c r="AF61" s="488"/>
      <c r="AG61" s="488"/>
      <c r="AH61" s="488"/>
      <c r="AI61" s="488"/>
      <c r="AJ61" s="488"/>
      <c r="AK61" s="488"/>
      <c r="AQ61" s="42" t="n">
        <v>19</v>
      </c>
    </row>
    <row r="62" customFormat="false" ht="16.5" hidden="false" customHeight="true" outlineLevel="0" collapsed="false">
      <c r="O62" s="42"/>
      <c r="T62" s="488"/>
      <c r="U62" s="488"/>
      <c r="V62" s="488"/>
      <c r="W62" s="488"/>
      <c r="X62" s="488"/>
      <c r="Y62" s="488"/>
      <c r="Z62" s="488"/>
      <c r="AA62" s="488"/>
      <c r="AB62" s="488"/>
      <c r="AC62" s="488"/>
      <c r="AD62" s="488"/>
      <c r="AE62" s="488"/>
      <c r="AF62" s="488"/>
      <c r="AG62" s="488"/>
      <c r="AH62" s="488"/>
      <c r="AI62" s="488"/>
      <c r="AJ62" s="488"/>
      <c r="AK62" s="488"/>
      <c r="AQ62" s="42" t="n">
        <v>16</v>
      </c>
    </row>
    <row r="63" customFormat="false" ht="14.25" hidden="false" customHeight="true" outlineLevel="0" collapsed="false">
      <c r="O63" s="42"/>
      <c r="AQ63" s="42" t="n">
        <v>14</v>
      </c>
    </row>
    <row r="64" customFormat="false" ht="22.5" hidden="true" customHeight="true" outlineLevel="0" collapsed="false">
      <c r="A64" s="42" t="s">
        <v>81</v>
      </c>
      <c r="B64" s="42" t="n">
        <v>0</v>
      </c>
      <c r="C64" s="42" t="n">
        <v>0</v>
      </c>
      <c r="D64" s="42" t="n">
        <v>0</v>
      </c>
      <c r="E64" s="42" t="n">
        <v>0</v>
      </c>
      <c r="F64" s="42" t="n">
        <v>0</v>
      </c>
      <c r="G64" s="42" t="n">
        <v>0</v>
      </c>
      <c r="H64" s="42" t="n">
        <v>0</v>
      </c>
      <c r="I64" s="42" t="n">
        <v>0</v>
      </c>
      <c r="J64" s="42" t="n">
        <v>0</v>
      </c>
      <c r="K64" s="42" t="n">
        <v>0</v>
      </c>
      <c r="L64" s="43" t="n">
        <v>0</v>
      </c>
      <c r="M64" s="50" t="n">
        <v>0</v>
      </c>
      <c r="N64" s="50" t="n">
        <v>0</v>
      </c>
      <c r="O64" s="50" t="n">
        <v>0</v>
      </c>
      <c r="P64" s="51" t="n">
        <v>3</v>
      </c>
      <c r="Q64" s="463" t="n">
        <v>3</v>
      </c>
      <c r="R64" s="411" t="n">
        <v>3</v>
      </c>
      <c r="S64" s="75" t="n">
        <v>12</v>
      </c>
      <c r="T64" s="42" t="n">
        <v>31</v>
      </c>
      <c r="U64" s="42" t="n">
        <v>0</v>
      </c>
      <c r="V64" s="42" t="n">
        <v>0</v>
      </c>
      <c r="W64" s="42" t="n">
        <v>0</v>
      </c>
      <c r="X64" s="42" t="n">
        <v>0</v>
      </c>
      <c r="Y64" s="42" t="n">
        <v>0</v>
      </c>
      <c r="Z64" s="42" t="n">
        <v>0</v>
      </c>
      <c r="AA64" s="42" t="n">
        <v>0</v>
      </c>
      <c r="AB64" s="42" t="n">
        <v>27</v>
      </c>
      <c r="AC64" s="42" t="n">
        <v>24</v>
      </c>
      <c r="AD64" s="42" t="n">
        <v>21</v>
      </c>
      <c r="AE64" s="42" t="n">
        <v>21</v>
      </c>
      <c r="AF64" s="42" t="n">
        <v>11</v>
      </c>
      <c r="AG64" s="42" t="n">
        <v>3</v>
      </c>
      <c r="AH64" s="42" t="n">
        <v>11</v>
      </c>
      <c r="AI64" s="42" t="n">
        <v>8</v>
      </c>
      <c r="AJ64" s="42" t="n">
        <v>4</v>
      </c>
      <c r="AK64" s="42" t="n">
        <v>115</v>
      </c>
      <c r="AL64" s="47" t="n">
        <v>10</v>
      </c>
      <c r="AM64" s="47" t="n">
        <v>10</v>
      </c>
      <c r="AN64" s="47" t="n">
        <v>10</v>
      </c>
      <c r="AO64" s="47" t="n">
        <v>10</v>
      </c>
      <c r="AP64" s="47" t="n">
        <v>10</v>
      </c>
      <c r="AQ64" s="42" t="n">
        <v>23</v>
      </c>
    </row>
  </sheetData>
  <mergeCells count="8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5:AH25"/>
    <mergeCell ref="S27:T27"/>
    <mergeCell ref="V27:Z27"/>
    <mergeCell ref="AC27:AH27"/>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V38:W38"/>
    <mergeCell ref="X38:Z39"/>
    <mergeCell ref="AD38:AE38"/>
    <mergeCell ref="AF38:AH39"/>
    <mergeCell ref="V39:W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V47:AA47"/>
    <mergeCell ref="AC47:AJ47"/>
    <mergeCell ref="AK48:AK49"/>
    <mergeCell ref="T58:AK58"/>
    <mergeCell ref="T59:AK59"/>
    <mergeCell ref="T61:AK61"/>
    <mergeCell ref="T62:AK62"/>
  </mergeCells>
  <dataValidations count="6">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 Z8 AF8 AH8 AF16 AH16 X48 Z48 AF48 AH48"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 AA8 AG8 AI8 AC16 AG16 AI16 Y48 AA48 AG48 AI48" type="none">
      <formula1>0</formula1>
      <formula2>0</formula2>
    </dataValidation>
    <dataValidation allowBlank="true" error="Выберите значение из списка" errorStyle="stop" errorTitle="Ошибка" operator="between" showDropDown="false" showErrorMessage="false" showInputMessage="false" sqref="V39:W39"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C8 AC48" type="decimal">
      <formula1>-9.99999999999999E+023</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T8 AB8 T48 AB48"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D39:AE39" type="list">
      <formula1>UNIT_CONNECT_LIST</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true" outlineLevel="0" max="16" min="16" style="51" width="3.71"/>
    <col collapsed="false" customWidth="true" hidden="true" outlineLevel="0" max="17" min="17" style="463" width="3.71"/>
    <col collapsed="false" customWidth="true" hidden="false" outlineLevel="0" max="18" min="18" style="411" width="3"/>
    <col collapsed="false" customWidth="true" hidden="false" outlineLevel="0" max="19" min="19" style="75" width="12"/>
    <col collapsed="false" customWidth="true" hidden="false" outlineLevel="0" max="20" min="20" style="42" width="31"/>
    <col collapsed="false" customWidth="true" hidden="false" outlineLevel="0" max="21" min="21" style="42" width="0.14"/>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7"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12"/>
      <c r="B2" s="412"/>
      <c r="C2" s="412"/>
      <c r="D2" s="412"/>
      <c r="E2" s="413" t="n">
        <v>1</v>
      </c>
      <c r="F2" s="412"/>
      <c r="G2" s="412"/>
      <c r="H2" s="412"/>
      <c r="I2" s="412"/>
      <c r="J2" s="412"/>
      <c r="K2" s="412"/>
      <c r="L2" s="414"/>
      <c r="M2" s="40"/>
      <c r="N2" s="40"/>
      <c r="O2" s="40"/>
      <c r="Q2" s="54"/>
      <c r="R2" s="415"/>
      <c r="S2" s="416" t="e">
        <f aca="false">INDEX(PT_DIFFERENTIATION_NUM_NTAR,MATCH(A2,PT_DIFFERENTIATION_NTAR_ID,0))</f>
        <v>#N/A</v>
      </c>
      <c r="T2" s="417" t="s">
        <v>138</v>
      </c>
      <c r="U2" s="418"/>
      <c r="V2" s="581"/>
      <c r="W2" s="581"/>
      <c r="X2" s="581"/>
      <c r="Y2" s="581"/>
      <c r="Z2" s="581"/>
      <c r="AA2" s="581"/>
      <c r="AB2" s="581"/>
      <c r="AC2" s="581"/>
      <c r="AD2" s="420" t="e">
        <f aca="false">INDEX(PT_DIFFERENTIATION_NTAR,MATCH(A2,PT_DIFFERENTIATION_NTAR_ID,0))</f>
        <v>#N/A</v>
      </c>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18"/>
      <c r="BF2" s="118" t="str">
        <f aca="false">IF(T2="","",T2)</f>
        <v>Наименование тарифа</v>
      </c>
      <c r="BG2" s="118"/>
      <c r="BH2" s="118"/>
      <c r="BI2" s="42" t="n">
        <v>0</v>
      </c>
    </row>
    <row r="3" customFormat="false" ht="21" hidden="true" customHeight="true" outlineLevel="0" collapsed="false">
      <c r="A3" s="412"/>
      <c r="B3" s="412"/>
      <c r="C3" s="412"/>
      <c r="D3" s="412"/>
      <c r="E3" s="413"/>
      <c r="F3" s="413" t="n">
        <v>1</v>
      </c>
      <c r="G3" s="412"/>
      <c r="H3" s="412"/>
      <c r="I3" s="412"/>
      <c r="J3" s="412"/>
      <c r="K3" s="412"/>
      <c r="L3" s="414"/>
      <c r="M3" s="40"/>
      <c r="N3" s="40"/>
      <c r="O3" s="40"/>
      <c r="P3" s="44"/>
      <c r="Q3" s="533"/>
      <c r="R3" s="423"/>
      <c r="S3" s="416" t="e">
        <f aca="false">INDEX(PT_DIFFERENTIATION_NUM_TER,MATCH(B3,PT_DIFFERENTIATION_TER_ID,0))</f>
        <v>#N/A</v>
      </c>
      <c r="T3" s="424" t="s">
        <v>410</v>
      </c>
      <c r="U3" s="418"/>
      <c r="V3" s="581"/>
      <c r="W3" s="581"/>
      <c r="X3" s="581"/>
      <c r="Y3" s="581"/>
      <c r="Z3" s="581"/>
      <c r="AA3" s="581"/>
      <c r="AB3" s="581"/>
      <c r="AC3" s="581"/>
      <c r="AD3" s="420" t="e">
        <f aca="false">INDEX(PT_DIFFERENTIATION_TER,MATCH(B3,PT_DIFFERENTIATION_TER_ID,0))</f>
        <v>#N/A</v>
      </c>
      <c r="AE3" s="420"/>
      <c r="AF3" s="420"/>
      <c r="AG3" s="420"/>
      <c r="AH3" s="420"/>
      <c r="AI3" s="420"/>
      <c r="AJ3" s="420"/>
      <c r="AK3" s="420"/>
      <c r="AL3" s="420"/>
      <c r="AM3" s="420"/>
      <c r="AN3" s="420"/>
      <c r="AO3" s="420"/>
      <c r="AP3" s="420"/>
      <c r="AQ3" s="420"/>
      <c r="AR3" s="420"/>
      <c r="AS3" s="420"/>
      <c r="AT3" s="420"/>
      <c r="AU3" s="420"/>
      <c r="AV3" s="420"/>
      <c r="AW3" s="420"/>
      <c r="AX3" s="420"/>
      <c r="AY3" s="420"/>
      <c r="AZ3" s="420"/>
      <c r="BA3" s="420"/>
      <c r="BB3" s="420"/>
      <c r="BC3" s="421" t="s">
        <v>411</v>
      </c>
      <c r="BE3" s="118"/>
      <c r="BF3" s="118" t="str">
        <f aca="false">IF(T3="","",T3)</f>
        <v>Территория действия тарифа</v>
      </c>
      <c r="BG3" s="118"/>
      <c r="BH3" s="118"/>
      <c r="BI3" s="42" t="n">
        <v>0</v>
      </c>
    </row>
    <row r="4" customFormat="false" ht="42" hidden="true" customHeight="true" outlineLevel="0" collapsed="false">
      <c r="A4" s="412"/>
      <c r="B4" s="412"/>
      <c r="C4" s="412"/>
      <c r="D4" s="412"/>
      <c r="E4" s="413"/>
      <c r="F4" s="413"/>
      <c r="G4" s="413" t="n">
        <v>1</v>
      </c>
      <c r="H4" s="412"/>
      <c r="I4" s="412"/>
      <c r="J4" s="412"/>
      <c r="K4" s="412"/>
      <c r="L4" s="414"/>
      <c r="M4" s="40"/>
      <c r="N4" s="40"/>
      <c r="O4" s="40"/>
      <c r="P4" s="127"/>
      <c r="Q4" s="533"/>
      <c r="R4" s="423"/>
      <c r="S4" s="416" t="e">
        <f aca="false">INDEX(PT_DIFFERENTIATION_NUM_CS,MATCH(C4,PT_DIFFERENTIATION_CS_ID,0))</f>
        <v>#N/A</v>
      </c>
      <c r="T4" s="426" t="s">
        <v>494</v>
      </c>
      <c r="U4" s="418"/>
      <c r="V4" s="581"/>
      <c r="W4" s="581"/>
      <c r="X4" s="581"/>
      <c r="Y4" s="581"/>
      <c r="Z4" s="581"/>
      <c r="AA4" s="581"/>
      <c r="AB4" s="581"/>
      <c r="AC4" s="581"/>
      <c r="AD4" s="420" t="e">
        <f aca="false">INDEX(PT_DIFFERENTIATION_CS,MATCH(C4,PT_DIFFERENTIATION_CS_ID,0))</f>
        <v>#N/A</v>
      </c>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1" t="s">
        <v>495</v>
      </c>
      <c r="BE4" s="118"/>
      <c r="BF4" s="118" t="str">
        <f aca="false">IF(T4="","",T4)</f>
        <v>Наименование централизованной системы холодного водоснабжения</v>
      </c>
      <c r="BG4" s="118"/>
      <c r="BH4" s="118"/>
      <c r="BI4" s="42" t="n">
        <v>0</v>
      </c>
    </row>
    <row r="5" s="47" customFormat="true" ht="14.25" hidden="true" customHeight="true" outlineLevel="0" collapsed="false">
      <c r="A5" s="122"/>
      <c r="B5" s="122"/>
      <c r="C5" s="122"/>
      <c r="D5" s="122"/>
      <c r="E5" s="413"/>
      <c r="F5" s="413"/>
      <c r="G5" s="413"/>
      <c r="H5" s="413" t="n">
        <v>1</v>
      </c>
      <c r="I5" s="122"/>
      <c r="J5" s="122"/>
      <c r="K5" s="122"/>
      <c r="L5" s="192"/>
      <c r="M5" s="46"/>
      <c r="N5" s="46"/>
      <c r="O5" s="46"/>
      <c r="P5" s="591"/>
      <c r="Q5" s="592"/>
      <c r="R5" s="432"/>
      <c r="S5" s="301"/>
      <c r="T5" s="593"/>
      <c r="U5" s="499"/>
      <c r="V5" s="534"/>
      <c r="W5" s="534"/>
      <c r="X5" s="534"/>
      <c r="Y5" s="534"/>
      <c r="Z5" s="534"/>
      <c r="AA5" s="534"/>
      <c r="AB5" s="534"/>
      <c r="AC5" s="534"/>
      <c r="AD5" s="500"/>
      <c r="AE5" s="500"/>
      <c r="AF5" s="500"/>
      <c r="AG5" s="500"/>
      <c r="AH5" s="500"/>
      <c r="AI5" s="500"/>
      <c r="AJ5" s="500"/>
      <c r="AK5" s="500"/>
      <c r="AL5" s="500"/>
      <c r="AM5" s="500"/>
      <c r="AN5" s="500"/>
      <c r="AO5" s="500"/>
      <c r="AP5" s="500"/>
      <c r="AQ5" s="500"/>
      <c r="AR5" s="500"/>
      <c r="AS5" s="500"/>
      <c r="AT5" s="500"/>
      <c r="AU5" s="500"/>
      <c r="AV5" s="500"/>
      <c r="AW5" s="500"/>
      <c r="AX5" s="500"/>
      <c r="AY5" s="500"/>
      <c r="AZ5" s="500"/>
      <c r="BA5" s="500"/>
      <c r="BB5" s="500"/>
      <c r="BC5" s="501" t="s">
        <v>415</v>
      </c>
      <c r="BE5" s="118"/>
      <c r="BF5" s="118" t="str">
        <f aca="false">IF(T5="","",T5)</f>
        <v/>
      </c>
      <c r="BG5" s="118"/>
      <c r="BH5" s="118"/>
      <c r="BI5" s="47" t="n">
        <v>0</v>
      </c>
    </row>
    <row r="6" s="47" customFormat="true" ht="14.25" hidden="true" customHeight="true" outlineLevel="0" collapsed="false">
      <c r="A6" s="122"/>
      <c r="B6" s="122"/>
      <c r="C6" s="122"/>
      <c r="D6" s="122"/>
      <c r="E6" s="413"/>
      <c r="F6" s="413"/>
      <c r="G6" s="413"/>
      <c r="H6" s="413"/>
      <c r="I6" s="428" t="str">
        <f aca="false">S5&amp;".1"</f>
        <v>.1</v>
      </c>
      <c r="J6" s="122"/>
      <c r="K6" s="122"/>
      <c r="L6" s="192" t="s">
        <v>416</v>
      </c>
      <c r="M6" s="506"/>
      <c r="N6" s="506"/>
      <c r="O6" s="506"/>
      <c r="P6" s="121" t="n">
        <v>1</v>
      </c>
      <c r="Q6" s="121"/>
      <c r="R6" s="429"/>
      <c r="S6" s="301"/>
      <c r="T6" s="498"/>
      <c r="U6" s="499"/>
      <c r="V6" s="534"/>
      <c r="W6" s="534"/>
      <c r="X6" s="534"/>
      <c r="Y6" s="534"/>
      <c r="Z6" s="534"/>
      <c r="AA6" s="534"/>
      <c r="AB6" s="534"/>
      <c r="AC6" s="534"/>
      <c r="AD6" s="500"/>
      <c r="AE6" s="500"/>
      <c r="AF6" s="500"/>
      <c r="AG6" s="500"/>
      <c r="AH6" s="500"/>
      <c r="AI6" s="500"/>
      <c r="AJ6" s="500"/>
      <c r="AK6" s="500"/>
      <c r="AL6" s="500"/>
      <c r="AM6" s="500"/>
      <c r="AN6" s="500"/>
      <c r="AO6" s="500"/>
      <c r="AP6" s="500"/>
      <c r="AQ6" s="500"/>
      <c r="AR6" s="500"/>
      <c r="AS6" s="500"/>
      <c r="AT6" s="500"/>
      <c r="AU6" s="500"/>
      <c r="AV6" s="500"/>
      <c r="AW6" s="500"/>
      <c r="AX6" s="500"/>
      <c r="AY6" s="500"/>
      <c r="AZ6" s="500"/>
      <c r="BA6" s="500"/>
      <c r="BB6" s="500"/>
      <c r="BC6" s="501"/>
      <c r="BE6" s="118"/>
      <c r="BF6" s="118" t="str">
        <f aca="false">IF(T6="","",T6)</f>
        <v/>
      </c>
      <c r="BG6" s="118"/>
      <c r="BH6" s="118"/>
      <c r="BI6" s="47" t="n">
        <v>0</v>
      </c>
    </row>
    <row r="7" s="47" customFormat="true" ht="14.25" hidden="true" customHeight="true" outlineLevel="0" collapsed="false">
      <c r="A7" s="122"/>
      <c r="B7" s="122"/>
      <c r="C7" s="122"/>
      <c r="D7" s="122"/>
      <c r="E7" s="413"/>
      <c r="F7" s="413"/>
      <c r="G7" s="413"/>
      <c r="H7" s="413"/>
      <c r="I7" s="428"/>
      <c r="J7" s="428" t="str">
        <f aca="false">S5&amp;".1"</f>
        <v>.1</v>
      </c>
      <c r="K7" s="122"/>
      <c r="L7" s="192"/>
      <c r="M7" s="506"/>
      <c r="N7" s="506"/>
      <c r="O7" s="506"/>
      <c r="P7" s="121"/>
      <c r="Q7" s="121" t="n">
        <v>1</v>
      </c>
      <c r="R7" s="432"/>
      <c r="S7" s="301"/>
      <c r="T7" s="535"/>
      <c r="U7" s="499"/>
      <c r="V7" s="534"/>
      <c r="W7" s="534"/>
      <c r="X7" s="534"/>
      <c r="Y7" s="534"/>
      <c r="Z7" s="534"/>
      <c r="AA7" s="534"/>
      <c r="AB7" s="534"/>
      <c r="AC7" s="534"/>
      <c r="AD7" s="500"/>
      <c r="AE7" s="500"/>
      <c r="AF7" s="500"/>
      <c r="AG7" s="500"/>
      <c r="AH7" s="500"/>
      <c r="AI7" s="500"/>
      <c r="AJ7" s="500"/>
      <c r="AK7" s="500"/>
      <c r="AL7" s="500"/>
      <c r="AM7" s="500"/>
      <c r="AN7" s="500"/>
      <c r="AO7" s="500"/>
      <c r="AP7" s="500"/>
      <c r="AQ7" s="500"/>
      <c r="AR7" s="500"/>
      <c r="AS7" s="500"/>
      <c r="AT7" s="500"/>
      <c r="AU7" s="500"/>
      <c r="AV7" s="500"/>
      <c r="AW7" s="500"/>
      <c r="AX7" s="500"/>
      <c r="AY7" s="500"/>
      <c r="AZ7" s="500"/>
      <c r="BA7" s="500"/>
      <c r="BB7" s="500"/>
      <c r="BC7" s="501"/>
      <c r="BE7" s="118"/>
      <c r="BF7" s="118" t="str">
        <f aca="false">IF(T7="","",T7)</f>
        <v/>
      </c>
      <c r="BG7" s="118"/>
      <c r="BH7" s="118"/>
      <c r="BI7" s="47" t="n">
        <v>0</v>
      </c>
    </row>
    <row r="8" customFormat="false" ht="11.25" hidden="true" customHeight="true" outlineLevel="0" collapsed="false">
      <c r="A8" s="412"/>
      <c r="B8" s="412"/>
      <c r="C8" s="412"/>
      <c r="D8" s="412"/>
      <c r="E8" s="413"/>
      <c r="F8" s="413"/>
      <c r="G8" s="413"/>
      <c r="H8" s="413"/>
      <c r="I8" s="428"/>
      <c r="J8" s="428"/>
      <c r="K8" s="428" t="e">
        <f aca="false">S4&amp;".1"</f>
        <v>#N/A</v>
      </c>
      <c r="L8" s="414"/>
      <c r="P8" s="121"/>
      <c r="Q8" s="121"/>
      <c r="R8" s="536" t="n">
        <v>1</v>
      </c>
      <c r="S8" s="474" t="e">
        <f aca="false">$K8</f>
        <v>#N/A</v>
      </c>
      <c r="T8" s="573"/>
      <c r="U8" s="418"/>
      <c r="V8" s="435"/>
      <c r="W8" s="437"/>
      <c r="X8" s="435"/>
      <c r="Y8" s="437"/>
      <c r="Z8" s="438"/>
      <c r="AA8" s="204" t="s">
        <v>61</v>
      </c>
      <c r="AB8" s="438"/>
      <c r="AC8" s="204" t="s">
        <v>61</v>
      </c>
      <c r="AD8" s="204" t="s">
        <v>61</v>
      </c>
      <c r="AE8" s="538"/>
      <c r="AF8" s="297" t="n">
        <v>1</v>
      </c>
      <c r="AG8" s="585"/>
      <c r="AH8" s="204" t="s">
        <v>61</v>
      </c>
      <c r="AI8" s="538"/>
      <c r="AJ8" s="297" t="n">
        <v>1</v>
      </c>
      <c r="AK8" s="76"/>
      <c r="AL8" s="204" t="s">
        <v>61</v>
      </c>
      <c r="AM8" s="265"/>
      <c r="AN8" s="297" t="n">
        <v>1</v>
      </c>
      <c r="AO8" s="594"/>
      <c r="AP8" s="595" t="s">
        <v>61</v>
      </c>
      <c r="AQ8" s="539"/>
      <c r="AR8" s="297" t="n">
        <v>1</v>
      </c>
      <c r="AS8" s="84"/>
      <c r="AT8" s="435"/>
      <c r="AU8" s="437"/>
      <c r="AV8" s="435"/>
      <c r="AW8" s="437"/>
      <c r="AX8" s="438"/>
      <c r="AY8" s="204" t="s">
        <v>61</v>
      </c>
      <c r="AZ8" s="438"/>
      <c r="BA8" s="204" t="s">
        <v>61</v>
      </c>
      <c r="BB8" s="486"/>
      <c r="BC8" s="439" t="s">
        <v>514</v>
      </c>
      <c r="BE8" s="118"/>
      <c r="BF8" s="118" t="str">
        <f aca="false">IF(T8="","",T8)</f>
        <v/>
      </c>
      <c r="BG8" s="118"/>
      <c r="BH8" s="118"/>
      <c r="BI8" s="42" t="n">
        <v>0</v>
      </c>
    </row>
    <row r="9" customFormat="false" ht="11.25" hidden="true" customHeight="true" outlineLevel="0" collapsed="false">
      <c r="A9" s="412"/>
      <c r="B9" s="412"/>
      <c r="C9" s="412"/>
      <c r="D9" s="412"/>
      <c r="E9" s="413"/>
      <c r="F9" s="413"/>
      <c r="G9" s="413"/>
      <c r="H9" s="413"/>
      <c r="I9" s="428"/>
      <c r="J9" s="428"/>
      <c r="K9" s="428"/>
      <c r="L9" s="414"/>
      <c r="P9" s="121"/>
      <c r="Q9" s="121"/>
      <c r="R9" s="536"/>
      <c r="S9" s="474"/>
      <c r="T9" s="573"/>
      <c r="U9" s="418"/>
      <c r="V9" s="528"/>
      <c r="W9" s="542"/>
      <c r="X9" s="528"/>
      <c r="Y9" s="542"/>
      <c r="Z9" s="528"/>
      <c r="AA9" s="528"/>
      <c r="AB9" s="528"/>
      <c r="AC9" s="528"/>
      <c r="AD9" s="204"/>
      <c r="AE9" s="538"/>
      <c r="AF9" s="297"/>
      <c r="AG9" s="585"/>
      <c r="AH9" s="204"/>
      <c r="AI9" s="538"/>
      <c r="AJ9" s="297"/>
      <c r="AK9" s="76"/>
      <c r="AL9" s="204"/>
      <c r="AM9" s="265"/>
      <c r="AN9" s="297"/>
      <c r="AO9" s="594"/>
      <c r="AP9" s="595"/>
      <c r="AQ9" s="541"/>
      <c r="AR9" s="168"/>
      <c r="AS9" s="168" t="s">
        <v>515</v>
      </c>
      <c r="AT9" s="528"/>
      <c r="AU9" s="542"/>
      <c r="AV9" s="528"/>
      <c r="AW9" s="542"/>
      <c r="AX9" s="528"/>
      <c r="AY9" s="528"/>
      <c r="AZ9" s="528"/>
      <c r="BA9" s="528"/>
      <c r="BB9" s="540"/>
      <c r="BC9" s="439"/>
      <c r="BE9" s="118"/>
      <c r="BF9" s="118"/>
      <c r="BG9" s="118"/>
      <c r="BH9" s="118"/>
      <c r="BI9" s="42" t="n">
        <v>0</v>
      </c>
    </row>
    <row r="10" customFormat="false" ht="11.25" hidden="true" customHeight="true" outlineLevel="0" collapsed="false">
      <c r="A10" s="412"/>
      <c r="B10" s="412"/>
      <c r="C10" s="412"/>
      <c r="D10" s="412"/>
      <c r="E10" s="413"/>
      <c r="F10" s="413"/>
      <c r="G10" s="413"/>
      <c r="H10" s="413"/>
      <c r="I10" s="428"/>
      <c r="J10" s="428"/>
      <c r="K10" s="428"/>
      <c r="L10" s="414"/>
      <c r="P10" s="121"/>
      <c r="Q10" s="121"/>
      <c r="R10" s="536"/>
      <c r="S10" s="474"/>
      <c r="T10" s="573"/>
      <c r="U10" s="418"/>
      <c r="V10" s="528"/>
      <c r="W10" s="542"/>
      <c r="X10" s="528"/>
      <c r="Y10" s="542"/>
      <c r="Z10" s="528"/>
      <c r="AA10" s="528"/>
      <c r="AB10" s="528"/>
      <c r="AC10" s="528"/>
      <c r="AD10" s="204"/>
      <c r="AE10" s="538"/>
      <c r="AF10" s="297"/>
      <c r="AG10" s="585"/>
      <c r="AH10" s="204"/>
      <c r="AI10" s="538"/>
      <c r="AJ10" s="297"/>
      <c r="AK10" s="76"/>
      <c r="AL10" s="204"/>
      <c r="AM10" s="541"/>
      <c r="AN10" s="596"/>
      <c r="AO10" s="596" t="s">
        <v>516</v>
      </c>
      <c r="AP10" s="168"/>
      <c r="AQ10" s="168"/>
      <c r="AR10" s="168"/>
      <c r="AS10" s="528"/>
      <c r="AT10" s="528"/>
      <c r="AU10" s="542"/>
      <c r="AV10" s="528"/>
      <c r="AW10" s="542"/>
      <c r="AX10" s="528"/>
      <c r="AY10" s="528"/>
      <c r="AZ10" s="528"/>
      <c r="BA10" s="528"/>
      <c r="BB10" s="540"/>
      <c r="BC10" s="439"/>
      <c r="BE10" s="118"/>
      <c r="BF10" s="118"/>
      <c r="BG10" s="118"/>
      <c r="BH10" s="118"/>
      <c r="BI10" s="42" t="n">
        <v>0</v>
      </c>
    </row>
    <row r="11" customFormat="false" ht="11.25" hidden="true" customHeight="true" outlineLevel="0" collapsed="false">
      <c r="A11" s="412"/>
      <c r="B11" s="412"/>
      <c r="C11" s="412"/>
      <c r="D11" s="412"/>
      <c r="E11" s="413"/>
      <c r="F11" s="413"/>
      <c r="G11" s="413"/>
      <c r="H11" s="413"/>
      <c r="I11" s="428"/>
      <c r="J11" s="428"/>
      <c r="K11" s="428"/>
      <c r="L11" s="414"/>
      <c r="P11" s="121"/>
      <c r="Q11" s="121"/>
      <c r="R11" s="536"/>
      <c r="S11" s="474"/>
      <c r="T11" s="573"/>
      <c r="U11" s="418"/>
      <c r="V11" s="528"/>
      <c r="W11" s="542"/>
      <c r="X11" s="528"/>
      <c r="Y11" s="542"/>
      <c r="Z11" s="528"/>
      <c r="AA11" s="528"/>
      <c r="AB11" s="528"/>
      <c r="AC11" s="528"/>
      <c r="AD11" s="204"/>
      <c r="AE11" s="538"/>
      <c r="AF11" s="297"/>
      <c r="AG11" s="585"/>
      <c r="AH11" s="204"/>
      <c r="AI11" s="544"/>
      <c r="AJ11" s="161"/>
      <c r="AK11" s="379" t="s">
        <v>517</v>
      </c>
      <c r="AL11" s="528"/>
      <c r="AM11" s="528"/>
      <c r="AN11" s="528"/>
      <c r="AO11" s="528"/>
      <c r="AP11" s="528"/>
      <c r="AQ11" s="528"/>
      <c r="AR11" s="528"/>
      <c r="AS11" s="528"/>
      <c r="AT11" s="528"/>
      <c r="AU11" s="542"/>
      <c r="AV11" s="528"/>
      <c r="AW11" s="542"/>
      <c r="AX11" s="528"/>
      <c r="AY11" s="528"/>
      <c r="AZ11" s="528"/>
      <c r="BA11" s="528"/>
      <c r="BB11" s="540"/>
      <c r="BC11" s="439"/>
      <c r="BE11" s="118"/>
      <c r="BF11" s="118"/>
      <c r="BG11" s="118"/>
      <c r="BH11" s="118"/>
      <c r="BI11" s="42" t="n">
        <v>0</v>
      </c>
    </row>
    <row r="12" customFormat="false" ht="11.25" hidden="true" customHeight="true" outlineLevel="0" collapsed="false">
      <c r="A12" s="412"/>
      <c r="B12" s="412"/>
      <c r="C12" s="412"/>
      <c r="D12" s="412"/>
      <c r="E12" s="413"/>
      <c r="F12" s="413"/>
      <c r="G12" s="413"/>
      <c r="H12" s="413"/>
      <c r="I12" s="428"/>
      <c r="J12" s="428"/>
      <c r="K12" s="428"/>
      <c r="L12" s="414"/>
      <c r="P12" s="121"/>
      <c r="Q12" s="121"/>
      <c r="R12" s="536"/>
      <c r="S12" s="474"/>
      <c r="T12" s="573"/>
      <c r="U12" s="418"/>
      <c r="V12" s="528"/>
      <c r="W12" s="529" t="str">
        <f aca="false">Z8&amp;"-"&amp;AB8</f>
        <v>-</v>
      </c>
      <c r="X12" s="528"/>
      <c r="Y12" s="529" t="str">
        <f aca="false">AB8&amp;"-"&amp;AD8</f>
        <v>-да</v>
      </c>
      <c r="Z12" s="528"/>
      <c r="AA12" s="528"/>
      <c r="AB12" s="528"/>
      <c r="AC12" s="528"/>
      <c r="AD12" s="204"/>
      <c r="AE12" s="546"/>
      <c r="AF12" s="547"/>
      <c r="AG12" s="168" t="s">
        <v>518</v>
      </c>
      <c r="AH12" s="528"/>
      <c r="AI12" s="528"/>
      <c r="AJ12" s="528"/>
      <c r="AK12" s="528"/>
      <c r="AL12" s="528"/>
      <c r="AM12" s="528"/>
      <c r="AN12" s="528"/>
      <c r="AO12" s="528"/>
      <c r="AP12" s="528"/>
      <c r="AQ12" s="528"/>
      <c r="AR12" s="528"/>
      <c r="AS12" s="528"/>
      <c r="AT12" s="528"/>
      <c r="AU12" s="529" t="str">
        <f aca="false">AX8&amp;"-"&amp;AZ8</f>
        <v>-</v>
      </c>
      <c r="AV12" s="528"/>
      <c r="AW12" s="529" t="str">
        <f aca="false">AZ8&amp;"-"&amp;BB8</f>
        <v>-</v>
      </c>
      <c r="AX12" s="528"/>
      <c r="AY12" s="528"/>
      <c r="AZ12" s="528"/>
      <c r="BA12" s="528"/>
      <c r="BB12" s="545" t="str">
        <f aca="false">BE8&amp;"-"&amp;BG8</f>
        <v>-</v>
      </c>
      <c r="BC12" s="439"/>
      <c r="BE12" s="118"/>
      <c r="BF12" s="118" t="str">
        <f aca="false">IF(T12="","",T12)</f>
        <v/>
      </c>
      <c r="BG12" s="118"/>
      <c r="BH12" s="118"/>
      <c r="BI12" s="42" t="n">
        <v>0</v>
      </c>
    </row>
    <row r="13" customFormat="false" ht="11.25" hidden="true" customHeight="true" outlineLevel="0" collapsed="false">
      <c r="A13" s="412"/>
      <c r="B13" s="412"/>
      <c r="C13" s="412"/>
      <c r="D13" s="412"/>
      <c r="E13" s="413"/>
      <c r="F13" s="413"/>
      <c r="G13" s="413"/>
      <c r="H13" s="413"/>
      <c r="I13" s="428"/>
      <c r="J13" s="428"/>
      <c r="K13" s="412"/>
      <c r="L13" s="414"/>
      <c r="P13" s="121"/>
      <c r="Q13" s="121"/>
      <c r="R13" s="429"/>
      <c r="S13" s="441"/>
      <c r="T13" s="444" t="s">
        <v>481</v>
      </c>
      <c r="U13" s="194"/>
      <c r="V13" s="194"/>
      <c r="W13" s="194"/>
      <c r="X13" s="194"/>
      <c r="Y13" s="194"/>
      <c r="Z13" s="194"/>
      <c r="AA13" s="194"/>
      <c r="AB13" s="194"/>
      <c r="AC13" s="194"/>
      <c r="AD13" s="569"/>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443"/>
      <c r="BC13" s="439"/>
      <c r="BE13" s="118"/>
      <c r="BF13" s="118" t="str">
        <f aca="false">IF(T13="","",T13)</f>
        <v>Добавить строку</v>
      </c>
      <c r="BG13" s="118"/>
      <c r="BH13" s="118"/>
      <c r="BI13" s="42" t="n">
        <v>0</v>
      </c>
    </row>
    <row r="14" s="47" customFormat="true" ht="14.25" hidden="true" customHeight="true" outlineLevel="0" collapsed="false">
      <c r="A14" s="122"/>
      <c r="B14" s="122"/>
      <c r="C14" s="122"/>
      <c r="D14" s="122"/>
      <c r="E14" s="413"/>
      <c r="F14" s="413"/>
      <c r="G14" s="413"/>
      <c r="H14" s="413"/>
      <c r="I14" s="428"/>
      <c r="J14" s="122"/>
      <c r="K14" s="122"/>
      <c r="L14" s="192"/>
      <c r="M14" s="506"/>
      <c r="N14" s="506"/>
      <c r="O14" s="506"/>
      <c r="P14" s="121"/>
      <c r="Q14" s="121"/>
      <c r="R14" s="429"/>
      <c r="S14" s="502"/>
      <c r="T14" s="503"/>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4"/>
      <c r="BC14" s="505"/>
      <c r="BE14" s="118"/>
      <c r="BF14" s="118" t="str">
        <f aca="false">IF(T14="","",T14)</f>
        <v/>
      </c>
      <c r="BG14" s="118"/>
      <c r="BH14" s="118"/>
      <c r="BI14" s="47" t="n">
        <v>0</v>
      </c>
    </row>
    <row r="15" s="47" customFormat="true" ht="14.25" hidden="true" customHeight="true" outlineLevel="0" collapsed="false">
      <c r="A15" s="122"/>
      <c r="B15" s="122"/>
      <c r="C15" s="122"/>
      <c r="D15" s="122"/>
      <c r="E15" s="413"/>
      <c r="F15" s="413"/>
      <c r="G15" s="413"/>
      <c r="H15" s="413"/>
      <c r="I15" s="122"/>
      <c r="J15" s="122"/>
      <c r="K15" s="122"/>
      <c r="L15" s="192"/>
      <c r="M15" s="46"/>
      <c r="N15" s="46"/>
      <c r="P15" s="156"/>
      <c r="Q15" s="449"/>
      <c r="R15" s="548"/>
      <c r="S15" s="502"/>
      <c r="T15" s="503"/>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4"/>
      <c r="AY15" s="504"/>
      <c r="AZ15" s="504"/>
      <c r="BA15" s="504"/>
      <c r="BB15" s="504"/>
      <c r="BC15" s="505"/>
      <c r="BE15" s="118"/>
      <c r="BF15" s="118" t="str">
        <f aca="false">IF(T15="","",T15)</f>
        <v/>
      </c>
      <c r="BG15" s="118"/>
      <c r="BH15" s="118"/>
      <c r="BI15" s="47" t="n">
        <v>0</v>
      </c>
    </row>
    <row r="16" s="47" customFormat="true" ht="14.25" hidden="true" customHeight="true" outlineLevel="0" collapsed="false">
      <c r="A16" s="122"/>
      <c r="B16" s="122"/>
      <c r="C16" s="122"/>
      <c r="D16" s="122"/>
      <c r="E16" s="413"/>
      <c r="F16" s="413"/>
      <c r="G16" s="413"/>
      <c r="H16" s="122"/>
      <c r="I16" s="122"/>
      <c r="J16" s="122"/>
      <c r="K16" s="122"/>
      <c r="L16" s="192"/>
      <c r="M16" s="46"/>
      <c r="N16" s="46"/>
      <c r="P16" s="156"/>
      <c r="Q16" s="449"/>
      <c r="R16" s="156"/>
      <c r="S16" s="454"/>
      <c r="T16" s="457"/>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6"/>
      <c r="AR16" s="456"/>
      <c r="AS16" s="456"/>
      <c r="AT16" s="456"/>
      <c r="AU16" s="456"/>
      <c r="AV16" s="456"/>
      <c r="AW16" s="456"/>
      <c r="AX16" s="456"/>
      <c r="AY16" s="456"/>
      <c r="AZ16" s="456"/>
      <c r="BA16" s="456"/>
      <c r="BB16" s="456"/>
      <c r="BC16" s="456"/>
      <c r="BE16" s="118"/>
      <c r="BF16" s="118" t="str">
        <f aca="false">IF(T16="","",T16)</f>
        <v/>
      </c>
      <c r="BG16" s="118"/>
      <c r="BH16" s="118"/>
      <c r="BI16" s="47" t="n">
        <v>0</v>
      </c>
    </row>
    <row r="17" s="47" customFormat="true" ht="14.25" hidden="true" customHeight="true" outlineLevel="0" collapsed="false">
      <c r="A17" s="122"/>
      <c r="B17" s="122"/>
      <c r="C17" s="122"/>
      <c r="D17" s="122"/>
      <c r="E17" s="413"/>
      <c r="F17" s="413"/>
      <c r="G17" s="122"/>
      <c r="H17" s="122"/>
      <c r="I17" s="122"/>
      <c r="J17" s="122"/>
      <c r="K17" s="122"/>
      <c r="L17" s="192"/>
      <c r="M17" s="453"/>
      <c r="N17" s="453"/>
      <c r="P17" s="156"/>
      <c r="Q17" s="449"/>
      <c r="R17" s="156"/>
      <c r="S17" s="454"/>
      <c r="T17" s="457" t="s">
        <v>428</v>
      </c>
      <c r="U17" s="456"/>
      <c r="V17" s="456"/>
      <c r="W17" s="456"/>
      <c r="X17" s="456"/>
      <c r="Y17" s="456"/>
      <c r="Z17" s="456"/>
      <c r="AA17" s="456"/>
      <c r="AB17" s="456"/>
      <c r="AC17" s="456"/>
      <c r="AD17" s="456"/>
      <c r="AE17" s="456"/>
      <c r="AF17" s="456"/>
      <c r="AG17" s="456"/>
      <c r="AH17" s="456"/>
      <c r="AI17" s="456"/>
      <c r="AJ17" s="456"/>
      <c r="AK17" s="456"/>
      <c r="AL17" s="456"/>
      <c r="AM17" s="456"/>
      <c r="AN17" s="456"/>
      <c r="AO17" s="456"/>
      <c r="AP17" s="456"/>
      <c r="AQ17" s="456"/>
      <c r="AR17" s="456"/>
      <c r="AS17" s="456"/>
      <c r="AT17" s="456"/>
      <c r="AU17" s="456"/>
      <c r="AV17" s="456"/>
      <c r="AW17" s="456"/>
      <c r="AX17" s="456"/>
      <c r="AY17" s="456"/>
      <c r="AZ17" s="456"/>
      <c r="BA17" s="456"/>
      <c r="BB17" s="456"/>
      <c r="BC17" s="456"/>
      <c r="BE17" s="118"/>
      <c r="BF17" s="118" t="str">
        <f aca="false">IF(T17="","",T17)</f>
        <v>Добавить централизованную систему для дифференциации</v>
      </c>
      <c r="BG17" s="118"/>
      <c r="BH17" s="118"/>
      <c r="BI17" s="47" t="n">
        <v>0</v>
      </c>
    </row>
    <row r="18" s="47" customFormat="true" ht="14.25" hidden="true" customHeight="true" outlineLevel="0" collapsed="false">
      <c r="A18" s="122"/>
      <c r="B18" s="122"/>
      <c r="C18" s="122"/>
      <c r="D18" s="122"/>
      <c r="E18" s="413"/>
      <c r="F18" s="122"/>
      <c r="G18" s="122"/>
      <c r="H18" s="122"/>
      <c r="I18" s="122"/>
      <c r="J18" s="122"/>
      <c r="K18" s="122"/>
      <c r="L18" s="192"/>
      <c r="M18" s="453"/>
      <c r="N18" s="453"/>
      <c r="P18" s="156"/>
      <c r="Q18" s="449"/>
      <c r="R18" s="156"/>
      <c r="S18" s="454"/>
      <c r="T18" s="457" t="s">
        <v>429</v>
      </c>
      <c r="U18" s="456"/>
      <c r="V18" s="456"/>
      <c r="W18" s="456"/>
      <c r="X18" s="456"/>
      <c r="Y18" s="456"/>
      <c r="Z18" s="456"/>
      <c r="AA18" s="456"/>
      <c r="AB18" s="456"/>
      <c r="AC18" s="456"/>
      <c r="AD18" s="456"/>
      <c r="AE18" s="456"/>
      <c r="AF18" s="456"/>
      <c r="AG18" s="456"/>
      <c r="AH18" s="456"/>
      <c r="AI18" s="456"/>
      <c r="AJ18" s="456"/>
      <c r="AK18" s="456"/>
      <c r="AL18" s="456"/>
      <c r="AM18" s="456"/>
      <c r="AN18" s="456"/>
      <c r="AO18" s="456"/>
      <c r="AP18" s="456"/>
      <c r="AQ18" s="456"/>
      <c r="AR18" s="456"/>
      <c r="AS18" s="456"/>
      <c r="AT18" s="456"/>
      <c r="AU18" s="456"/>
      <c r="AV18" s="456"/>
      <c r="AW18" s="456"/>
      <c r="AX18" s="456"/>
      <c r="AY18" s="456"/>
      <c r="AZ18" s="456"/>
      <c r="BA18" s="456"/>
      <c r="BB18" s="456"/>
      <c r="BC18" s="456"/>
      <c r="BE18" s="118"/>
      <c r="BF18" s="118" t="str">
        <f aca="false">IF(T18="","",T18)</f>
        <v>Добавить территорию для дифференциации</v>
      </c>
      <c r="BG18" s="118"/>
      <c r="BH18" s="118"/>
      <c r="BI18" s="47" t="n">
        <v>0</v>
      </c>
    </row>
    <row r="19" customFormat="false" ht="14.25" hidden="true" customHeight="true" outlineLevel="0" collapsed="false">
      <c r="BI19" s="42" t="n">
        <v>0</v>
      </c>
    </row>
    <row r="20" customFormat="false" ht="14.25" hidden="true" customHeight="true" outlineLevel="0" collapsed="false">
      <c r="AD20" s="456" t="s">
        <v>19</v>
      </c>
      <c r="AE20" s="549"/>
      <c r="AF20" s="456" t="n">
        <v>1</v>
      </c>
      <c r="AG20" s="550"/>
      <c r="AH20" s="456" t="s">
        <v>19</v>
      </c>
      <c r="AI20" s="549"/>
      <c r="AJ20" s="456" t="n">
        <v>1</v>
      </c>
      <c r="AK20" s="550"/>
      <c r="AL20" s="456" t="s">
        <v>19</v>
      </c>
      <c r="AM20" s="551"/>
      <c r="AN20" s="456" t="n">
        <v>1</v>
      </c>
      <c r="AO20" s="123"/>
      <c r="AP20" s="456" t="s">
        <v>19</v>
      </c>
      <c r="AQ20" s="551"/>
      <c r="AR20" s="456" t="n">
        <v>1</v>
      </c>
      <c r="AS20" s="123"/>
      <c r="AT20" s="436"/>
      <c r="AU20" s="497"/>
      <c r="AV20" s="436"/>
      <c r="AW20" s="497"/>
      <c r="AX20" s="555"/>
      <c r="AY20" s="556" t="s">
        <v>61</v>
      </c>
      <c r="AZ20" s="555"/>
      <c r="BA20" s="556" t="s">
        <v>61</v>
      </c>
      <c r="BI20" s="42" t="n">
        <v>0</v>
      </c>
    </row>
    <row r="21" customFormat="false" ht="14.25" hidden="true" customHeight="true" outlineLevel="0" collapsed="false">
      <c r="BD21" s="120"/>
      <c r="BE21" s="120"/>
      <c r="BF21" s="120"/>
      <c r="BG21" s="120"/>
      <c r="BH21" s="120"/>
      <c r="BI21" s="42" t="n">
        <v>0</v>
      </c>
    </row>
    <row r="22" customFormat="false" ht="14.25" hidden="true" customHeight="true" outlineLevel="0" collapsed="false">
      <c r="O22" s="462" t="s">
        <v>430</v>
      </c>
      <c r="Z22" s="495"/>
      <c r="AB22" s="495"/>
      <c r="AX22" s="495"/>
      <c r="AZ22" s="495"/>
      <c r="BD22" s="120"/>
      <c r="BE22" s="120"/>
      <c r="BF22" s="120"/>
      <c r="BG22" s="120"/>
      <c r="BH22" s="120"/>
      <c r="BI22" s="42" t="n">
        <v>0</v>
      </c>
    </row>
    <row r="23" customFormat="false" ht="14.25" hidden="true" customHeight="true" outlineLevel="0" collapsed="false">
      <c r="BD23" s="120"/>
      <c r="BE23" s="120"/>
      <c r="BF23" s="120"/>
      <c r="BG23" s="120"/>
      <c r="BH23" s="120"/>
      <c r="BI23" s="42" t="n">
        <v>0</v>
      </c>
    </row>
    <row r="24" s="557" customFormat="true" ht="14.25" hidden="true" customHeight="true" outlineLevel="0" collapsed="false">
      <c r="M24" s="558"/>
      <c r="N24" s="558"/>
      <c r="O24" s="557" t="s">
        <v>431</v>
      </c>
      <c r="P24" s="558"/>
      <c r="Q24" s="559"/>
      <c r="R24" s="559"/>
      <c r="AA24" s="557" t="s">
        <v>433</v>
      </c>
      <c r="AC24" s="557" t="s">
        <v>434</v>
      </c>
      <c r="AD24" s="557" t="s">
        <v>482</v>
      </c>
      <c r="AH24" s="557" t="s">
        <v>482</v>
      </c>
      <c r="AK24" s="557" t="s">
        <v>519</v>
      </c>
      <c r="AL24" s="557" t="s">
        <v>482</v>
      </c>
      <c r="AP24" s="557" t="s">
        <v>482</v>
      </c>
      <c r="AY24" s="557" t="s">
        <v>433</v>
      </c>
      <c r="BA24" s="557" t="s">
        <v>434</v>
      </c>
      <c r="BD24" s="560"/>
      <c r="BE24" s="560"/>
      <c r="BF24" s="560"/>
      <c r="BG24" s="560"/>
      <c r="BH24" s="560"/>
      <c r="BI24" s="557" t="n">
        <v>0</v>
      </c>
    </row>
    <row r="25" customFormat="false" ht="14.25" hidden="true" customHeight="true" outlineLevel="0" collapsed="false">
      <c r="O25" s="414"/>
      <c r="BD25" s="120"/>
      <c r="BE25" s="120"/>
      <c r="BF25" s="120"/>
      <c r="BG25" s="120"/>
      <c r="BH25" s="120"/>
      <c r="BI25" s="42" t="n">
        <v>0</v>
      </c>
    </row>
    <row r="26" customFormat="false" ht="14.25" hidden="true" customHeight="true" outlineLevel="0" collapsed="false">
      <c r="O26" s="414"/>
      <c r="BD26" s="120"/>
      <c r="BE26" s="120"/>
      <c r="BF26" s="120"/>
      <c r="BG26" s="120"/>
      <c r="BH26" s="120"/>
      <c r="BI26" s="42" t="n">
        <v>0</v>
      </c>
    </row>
    <row r="27" customFormat="false" ht="14.25" hidden="false" customHeight="true" outlineLevel="0" collapsed="false">
      <c r="Q27" s="561"/>
      <c r="R27" s="464"/>
      <c r="S27" s="465"/>
      <c r="T27" s="80"/>
      <c r="U27" s="80"/>
      <c r="BI27" s="42" t="n">
        <v>14</v>
      </c>
    </row>
    <row r="28" customFormat="false" ht="14.25" hidden="false" customHeight="true" outlineLevel="0" collapsed="false">
      <c r="Q28" s="561"/>
      <c r="R28" s="464"/>
      <c r="S28" s="220" t="str">
        <f aca="false">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c r="BI28" s="42" t="n">
        <v>14</v>
      </c>
    </row>
    <row r="29" customFormat="false" ht="14.25" hidden="false" customHeight="true" outlineLevel="0" collapsed="false">
      <c r="Q29" s="561"/>
      <c r="R29" s="464"/>
      <c r="S29" s="261" t="str">
        <f aca="false">IF(org=0,"Не определено",org)</f>
        <v>ООО "Газпром теплоэнерго Ярославль"</v>
      </c>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22"/>
      <c r="BI29" s="42" t="n">
        <v>14</v>
      </c>
    </row>
    <row r="30" customFormat="false" ht="14.25" hidden="true" customHeight="true" outlineLevel="0" collapsed="false">
      <c r="Q30" s="561"/>
      <c r="R30" s="464"/>
      <c r="S30" s="465"/>
      <c r="T30" s="80"/>
      <c r="U30" s="80"/>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466"/>
      <c r="AY30" s="466"/>
      <c r="AZ30" s="466"/>
      <c r="BA30" s="466"/>
      <c r="BI30" s="42" t="n">
        <v>0</v>
      </c>
    </row>
    <row r="31" s="175" customFormat="true" ht="25.5" hidden="true" customHeight="true" outlineLevel="0" collapsed="false">
      <c r="A31" s="140"/>
      <c r="B31" s="140"/>
      <c r="C31" s="140"/>
      <c r="D31" s="140"/>
      <c r="E31" s="140"/>
      <c r="F31" s="140"/>
      <c r="G31" s="140"/>
      <c r="H31" s="140"/>
      <c r="I31" s="140"/>
      <c r="J31" s="140"/>
      <c r="K31" s="140"/>
      <c r="L31" s="414"/>
      <c r="M31" s="140"/>
      <c r="N31" s="140"/>
      <c r="O31" s="140"/>
      <c r="P31" s="140"/>
      <c r="Q31" s="140"/>
      <c r="S31" s="467" t="s">
        <v>40</v>
      </c>
      <c r="T31" s="467"/>
      <c r="U31" s="468"/>
      <c r="V31" s="469" t="str">
        <f aca="false">IF(TITLE_NAME_OR_PR_CHANGE="",IF(TITLE_NAME_OR_PR="","",TITLE_NAME_OR_PR),TITLE_NAME_OR_PR_CHANGE)</f>
        <v/>
      </c>
      <c r="W31" s="469"/>
      <c r="X31" s="469"/>
      <c r="Y31" s="469"/>
      <c r="Z31" s="469"/>
      <c r="AA31" s="469"/>
      <c r="AB31" s="469"/>
      <c r="AC31" s="42"/>
      <c r="AD31" s="469" t="str">
        <f aca="false">IF(TITLE_NAME_OR_PR_CHANGE="",IF(TITLE_NAME_OR_PR="","",TITLE_NAME_OR_PR),TITLE_NAME_OR_PR_CHANGE)</f>
        <v/>
      </c>
      <c r="AE31" s="469"/>
      <c r="AF31" s="469"/>
      <c r="AG31" s="469"/>
      <c r="AH31" s="469"/>
      <c r="AI31" s="469"/>
      <c r="AJ31" s="469"/>
      <c r="AK31" s="469"/>
      <c r="AL31" s="469"/>
      <c r="AM31" s="469"/>
      <c r="AN31" s="469"/>
      <c r="AO31" s="469"/>
      <c r="AP31" s="469"/>
      <c r="AQ31" s="469"/>
      <c r="AR31" s="469"/>
      <c r="AS31" s="469"/>
      <c r="AT31" s="469"/>
      <c r="AU31" s="469"/>
      <c r="AV31" s="469"/>
      <c r="AW31" s="469"/>
      <c r="AX31" s="469"/>
      <c r="AY31" s="469"/>
      <c r="AZ31" s="469"/>
      <c r="BA31" s="42"/>
      <c r="BB31" s="42"/>
      <c r="BC31" s="470"/>
      <c r="BD31" s="118"/>
      <c r="BE31" s="118"/>
      <c r="BF31" s="118"/>
      <c r="BG31" s="118"/>
      <c r="BH31" s="118"/>
      <c r="BI31" s="175" t="n">
        <v>0</v>
      </c>
    </row>
    <row r="32" s="175" customFormat="true" ht="18.75" hidden="true" customHeight="true" outlineLevel="0" collapsed="false">
      <c r="A32" s="140"/>
      <c r="B32" s="140"/>
      <c r="C32" s="140"/>
      <c r="D32" s="140"/>
      <c r="E32" s="140"/>
      <c r="F32" s="140"/>
      <c r="G32" s="140"/>
      <c r="H32" s="140"/>
      <c r="I32" s="140"/>
      <c r="J32" s="140"/>
      <c r="K32" s="140"/>
      <c r="L32" s="414"/>
      <c r="M32" s="140"/>
      <c r="N32" s="140"/>
      <c r="O32" s="140"/>
      <c r="P32" s="140"/>
      <c r="Q32" s="140"/>
      <c r="S32" s="467" t="s">
        <v>436</v>
      </c>
      <c r="T32" s="467"/>
      <c r="U32" s="468"/>
      <c r="V32" s="471" t="str">
        <f aca="false">IF(TITLE_DATE_PR_CHANGE="",IF(TITLE_DATE_PR="","",TITLE_DATE_PR),TITLE_DATE_PR_CHANGE)</f>
        <v/>
      </c>
      <c r="W32" s="471"/>
      <c r="X32" s="471"/>
      <c r="Y32" s="471"/>
      <c r="Z32" s="471"/>
      <c r="AA32" s="471"/>
      <c r="AB32" s="471"/>
      <c r="AC32" s="42"/>
      <c r="AD32" s="471" t="str">
        <f aca="false">IF(TITLE_DATE_PR_CHANGE="",IF(TITLE_DATE_PR="","",TITLE_DATE_PR),TITLE_DATE_PR_CHANGE)</f>
        <v/>
      </c>
      <c r="AE32" s="471"/>
      <c r="AF32" s="471"/>
      <c r="AG32" s="471"/>
      <c r="AH32" s="471"/>
      <c r="AI32" s="471"/>
      <c r="AJ32" s="471"/>
      <c r="AK32" s="471"/>
      <c r="AL32" s="471"/>
      <c r="AM32" s="471"/>
      <c r="AN32" s="471"/>
      <c r="AO32" s="471"/>
      <c r="AP32" s="471"/>
      <c r="AQ32" s="471"/>
      <c r="AR32" s="471"/>
      <c r="AS32" s="471"/>
      <c r="AT32" s="471"/>
      <c r="AU32" s="471"/>
      <c r="AV32" s="471"/>
      <c r="AW32" s="471"/>
      <c r="AX32" s="471"/>
      <c r="AY32" s="471"/>
      <c r="AZ32" s="471"/>
      <c r="BA32" s="42"/>
      <c r="BB32" s="42"/>
      <c r="BC32" s="470"/>
      <c r="BD32" s="118"/>
      <c r="BE32" s="118"/>
      <c r="BF32" s="118"/>
      <c r="BG32" s="118"/>
      <c r="BH32" s="118"/>
      <c r="BI32" s="175" t="n">
        <v>0</v>
      </c>
    </row>
    <row r="33" s="175" customFormat="true" ht="18.75" hidden="true" customHeight="true" outlineLevel="0" collapsed="false">
      <c r="A33" s="140"/>
      <c r="B33" s="140"/>
      <c r="C33" s="140"/>
      <c r="D33" s="140"/>
      <c r="E33" s="140"/>
      <c r="F33" s="140"/>
      <c r="G33" s="140"/>
      <c r="H33" s="140"/>
      <c r="I33" s="140"/>
      <c r="J33" s="140"/>
      <c r="K33" s="140"/>
      <c r="L33" s="414"/>
      <c r="M33" s="140"/>
      <c r="N33" s="140"/>
      <c r="O33" s="140"/>
      <c r="P33" s="140"/>
      <c r="Q33" s="140"/>
      <c r="S33" s="467" t="s">
        <v>437</v>
      </c>
      <c r="T33" s="467"/>
      <c r="U33" s="468"/>
      <c r="V33" s="469" t="str">
        <f aca="false">IF(TITLE_NUMBER_PR_CHANGE="",IF(TITLE_NUMBER_PR="","",TITLE_NUMBER_PR),TITLE_NUMBER_PR_CHANGE)</f>
        <v/>
      </c>
      <c r="W33" s="469"/>
      <c r="X33" s="469"/>
      <c r="Y33" s="469"/>
      <c r="Z33" s="469"/>
      <c r="AA33" s="469"/>
      <c r="AB33" s="469"/>
      <c r="AC33" s="42"/>
      <c r="AD33" s="469" t="str">
        <f aca="false">IF(TITLE_NUMBER_PR_CHANGE="",IF(TITLE_NUMBER_PR="","",TITLE_NUMBER_PR),TITLE_NUMBER_PR_CHANGE)</f>
        <v/>
      </c>
      <c r="AE33" s="469"/>
      <c r="AF33" s="469"/>
      <c r="AG33" s="469"/>
      <c r="AH33" s="469"/>
      <c r="AI33" s="469"/>
      <c r="AJ33" s="469"/>
      <c r="AK33" s="469"/>
      <c r="AL33" s="469"/>
      <c r="AM33" s="469"/>
      <c r="AN33" s="469"/>
      <c r="AO33" s="469"/>
      <c r="AP33" s="469"/>
      <c r="AQ33" s="469"/>
      <c r="AR33" s="469"/>
      <c r="AS33" s="469"/>
      <c r="AT33" s="469"/>
      <c r="AU33" s="469"/>
      <c r="AV33" s="469"/>
      <c r="AW33" s="469"/>
      <c r="AX33" s="469"/>
      <c r="AY33" s="469"/>
      <c r="AZ33" s="469"/>
      <c r="BA33" s="42"/>
      <c r="BB33" s="42"/>
      <c r="BC33" s="470"/>
      <c r="BD33" s="118"/>
      <c r="BE33" s="118"/>
      <c r="BF33" s="118"/>
      <c r="BG33" s="118"/>
      <c r="BH33" s="118"/>
      <c r="BI33" s="175" t="n">
        <v>0</v>
      </c>
    </row>
    <row r="34" s="175" customFormat="true" ht="18.75" hidden="true" customHeight="true" outlineLevel="0" collapsed="false">
      <c r="A34" s="140"/>
      <c r="B34" s="140"/>
      <c r="C34" s="140"/>
      <c r="D34" s="140"/>
      <c r="E34" s="140"/>
      <c r="F34" s="140"/>
      <c r="G34" s="140"/>
      <c r="H34" s="140"/>
      <c r="I34" s="140"/>
      <c r="J34" s="140"/>
      <c r="K34" s="140"/>
      <c r="L34" s="414"/>
      <c r="M34" s="140"/>
      <c r="N34" s="140"/>
      <c r="O34" s="140"/>
      <c r="P34" s="140"/>
      <c r="Q34" s="140"/>
      <c r="S34" s="467" t="s">
        <v>41</v>
      </c>
      <c r="T34" s="467"/>
      <c r="U34" s="468"/>
      <c r="V34" s="469" t="str">
        <f aca="false">IF(TITLE_IST_PUB_CHANGE="",IF(TITLE_IST_PUB="","",TITLE_IST_PUB),TITLE_IST_PUB_CHANGE)</f>
        <v/>
      </c>
      <c r="W34" s="469"/>
      <c r="X34" s="469"/>
      <c r="Y34" s="469"/>
      <c r="Z34" s="469"/>
      <c r="AA34" s="469"/>
      <c r="AB34" s="469"/>
      <c r="AC34" s="42"/>
      <c r="AD34" s="469" t="str">
        <f aca="false">IF(TITLE_IST_PUB_CHANGE="",IF(TITLE_IST_PUB="","",TITLE_IST_PUB),TITLE_IST_PUB_CHANGE)</f>
        <v/>
      </c>
      <c r="AE34" s="469"/>
      <c r="AF34" s="469"/>
      <c r="AG34" s="469"/>
      <c r="AH34" s="469"/>
      <c r="AI34" s="469"/>
      <c r="AJ34" s="469"/>
      <c r="AK34" s="469"/>
      <c r="AL34" s="469"/>
      <c r="AM34" s="469"/>
      <c r="AN34" s="469"/>
      <c r="AO34" s="469"/>
      <c r="AP34" s="469"/>
      <c r="AQ34" s="469"/>
      <c r="AR34" s="469"/>
      <c r="AS34" s="469"/>
      <c r="AT34" s="469"/>
      <c r="AU34" s="469"/>
      <c r="AV34" s="469"/>
      <c r="AW34" s="469"/>
      <c r="AX34" s="469"/>
      <c r="AY34" s="469"/>
      <c r="AZ34" s="469"/>
      <c r="BA34" s="42"/>
      <c r="BB34" s="42"/>
      <c r="BC34" s="470"/>
      <c r="BD34" s="118"/>
      <c r="BE34" s="118"/>
      <c r="BF34" s="118"/>
      <c r="BG34" s="118"/>
      <c r="BH34" s="118"/>
      <c r="BI34" s="175" t="n">
        <v>0</v>
      </c>
    </row>
    <row r="35" customFormat="false" ht="14.25" hidden="true" customHeight="true" outlineLevel="0" collapsed="false">
      <c r="Q35" s="561"/>
      <c r="R35" s="464"/>
      <c r="S35" s="465"/>
      <c r="T35" s="80"/>
      <c r="U35" s="80"/>
      <c r="V35" s="466"/>
      <c r="W35" s="466"/>
      <c r="X35" s="466"/>
      <c r="Y35" s="466"/>
      <c r="Z35" s="466"/>
      <c r="AA35" s="466"/>
      <c r="AB35" s="466"/>
      <c r="AC35" s="466"/>
      <c r="AD35" s="466"/>
      <c r="AE35" s="466"/>
      <c r="AF35" s="466"/>
      <c r="AG35" s="466"/>
      <c r="AH35" s="466"/>
      <c r="AI35" s="466"/>
      <c r="AJ35" s="466"/>
      <c r="AK35" s="466"/>
      <c r="AL35" s="466"/>
      <c r="AM35" s="466"/>
      <c r="AN35" s="466"/>
      <c r="AO35" s="466"/>
      <c r="AP35" s="466"/>
      <c r="AQ35" s="466"/>
      <c r="AR35" s="466"/>
      <c r="AS35" s="466"/>
      <c r="AT35" s="466"/>
      <c r="AU35" s="466"/>
      <c r="AV35" s="466"/>
      <c r="AW35" s="466"/>
      <c r="AX35" s="466"/>
      <c r="AY35" s="466"/>
      <c r="AZ35" s="466"/>
      <c r="BA35" s="466"/>
      <c r="BI35" s="42" t="n">
        <v>0</v>
      </c>
    </row>
    <row r="36" s="175" customFormat="true" ht="18.75" hidden="true" customHeight="true" outlineLevel="0" collapsed="false">
      <c r="A36" s="140"/>
      <c r="B36" s="140"/>
      <c r="C36" s="140"/>
      <c r="D36" s="140"/>
      <c r="E36" s="140"/>
      <c r="F36" s="140"/>
      <c r="G36" s="140"/>
      <c r="H36" s="140"/>
      <c r="I36" s="140"/>
      <c r="J36" s="140"/>
      <c r="K36" s="140"/>
      <c r="L36" s="414"/>
      <c r="M36" s="140"/>
      <c r="N36" s="140"/>
      <c r="O36" s="140"/>
      <c r="P36" s="140"/>
      <c r="Q36" s="140"/>
      <c r="S36" s="467" t="s">
        <v>436</v>
      </c>
      <c r="T36" s="467"/>
      <c r="U36" s="468"/>
      <c r="V36" s="471" t="str">
        <f aca="false">IF(TITLE_DATE_PR_CHANGE="",IF(TITLE_DATE_PR="","",TITLE_DATE_PR),TITLE_DATE_PR_CHANGE)</f>
        <v/>
      </c>
      <c r="W36" s="471"/>
      <c r="X36" s="471"/>
      <c r="Y36" s="471"/>
      <c r="Z36" s="471"/>
      <c r="AA36" s="471"/>
      <c r="AB36" s="471"/>
      <c r="AC36" s="42"/>
      <c r="AD36" s="471" t="str">
        <f aca="false">IF(TITLE_DATE_PR_CHANGE="",IF(TITLE_DATE_PR="","",TITLE_DATE_PR),TITLE_DATE_PR_CHANGE)</f>
        <v/>
      </c>
      <c r="AE36" s="471"/>
      <c r="AF36" s="471"/>
      <c r="AG36" s="471"/>
      <c r="AH36" s="471"/>
      <c r="AI36" s="471"/>
      <c r="AJ36" s="471"/>
      <c r="AK36" s="471"/>
      <c r="AL36" s="471"/>
      <c r="AM36" s="471"/>
      <c r="AN36" s="471"/>
      <c r="AO36" s="471"/>
      <c r="AP36" s="471"/>
      <c r="AQ36" s="471"/>
      <c r="AR36" s="471"/>
      <c r="AS36" s="471"/>
      <c r="AT36" s="471"/>
      <c r="AU36" s="471"/>
      <c r="AV36" s="471"/>
      <c r="AW36" s="471"/>
      <c r="AX36" s="471"/>
      <c r="AY36" s="471"/>
      <c r="AZ36" s="471"/>
      <c r="BA36" s="42"/>
      <c r="BB36" s="42"/>
      <c r="BC36" s="470"/>
      <c r="BD36" s="118"/>
      <c r="BE36" s="118"/>
      <c r="BF36" s="118"/>
      <c r="BG36" s="118"/>
      <c r="BH36" s="118"/>
      <c r="BI36" s="175" t="n">
        <v>0</v>
      </c>
    </row>
    <row r="37" s="175" customFormat="true" ht="18.75" hidden="true" customHeight="true" outlineLevel="0" collapsed="false">
      <c r="A37" s="140"/>
      <c r="B37" s="140"/>
      <c r="C37" s="140"/>
      <c r="D37" s="140"/>
      <c r="E37" s="140"/>
      <c r="F37" s="140"/>
      <c r="G37" s="140"/>
      <c r="H37" s="140"/>
      <c r="I37" s="140"/>
      <c r="J37" s="140"/>
      <c r="K37" s="140"/>
      <c r="L37" s="414"/>
      <c r="M37" s="140"/>
      <c r="N37" s="140"/>
      <c r="O37" s="140"/>
      <c r="P37" s="140"/>
      <c r="Q37" s="140"/>
      <c r="S37" s="467" t="s">
        <v>437</v>
      </c>
      <c r="T37" s="467"/>
      <c r="U37" s="468"/>
      <c r="V37" s="469" t="str">
        <f aca="false">IF(TITLE_NUMBER_PR_CHANGE="",IF(TITLE_NUMBER_PR="","",TITLE_NUMBER_PR),TITLE_NUMBER_PR_CHANGE)</f>
        <v/>
      </c>
      <c r="W37" s="469"/>
      <c r="X37" s="469"/>
      <c r="Y37" s="469"/>
      <c r="Z37" s="469"/>
      <c r="AA37" s="469"/>
      <c r="AB37" s="469"/>
      <c r="AC37" s="42"/>
      <c r="AD37" s="469" t="str">
        <f aca="false">IF(TITLE_NUMBER_PR_CHANGE="",IF(TITLE_NUMBER_PR="","",TITLE_NUMBER_PR),TITLE_NUMBER_PR_CHANGE)</f>
        <v/>
      </c>
      <c r="AE37" s="469"/>
      <c r="AF37" s="469"/>
      <c r="AG37" s="469"/>
      <c r="AH37" s="469"/>
      <c r="AI37" s="469"/>
      <c r="AJ37" s="469"/>
      <c r="AK37" s="469"/>
      <c r="AL37" s="469"/>
      <c r="AM37" s="469"/>
      <c r="AN37" s="469"/>
      <c r="AO37" s="469"/>
      <c r="AP37" s="469"/>
      <c r="AQ37" s="469"/>
      <c r="AR37" s="469"/>
      <c r="AS37" s="469"/>
      <c r="AT37" s="469"/>
      <c r="AU37" s="469"/>
      <c r="AV37" s="469"/>
      <c r="AW37" s="469"/>
      <c r="AX37" s="469"/>
      <c r="AY37" s="469"/>
      <c r="AZ37" s="469"/>
      <c r="BA37" s="42"/>
      <c r="BB37" s="42"/>
      <c r="BC37" s="470"/>
      <c r="BD37" s="118"/>
      <c r="BE37" s="118"/>
      <c r="BF37" s="118"/>
      <c r="BG37" s="118"/>
      <c r="BH37" s="118"/>
      <c r="BI37" s="175" t="n">
        <v>0</v>
      </c>
    </row>
    <row r="38" s="175" customFormat="true" ht="12.8" hidden="false" customHeight="false" outlineLevel="0" collapsed="false">
      <c r="A38" s="140"/>
      <c r="B38" s="140"/>
      <c r="C38" s="140"/>
      <c r="D38" s="140"/>
      <c r="E38" s="140"/>
      <c r="F38" s="140"/>
      <c r="G38" s="140"/>
      <c r="H38" s="140"/>
      <c r="I38" s="140"/>
      <c r="J38" s="140"/>
      <c r="K38" s="140"/>
      <c r="L38" s="414"/>
      <c r="M38" s="140"/>
      <c r="N38" s="140"/>
      <c r="O38" s="140"/>
      <c r="P38" s="140"/>
      <c r="Q38" s="140"/>
      <c r="S38" s="42"/>
      <c r="T38" s="42"/>
      <c r="U38" s="128"/>
      <c r="V38" s="42"/>
      <c r="W38" s="42"/>
      <c r="X38" s="42"/>
      <c r="Y38" s="42"/>
      <c r="Z38" s="42"/>
      <c r="AA38" s="42"/>
      <c r="AB38" s="42"/>
      <c r="AC38" s="47" t="s">
        <v>440</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7" t="s">
        <v>440</v>
      </c>
      <c r="BD38" s="118"/>
      <c r="BE38" s="118"/>
      <c r="BF38" s="118"/>
      <c r="BG38" s="118"/>
      <c r="BH38" s="118"/>
      <c r="BI38" s="175" t="n">
        <v>0</v>
      </c>
    </row>
    <row r="39" customFormat="false" ht="14.25" hidden="false" customHeight="true" outlineLevel="0" collapsed="false">
      <c r="Q39" s="561"/>
      <c r="R39" s="464"/>
      <c r="S39" s="465"/>
      <c r="T39" s="80"/>
      <c r="U39" s="472"/>
      <c r="V39" s="473"/>
      <c r="W39" s="473"/>
      <c r="X39" s="473"/>
      <c r="Y39" s="473"/>
      <c r="Z39" s="473"/>
      <c r="AA39" s="473"/>
      <c r="AB39" s="473"/>
      <c r="AC39" s="473"/>
      <c r="AD39" s="473"/>
      <c r="AE39" s="473"/>
      <c r="AF39" s="473"/>
      <c r="AG39" s="473"/>
      <c r="AH39" s="473"/>
      <c r="AI39" s="473"/>
      <c r="AJ39" s="473"/>
      <c r="AK39" s="473"/>
      <c r="AL39" s="473"/>
      <c r="AM39" s="473"/>
      <c r="AN39" s="473"/>
      <c r="AO39" s="473"/>
      <c r="AP39" s="473"/>
      <c r="AQ39" s="473"/>
      <c r="AR39" s="473"/>
      <c r="AS39" s="473"/>
      <c r="AT39" s="473"/>
      <c r="AU39" s="473"/>
      <c r="AV39" s="473"/>
      <c r="AW39" s="473"/>
      <c r="AX39" s="473"/>
      <c r="AY39" s="473"/>
      <c r="AZ39" s="473"/>
      <c r="BA39" s="473"/>
      <c r="BI39" s="42" t="n">
        <v>14</v>
      </c>
    </row>
    <row r="40" customFormat="false" ht="14.25" hidden="false" customHeight="true" outlineLevel="0" collapsed="false">
      <c r="Q40" s="561"/>
      <c r="R40" s="464"/>
      <c r="S40" s="134" t="s">
        <v>313</v>
      </c>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t="s">
        <v>314</v>
      </c>
      <c r="BI40" s="42" t="n">
        <v>14</v>
      </c>
    </row>
    <row r="41" customFormat="false" ht="14.25" hidden="false" customHeight="true" outlineLevel="0" collapsed="false">
      <c r="Q41" s="561"/>
      <c r="R41" s="464"/>
      <c r="S41" s="416" t="s">
        <v>87</v>
      </c>
      <c r="T41" s="391" t="s">
        <v>520</v>
      </c>
      <c r="U41" s="475"/>
      <c r="V41" s="296" t="s">
        <v>442</v>
      </c>
      <c r="W41" s="296"/>
      <c r="X41" s="296"/>
      <c r="Y41" s="296"/>
      <c r="Z41" s="296"/>
      <c r="AA41" s="296"/>
      <c r="AB41" s="296"/>
      <c r="AC41" s="391" t="s">
        <v>443</v>
      </c>
      <c r="AD41" s="296" t="s">
        <v>521</v>
      </c>
      <c r="AE41" s="296"/>
      <c r="AF41" s="296"/>
      <c r="AG41" s="296"/>
      <c r="AH41" s="296" t="s">
        <v>522</v>
      </c>
      <c r="AI41" s="296"/>
      <c r="AJ41" s="296"/>
      <c r="AK41" s="296"/>
      <c r="AL41" s="296" t="s">
        <v>523</v>
      </c>
      <c r="AM41" s="296"/>
      <c r="AN41" s="296"/>
      <c r="AO41" s="296"/>
      <c r="AP41" s="296" t="s">
        <v>524</v>
      </c>
      <c r="AQ41" s="296"/>
      <c r="AR41" s="296"/>
      <c r="AS41" s="296"/>
      <c r="AT41" s="296" t="s">
        <v>442</v>
      </c>
      <c r="AU41" s="296"/>
      <c r="AV41" s="296"/>
      <c r="AW41" s="296"/>
      <c r="AX41" s="296"/>
      <c r="AY41" s="296"/>
      <c r="AZ41" s="296"/>
      <c r="BA41" s="391" t="s">
        <v>443</v>
      </c>
      <c r="BB41" s="476" t="s">
        <v>445</v>
      </c>
      <c r="BC41" s="134"/>
      <c r="BI41" s="42" t="n">
        <v>14</v>
      </c>
    </row>
    <row r="42" customFormat="false" ht="35.25" hidden="false" customHeight="true" outlineLevel="0" collapsed="false">
      <c r="Q42" s="561"/>
      <c r="R42" s="464"/>
      <c r="S42" s="416"/>
      <c r="T42" s="391"/>
      <c r="U42" s="477"/>
      <c r="V42" s="134" t="s">
        <v>525</v>
      </c>
      <c r="W42" s="134"/>
      <c r="X42" s="134" t="s">
        <v>526</v>
      </c>
      <c r="Y42" s="134"/>
      <c r="Z42" s="134" t="s">
        <v>527</v>
      </c>
      <c r="AA42" s="134"/>
      <c r="AB42" s="134"/>
      <c r="AC42" s="391"/>
      <c r="AD42" s="296"/>
      <c r="AE42" s="296"/>
      <c r="AF42" s="296"/>
      <c r="AG42" s="296"/>
      <c r="AH42" s="296"/>
      <c r="AI42" s="296"/>
      <c r="AJ42" s="296"/>
      <c r="AK42" s="296"/>
      <c r="AL42" s="296"/>
      <c r="AM42" s="296"/>
      <c r="AN42" s="296"/>
      <c r="AO42" s="296"/>
      <c r="AP42" s="296"/>
      <c r="AQ42" s="296"/>
      <c r="AR42" s="296"/>
      <c r="AS42" s="296"/>
      <c r="AT42" s="134" t="s">
        <v>525</v>
      </c>
      <c r="AU42" s="134"/>
      <c r="AV42" s="134" t="s">
        <v>526</v>
      </c>
      <c r="AW42" s="134"/>
      <c r="AX42" s="134" t="s">
        <v>527</v>
      </c>
      <c r="AY42" s="134"/>
      <c r="AZ42" s="134"/>
      <c r="BA42" s="391"/>
      <c r="BB42" s="476"/>
      <c r="BC42" s="134"/>
      <c r="BI42" s="42" t="n">
        <v>34</v>
      </c>
    </row>
    <row r="43" customFormat="false" ht="14.25" hidden="false" customHeight="true" outlineLevel="0" collapsed="false">
      <c r="Q43" s="561"/>
      <c r="R43" s="464"/>
      <c r="S43" s="416"/>
      <c r="T43" s="391"/>
      <c r="U43" s="477"/>
      <c r="V43" s="134"/>
      <c r="W43" s="134"/>
      <c r="X43" s="134"/>
      <c r="Y43" s="134"/>
      <c r="Z43" s="134"/>
      <c r="AA43" s="134"/>
      <c r="AB43" s="134"/>
      <c r="AC43" s="391"/>
      <c r="AD43" s="296"/>
      <c r="AE43" s="296"/>
      <c r="AF43" s="296"/>
      <c r="AG43" s="296"/>
      <c r="AH43" s="296"/>
      <c r="AI43" s="296"/>
      <c r="AJ43" s="296"/>
      <c r="AK43" s="296"/>
      <c r="AL43" s="296"/>
      <c r="AM43" s="296"/>
      <c r="AN43" s="296"/>
      <c r="AO43" s="296"/>
      <c r="AP43" s="296"/>
      <c r="AQ43" s="296"/>
      <c r="AR43" s="296"/>
      <c r="AS43" s="296"/>
      <c r="AT43" s="134"/>
      <c r="AU43" s="134"/>
      <c r="AV43" s="134"/>
      <c r="AW43" s="134"/>
      <c r="AX43" s="134"/>
      <c r="AY43" s="134"/>
      <c r="AZ43" s="134"/>
      <c r="BA43" s="391"/>
      <c r="BB43" s="476"/>
      <c r="BC43" s="134"/>
      <c r="BI43" s="42" t="n">
        <v>14</v>
      </c>
    </row>
    <row r="44" customFormat="false" ht="14.25" hidden="false" customHeight="true" outlineLevel="0" collapsed="false">
      <c r="A44" s="140"/>
      <c r="B44" s="140" t="s">
        <v>150</v>
      </c>
      <c r="C44" s="140" t="s">
        <v>151</v>
      </c>
      <c r="D44" s="140" t="s">
        <v>152</v>
      </c>
      <c r="E44" s="414" t="s">
        <v>450</v>
      </c>
      <c r="F44" s="414" t="s">
        <v>451</v>
      </c>
      <c r="G44" s="414" t="s">
        <v>452</v>
      </c>
      <c r="H44" s="414" t="s">
        <v>453</v>
      </c>
      <c r="I44" s="414" t="s">
        <v>454</v>
      </c>
      <c r="J44" s="414" t="s">
        <v>455</v>
      </c>
      <c r="K44" s="414" t="s">
        <v>456</v>
      </c>
      <c r="L44" s="414" t="s">
        <v>431</v>
      </c>
      <c r="Q44" s="561"/>
      <c r="R44" s="464"/>
      <c r="S44" s="416"/>
      <c r="T44" s="391"/>
      <c r="U44" s="478"/>
      <c r="V44" s="391" t="s">
        <v>491</v>
      </c>
      <c r="W44" s="391" t="s">
        <v>492</v>
      </c>
      <c r="X44" s="391" t="s">
        <v>491</v>
      </c>
      <c r="Y44" s="391" t="s">
        <v>492</v>
      </c>
      <c r="Z44" s="185" t="s">
        <v>459</v>
      </c>
      <c r="AA44" s="185" t="s">
        <v>460</v>
      </c>
      <c r="AB44" s="185"/>
      <c r="AC44" s="391"/>
      <c r="AD44" s="296"/>
      <c r="AE44" s="296"/>
      <c r="AF44" s="296"/>
      <c r="AG44" s="296"/>
      <c r="AH44" s="296"/>
      <c r="AI44" s="296"/>
      <c r="AJ44" s="296"/>
      <c r="AK44" s="296"/>
      <c r="AL44" s="296"/>
      <c r="AM44" s="296"/>
      <c r="AN44" s="296"/>
      <c r="AO44" s="296"/>
      <c r="AP44" s="296"/>
      <c r="AQ44" s="296"/>
      <c r="AR44" s="296"/>
      <c r="AS44" s="296"/>
      <c r="AT44" s="391" t="s">
        <v>491</v>
      </c>
      <c r="AU44" s="391" t="s">
        <v>492</v>
      </c>
      <c r="AV44" s="391" t="s">
        <v>491</v>
      </c>
      <c r="AW44" s="391" t="s">
        <v>492</v>
      </c>
      <c r="AX44" s="185" t="s">
        <v>459</v>
      </c>
      <c r="AY44" s="185" t="s">
        <v>460</v>
      </c>
      <c r="AZ44" s="185"/>
      <c r="BA44" s="391"/>
      <c r="BB44" s="476"/>
      <c r="BC44" s="134"/>
      <c r="BI44" s="42" t="n">
        <v>14</v>
      </c>
    </row>
    <row r="45" s="120" customFormat="true" ht="11.25" hidden="true" customHeight="true" outlineLevel="0" collapsed="false">
      <c r="A45" s="140"/>
      <c r="B45" s="140"/>
      <c r="C45" s="140"/>
      <c r="D45" s="140"/>
      <c r="E45" s="140"/>
      <c r="F45" s="140"/>
      <c r="G45" s="140"/>
      <c r="H45" s="140"/>
      <c r="I45" s="140"/>
      <c r="J45" s="140"/>
      <c r="K45" s="140"/>
      <c r="L45" s="414"/>
      <c r="M45" s="51"/>
      <c r="N45" s="51"/>
      <c r="O45" s="51"/>
      <c r="P45" s="506"/>
      <c r="Q45" s="481"/>
      <c r="R45" s="481" t="n">
        <v>1</v>
      </c>
      <c r="S45" s="482" t="s">
        <v>120</v>
      </c>
      <c r="T45" s="483" t="s">
        <v>102</v>
      </c>
      <c r="U45" s="484" t="str">
        <f aca="true">OFFSET(U45,0,-1)</f>
        <v>2</v>
      </c>
      <c r="V45" s="485" t="n">
        <f aca="true">OFFSET(V45,0,-1)+1</f>
        <v>3</v>
      </c>
      <c r="W45" s="485" t="n">
        <f aca="true">OFFSET(W45,0,-1)+1</f>
        <v>4</v>
      </c>
      <c r="X45" s="485" t="n">
        <f aca="true">OFFSET(X45,0,-1)+1</f>
        <v>5</v>
      </c>
      <c r="Y45" s="485" t="n">
        <f aca="true">OFFSET(Y45,0,-1)+1</f>
        <v>6</v>
      </c>
      <c r="Z45" s="485" t="n">
        <f aca="true">OFFSET(Z45,0,-1)+1</f>
        <v>7</v>
      </c>
      <c r="AA45" s="485" t="n">
        <f aca="true">OFFSET(AA45,0,-1)+1</f>
        <v>8</v>
      </c>
      <c r="AB45" s="485"/>
      <c r="AC45" s="485" t="n">
        <f aca="true">OFFSET(AC45,0,-2)+1</f>
        <v>9</v>
      </c>
      <c r="AD45" s="485" t="n">
        <f aca="true">OFFSET(AD45,0,-1)+1</f>
        <v>10</v>
      </c>
      <c r="AE45" s="485"/>
      <c r="AF45" s="485"/>
      <c r="AG45" s="485"/>
      <c r="AH45" s="485"/>
      <c r="AI45" s="485"/>
      <c r="AJ45" s="485"/>
      <c r="AK45" s="485"/>
      <c r="AL45" s="485"/>
      <c r="AM45" s="485"/>
      <c r="AN45" s="485"/>
      <c r="AO45" s="485"/>
      <c r="AP45" s="485"/>
      <c r="AQ45" s="485"/>
      <c r="AR45" s="485"/>
      <c r="AS45" s="485"/>
      <c r="AT45" s="485"/>
      <c r="AU45" s="485"/>
      <c r="AV45" s="485"/>
      <c r="AW45" s="485" t="n">
        <f aca="true">OFFSET(AW45,0,-1)+1</f>
        <v>1</v>
      </c>
      <c r="AX45" s="485" t="n">
        <f aca="true">OFFSET(AX45,0,-1)+1</f>
        <v>2</v>
      </c>
      <c r="AY45" s="485" t="n">
        <f aca="true">OFFSET(AY45,0,-1)+1</f>
        <v>3</v>
      </c>
      <c r="AZ45" s="485"/>
      <c r="BA45" s="485" t="n">
        <f aca="true">OFFSET(BA45,0,-2)+1</f>
        <v>4</v>
      </c>
      <c r="BB45" s="484" t="n">
        <f aca="true">OFFSET(BB45,0,-1)</f>
        <v>4</v>
      </c>
      <c r="BC45" s="485" t="n">
        <f aca="true">OFFSET(BC45,0,-1)+1</f>
        <v>5</v>
      </c>
      <c r="BD45" s="47"/>
      <c r="BE45" s="47"/>
      <c r="BF45" s="47"/>
      <c r="BG45" s="47"/>
      <c r="BH45" s="47"/>
      <c r="BI45" s="120" t="n">
        <v>0</v>
      </c>
    </row>
    <row r="46" customFormat="false" ht="21.75" hidden="false" customHeight="true" outlineLevel="0" collapsed="false">
      <c r="A46" s="412" t="s">
        <v>259</v>
      </c>
      <c r="B46" s="412"/>
      <c r="C46" s="412"/>
      <c r="D46" s="412"/>
      <c r="E46" s="413" t="n">
        <v>1</v>
      </c>
      <c r="F46" s="412"/>
      <c r="G46" s="412"/>
      <c r="H46" s="412"/>
      <c r="I46" s="412"/>
      <c r="J46" s="412"/>
      <c r="K46" s="412"/>
      <c r="L46" s="414"/>
      <c r="M46" s="40"/>
      <c r="N46" s="40"/>
      <c r="O46" s="40"/>
      <c r="Q46" s="54"/>
      <c r="R46" s="415"/>
      <c r="S46" s="416" t="n">
        <f aca="false">INDEX(PT_DIFFERENTIATION_NUM_NTAR,MATCH(A46,PT_DIFFERENTIATION_NTAR_ID,0))</f>
        <v>0</v>
      </c>
      <c r="T46" s="417" t="s">
        <v>138</v>
      </c>
      <c r="U46" s="418"/>
      <c r="V46" s="581"/>
      <c r="W46" s="581"/>
      <c r="X46" s="581"/>
      <c r="Y46" s="581"/>
      <c r="Z46" s="581"/>
      <c r="AA46" s="581"/>
      <c r="AB46" s="581"/>
      <c r="AC46" s="581"/>
      <c r="AD46" s="420" t="str">
        <f aca="false">INDEX(PT_DIFFERENTIATION_NTAR,MATCH(A46,PT_DIFFERENTIATION_NTAR_ID,0))</f>
        <v/>
      </c>
      <c r="AE46" s="420"/>
      <c r="AF46" s="420"/>
      <c r="AG46" s="420"/>
      <c r="AH46" s="420"/>
      <c r="AI46" s="420"/>
      <c r="AJ46" s="420"/>
      <c r="AK46" s="420"/>
      <c r="AL46" s="420"/>
      <c r="AM46" s="420"/>
      <c r="AN46" s="420"/>
      <c r="AO46" s="420"/>
      <c r="AP46" s="420"/>
      <c r="AQ46" s="420"/>
      <c r="AR46" s="420"/>
      <c r="AS46" s="420"/>
      <c r="AT46" s="420"/>
      <c r="AU46" s="420"/>
      <c r="AV46" s="420"/>
      <c r="AW46" s="420"/>
      <c r="AX46" s="420"/>
      <c r="AY46" s="420"/>
      <c r="AZ46" s="420"/>
      <c r="BA46" s="420"/>
      <c r="BB46" s="420"/>
      <c r="BC46" s="42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18"/>
      <c r="BF46" s="118" t="str">
        <f aca="false">IF(T46="","",T46)</f>
        <v>Наименование тарифа</v>
      </c>
      <c r="BG46" s="118"/>
      <c r="BH46" s="118"/>
      <c r="BI46" s="42" t="n">
        <v>21</v>
      </c>
    </row>
    <row r="47" customFormat="false" ht="21.75" hidden="false" customHeight="true" outlineLevel="0" collapsed="false">
      <c r="A47" s="412" t="s">
        <v>259</v>
      </c>
      <c r="B47" s="412" t="s">
        <v>260</v>
      </c>
      <c r="C47" s="412"/>
      <c r="D47" s="412"/>
      <c r="E47" s="413"/>
      <c r="F47" s="413" t="n">
        <v>1</v>
      </c>
      <c r="G47" s="412"/>
      <c r="H47" s="412"/>
      <c r="I47" s="412"/>
      <c r="J47" s="412"/>
      <c r="K47" s="412"/>
      <c r="L47" s="414"/>
      <c r="M47" s="40"/>
      <c r="N47" s="40"/>
      <c r="O47" s="40"/>
      <c r="P47" s="44"/>
      <c r="Q47" s="533"/>
      <c r="R47" s="423"/>
      <c r="S47" s="416" t="str">
        <f aca="false">INDEX(PT_DIFFERENTIATION_NUM_TER,MATCH(B47,PT_DIFFERENTIATION_TER_ID,0))</f>
        <v>.</v>
      </c>
      <c r="T47" s="424" t="s">
        <v>410</v>
      </c>
      <c r="U47" s="418"/>
      <c r="V47" s="581"/>
      <c r="W47" s="581"/>
      <c r="X47" s="581"/>
      <c r="Y47" s="581"/>
      <c r="Z47" s="581"/>
      <c r="AA47" s="581"/>
      <c r="AB47" s="581"/>
      <c r="AC47" s="581"/>
      <c r="AD47" s="420" t="str">
        <f aca="false">INDEX(PT_DIFFERENTIATION_TER,MATCH(B47,PT_DIFFERENTIATION_TER_ID,0))</f>
        <v/>
      </c>
      <c r="AE47" s="420"/>
      <c r="AF47" s="420"/>
      <c r="AG47" s="420"/>
      <c r="AH47" s="420"/>
      <c r="AI47" s="420"/>
      <c r="AJ47" s="420"/>
      <c r="AK47" s="420"/>
      <c r="AL47" s="420"/>
      <c r="AM47" s="420"/>
      <c r="AN47" s="420"/>
      <c r="AO47" s="420"/>
      <c r="AP47" s="420"/>
      <c r="AQ47" s="420"/>
      <c r="AR47" s="420"/>
      <c r="AS47" s="420"/>
      <c r="AT47" s="420"/>
      <c r="AU47" s="420"/>
      <c r="AV47" s="420"/>
      <c r="AW47" s="420"/>
      <c r="AX47" s="420"/>
      <c r="AY47" s="420"/>
      <c r="AZ47" s="420"/>
      <c r="BA47" s="420"/>
      <c r="BB47" s="420"/>
      <c r="BC47" s="421" t="s">
        <v>411</v>
      </c>
      <c r="BE47" s="118"/>
      <c r="BF47" s="118" t="str">
        <f aca="false">IF(T47="","",T47)</f>
        <v>Территория действия тарифа</v>
      </c>
      <c r="BG47" s="118"/>
      <c r="BH47" s="118"/>
      <c r="BI47" s="42" t="n">
        <v>21</v>
      </c>
    </row>
    <row r="48" customFormat="false" ht="42.75" hidden="false" customHeight="true" outlineLevel="0" collapsed="false">
      <c r="A48" s="412" t="s">
        <v>259</v>
      </c>
      <c r="B48" s="412" t="s">
        <v>260</v>
      </c>
      <c r="C48" s="412" t="s">
        <v>261</v>
      </c>
      <c r="D48" s="412"/>
      <c r="E48" s="413"/>
      <c r="F48" s="413"/>
      <c r="G48" s="413" t="n">
        <v>1</v>
      </c>
      <c r="H48" s="412"/>
      <c r="I48" s="412"/>
      <c r="J48" s="412"/>
      <c r="K48" s="412"/>
      <c r="L48" s="414"/>
      <c r="M48" s="40"/>
      <c r="N48" s="40"/>
      <c r="O48" s="40"/>
      <c r="P48" s="127"/>
      <c r="Q48" s="533"/>
      <c r="R48" s="423"/>
      <c r="S48" s="416" t="str">
        <f aca="false">INDEX(PT_DIFFERENTIATION_NUM_CS,MATCH(C48,PT_DIFFERENTIATION_CS_ID,0))</f>
        <v>..</v>
      </c>
      <c r="T48" s="426" t="s">
        <v>494</v>
      </c>
      <c r="U48" s="418"/>
      <c r="V48" s="581"/>
      <c r="W48" s="581"/>
      <c r="X48" s="581"/>
      <c r="Y48" s="581"/>
      <c r="Z48" s="581"/>
      <c r="AA48" s="581"/>
      <c r="AB48" s="581"/>
      <c r="AC48" s="581"/>
      <c r="AD48" s="420" t="str">
        <f aca="false">INDEX(PT_DIFFERENTIATION_CS,MATCH(C48,PT_DIFFERENTIATION_CS_ID,0))</f>
        <v/>
      </c>
      <c r="AE48" s="420"/>
      <c r="AF48" s="420"/>
      <c r="AG48" s="420"/>
      <c r="AH48" s="420"/>
      <c r="AI48" s="420"/>
      <c r="AJ48" s="420"/>
      <c r="AK48" s="420"/>
      <c r="AL48" s="420"/>
      <c r="AM48" s="420"/>
      <c r="AN48" s="420"/>
      <c r="AO48" s="420"/>
      <c r="AP48" s="420"/>
      <c r="AQ48" s="420"/>
      <c r="AR48" s="420"/>
      <c r="AS48" s="420"/>
      <c r="AT48" s="420"/>
      <c r="AU48" s="420"/>
      <c r="AV48" s="420"/>
      <c r="AW48" s="420"/>
      <c r="AX48" s="420"/>
      <c r="AY48" s="420"/>
      <c r="AZ48" s="420"/>
      <c r="BA48" s="420"/>
      <c r="BB48" s="420"/>
      <c r="BC48" s="421" t="s">
        <v>495</v>
      </c>
      <c r="BE48" s="118"/>
      <c r="BF48" s="118" t="str">
        <f aca="false">IF(T48="","",T48)</f>
        <v>Наименование централизованной системы холодного водоснабжения</v>
      </c>
      <c r="BG48" s="118"/>
      <c r="BH48" s="118"/>
      <c r="BI48" s="42" t="n">
        <v>41</v>
      </c>
    </row>
    <row r="49" s="47" customFormat="true" ht="12.8" hidden="false" customHeight="false" outlineLevel="0" collapsed="false">
      <c r="A49" s="122" t="s">
        <v>259</v>
      </c>
      <c r="B49" s="122" t="s">
        <v>260</v>
      </c>
      <c r="C49" s="122" t="s">
        <v>261</v>
      </c>
      <c r="D49" s="122" t="s">
        <v>528</v>
      </c>
      <c r="E49" s="413"/>
      <c r="F49" s="413"/>
      <c r="G49" s="413"/>
      <c r="H49" s="413" t="n">
        <v>1</v>
      </c>
      <c r="I49" s="122"/>
      <c r="J49" s="122"/>
      <c r="K49" s="122"/>
      <c r="L49" s="192"/>
      <c r="M49" s="46"/>
      <c r="N49" s="46"/>
      <c r="O49" s="46"/>
      <c r="P49" s="591"/>
      <c r="Q49" s="592"/>
      <c r="R49" s="432"/>
      <c r="S49" s="301"/>
      <c r="T49" s="593"/>
      <c r="U49" s="499"/>
      <c r="V49" s="534"/>
      <c r="W49" s="534"/>
      <c r="X49" s="534"/>
      <c r="Y49" s="534"/>
      <c r="Z49" s="534"/>
      <c r="AA49" s="534"/>
      <c r="AB49" s="534"/>
      <c r="AC49" s="534"/>
      <c r="AD49" s="500"/>
      <c r="AE49" s="500"/>
      <c r="AF49" s="500"/>
      <c r="AG49" s="500"/>
      <c r="AH49" s="500"/>
      <c r="AI49" s="500"/>
      <c r="AJ49" s="500"/>
      <c r="AK49" s="500"/>
      <c r="AL49" s="500"/>
      <c r="AM49" s="500"/>
      <c r="AN49" s="500"/>
      <c r="AO49" s="500"/>
      <c r="AP49" s="500"/>
      <c r="AQ49" s="500"/>
      <c r="AR49" s="500"/>
      <c r="AS49" s="500"/>
      <c r="AT49" s="500"/>
      <c r="AU49" s="500"/>
      <c r="AV49" s="500"/>
      <c r="AW49" s="500"/>
      <c r="AX49" s="500"/>
      <c r="AY49" s="500"/>
      <c r="AZ49" s="500"/>
      <c r="BA49" s="500"/>
      <c r="BB49" s="500"/>
      <c r="BC49" s="501" t="s">
        <v>415</v>
      </c>
      <c r="BE49" s="118"/>
      <c r="BF49" s="118" t="str">
        <f aca="false">IF(T49="","",T49)</f>
        <v/>
      </c>
      <c r="BG49" s="118"/>
      <c r="BH49" s="118"/>
      <c r="BI49" s="47" t="n">
        <v>0</v>
      </c>
    </row>
    <row r="50" s="47" customFormat="true" ht="12.8" hidden="false" customHeight="false" outlineLevel="0" collapsed="false">
      <c r="A50" s="122" t="s">
        <v>259</v>
      </c>
      <c r="B50" s="122" t="s">
        <v>260</v>
      </c>
      <c r="C50" s="122" t="s">
        <v>261</v>
      </c>
      <c r="D50" s="122" t="s">
        <v>528</v>
      </c>
      <c r="E50" s="413"/>
      <c r="F50" s="413"/>
      <c r="G50" s="413"/>
      <c r="H50" s="413"/>
      <c r="I50" s="428" t="str">
        <f aca="false">S49&amp;".1"</f>
        <v>.1</v>
      </c>
      <c r="J50" s="122"/>
      <c r="K50" s="122"/>
      <c r="L50" s="192" t="s">
        <v>416</v>
      </c>
      <c r="M50" s="506"/>
      <c r="N50" s="506"/>
      <c r="O50" s="506"/>
      <c r="P50" s="121" t="n">
        <v>1</v>
      </c>
      <c r="Q50" s="121"/>
      <c r="R50" s="429"/>
      <c r="S50" s="301"/>
      <c r="T50" s="498"/>
      <c r="U50" s="499"/>
      <c r="V50" s="534"/>
      <c r="W50" s="534"/>
      <c r="X50" s="534"/>
      <c r="Y50" s="534"/>
      <c r="Z50" s="534"/>
      <c r="AA50" s="534"/>
      <c r="AB50" s="534"/>
      <c r="AC50" s="534"/>
      <c r="AD50" s="500"/>
      <c r="AE50" s="500"/>
      <c r="AF50" s="500"/>
      <c r="AG50" s="500"/>
      <c r="AH50" s="500"/>
      <c r="AI50" s="500"/>
      <c r="AJ50" s="500"/>
      <c r="AK50" s="500"/>
      <c r="AL50" s="500"/>
      <c r="AM50" s="500"/>
      <c r="AN50" s="500"/>
      <c r="AO50" s="500"/>
      <c r="AP50" s="500"/>
      <c r="AQ50" s="500"/>
      <c r="AR50" s="500"/>
      <c r="AS50" s="500"/>
      <c r="AT50" s="500"/>
      <c r="AU50" s="500"/>
      <c r="AV50" s="500"/>
      <c r="AW50" s="500"/>
      <c r="AX50" s="500"/>
      <c r="AY50" s="500"/>
      <c r="AZ50" s="500"/>
      <c r="BA50" s="500"/>
      <c r="BB50" s="500"/>
      <c r="BC50" s="501"/>
      <c r="BE50" s="118"/>
      <c r="BF50" s="118" t="str">
        <f aca="false">IF(T50="","",T50)</f>
        <v/>
      </c>
      <c r="BG50" s="118"/>
      <c r="BH50" s="118"/>
      <c r="BI50" s="47" t="n">
        <v>0</v>
      </c>
    </row>
    <row r="51" s="47" customFormat="true" ht="12.8" hidden="false" customHeight="false" outlineLevel="0" collapsed="false">
      <c r="A51" s="122" t="s">
        <v>259</v>
      </c>
      <c r="B51" s="122" t="s">
        <v>260</v>
      </c>
      <c r="C51" s="122" t="s">
        <v>261</v>
      </c>
      <c r="D51" s="122" t="s">
        <v>528</v>
      </c>
      <c r="E51" s="413"/>
      <c r="F51" s="413"/>
      <c r="G51" s="413"/>
      <c r="H51" s="413"/>
      <c r="I51" s="428"/>
      <c r="J51" s="428" t="str">
        <f aca="false">S49&amp;".1"</f>
        <v>.1</v>
      </c>
      <c r="K51" s="122"/>
      <c r="L51" s="192"/>
      <c r="M51" s="506"/>
      <c r="N51" s="506"/>
      <c r="O51" s="506"/>
      <c r="P51" s="121"/>
      <c r="Q51" s="121" t="n">
        <v>1</v>
      </c>
      <c r="R51" s="432"/>
      <c r="S51" s="301"/>
      <c r="T51" s="535"/>
      <c r="U51" s="499"/>
      <c r="V51" s="534"/>
      <c r="W51" s="534"/>
      <c r="X51" s="534"/>
      <c r="Y51" s="534"/>
      <c r="Z51" s="534"/>
      <c r="AA51" s="534"/>
      <c r="AB51" s="534"/>
      <c r="AC51" s="534"/>
      <c r="AD51" s="500"/>
      <c r="AE51" s="500"/>
      <c r="AF51" s="500"/>
      <c r="AG51" s="500"/>
      <c r="AH51" s="500"/>
      <c r="AI51" s="500"/>
      <c r="AJ51" s="500"/>
      <c r="AK51" s="500"/>
      <c r="AL51" s="500"/>
      <c r="AM51" s="500"/>
      <c r="AN51" s="500"/>
      <c r="AO51" s="500"/>
      <c r="AP51" s="500"/>
      <c r="AQ51" s="500"/>
      <c r="AR51" s="500"/>
      <c r="AS51" s="500"/>
      <c r="AT51" s="500"/>
      <c r="AU51" s="500"/>
      <c r="AV51" s="500"/>
      <c r="AW51" s="500"/>
      <c r="AX51" s="500"/>
      <c r="AY51" s="500"/>
      <c r="AZ51" s="500"/>
      <c r="BA51" s="500"/>
      <c r="BB51" s="500"/>
      <c r="BC51" s="501"/>
      <c r="BE51" s="118"/>
      <c r="BF51" s="118" t="str">
        <f aca="false">IF(T51="","",T51)</f>
        <v/>
      </c>
      <c r="BG51" s="118"/>
      <c r="BH51" s="118"/>
      <c r="BI51" s="47" t="n">
        <v>0</v>
      </c>
    </row>
    <row r="52" customFormat="false" ht="11.25" hidden="false" customHeight="true" outlineLevel="0" collapsed="false">
      <c r="A52" s="412" t="s">
        <v>259</v>
      </c>
      <c r="B52" s="412" t="s">
        <v>260</v>
      </c>
      <c r="C52" s="412" t="s">
        <v>261</v>
      </c>
      <c r="D52" s="412" t="s">
        <v>528</v>
      </c>
      <c r="E52" s="413"/>
      <c r="F52" s="413"/>
      <c r="G52" s="413"/>
      <c r="H52" s="413"/>
      <c r="I52" s="428"/>
      <c r="J52" s="428"/>
      <c r="K52" s="428" t="str">
        <f aca="false">S48&amp;".1"</f>
        <v>...1</v>
      </c>
      <c r="L52" s="414"/>
      <c r="P52" s="121"/>
      <c r="Q52" s="121"/>
      <c r="R52" s="432" t="n">
        <v>1</v>
      </c>
      <c r="S52" s="474" t="str">
        <f aca="false">$K52</f>
        <v>...1</v>
      </c>
      <c r="T52" s="573"/>
      <c r="U52" s="418"/>
      <c r="V52" s="435"/>
      <c r="W52" s="437"/>
      <c r="X52" s="435"/>
      <c r="Y52" s="437"/>
      <c r="Z52" s="438"/>
      <c r="AA52" s="204" t="s">
        <v>61</v>
      </c>
      <c r="AB52" s="438"/>
      <c r="AC52" s="204" t="s">
        <v>61</v>
      </c>
      <c r="AD52" s="204" t="s">
        <v>61</v>
      </c>
      <c r="AE52" s="538"/>
      <c r="AF52" s="297" t="n">
        <v>1</v>
      </c>
      <c r="AG52" s="585"/>
      <c r="AH52" s="204" t="s">
        <v>61</v>
      </c>
      <c r="AI52" s="538"/>
      <c r="AJ52" s="297" t="n">
        <v>1</v>
      </c>
      <c r="AK52" s="76"/>
      <c r="AL52" s="204" t="s">
        <v>61</v>
      </c>
      <c r="AM52" s="265"/>
      <c r="AN52" s="297" t="n">
        <v>1</v>
      </c>
      <c r="AO52" s="594"/>
      <c r="AP52" s="595" t="s">
        <v>61</v>
      </c>
      <c r="AQ52" s="539"/>
      <c r="AR52" s="297" t="n">
        <v>1</v>
      </c>
      <c r="AS52" s="84"/>
      <c r="AT52" s="435"/>
      <c r="AU52" s="437"/>
      <c r="AV52" s="435"/>
      <c r="AW52" s="437"/>
      <c r="AX52" s="438"/>
      <c r="AY52" s="204" t="s">
        <v>61</v>
      </c>
      <c r="AZ52" s="438"/>
      <c r="BA52" s="204" t="s">
        <v>61</v>
      </c>
      <c r="BB52" s="486"/>
      <c r="BC52" s="439" t="s">
        <v>514</v>
      </c>
      <c r="BE52" s="118"/>
      <c r="BF52" s="118" t="str">
        <f aca="false">IF(T52="","",T52)</f>
        <v/>
      </c>
      <c r="BG52" s="118"/>
      <c r="BH52" s="118"/>
      <c r="BI52" s="42" t="n">
        <v>11</v>
      </c>
    </row>
    <row r="53" customFormat="false" ht="11.25" hidden="false" customHeight="true" outlineLevel="0" collapsed="false">
      <c r="A53" s="412"/>
      <c r="B53" s="412"/>
      <c r="C53" s="412"/>
      <c r="D53" s="412"/>
      <c r="E53" s="413"/>
      <c r="F53" s="413"/>
      <c r="G53" s="413"/>
      <c r="H53" s="413"/>
      <c r="I53" s="428"/>
      <c r="J53" s="428"/>
      <c r="K53" s="428"/>
      <c r="L53" s="414"/>
      <c r="P53" s="121"/>
      <c r="Q53" s="121"/>
      <c r="R53" s="432"/>
      <c r="S53" s="474"/>
      <c r="T53" s="573"/>
      <c r="U53" s="418"/>
      <c r="V53" s="528"/>
      <c r="W53" s="542"/>
      <c r="X53" s="528"/>
      <c r="Y53" s="542"/>
      <c r="Z53" s="528"/>
      <c r="AA53" s="528"/>
      <c r="AB53" s="528"/>
      <c r="AC53" s="528"/>
      <c r="AD53" s="204"/>
      <c r="AE53" s="538"/>
      <c r="AF53" s="297"/>
      <c r="AG53" s="585"/>
      <c r="AH53" s="204"/>
      <c r="AI53" s="538"/>
      <c r="AJ53" s="297"/>
      <c r="AK53" s="76"/>
      <c r="AL53" s="204"/>
      <c r="AM53" s="265"/>
      <c r="AN53" s="297"/>
      <c r="AO53" s="594"/>
      <c r="AP53" s="595"/>
      <c r="AQ53" s="541"/>
      <c r="AR53" s="168"/>
      <c r="AS53" s="168" t="s">
        <v>515</v>
      </c>
      <c r="AT53" s="528"/>
      <c r="AU53" s="542"/>
      <c r="AV53" s="528"/>
      <c r="AW53" s="542"/>
      <c r="AX53" s="528"/>
      <c r="AY53" s="528"/>
      <c r="AZ53" s="528"/>
      <c r="BA53" s="528"/>
      <c r="BB53" s="540"/>
      <c r="BC53" s="439"/>
      <c r="BE53" s="118"/>
      <c r="BF53" s="118"/>
      <c r="BG53" s="118"/>
      <c r="BH53" s="118"/>
      <c r="BI53" s="42" t="n">
        <v>11</v>
      </c>
    </row>
    <row r="54" customFormat="false" ht="11.25" hidden="false" customHeight="true" outlineLevel="0" collapsed="false">
      <c r="A54" s="412" t="s">
        <v>259</v>
      </c>
      <c r="B54" s="412"/>
      <c r="C54" s="412"/>
      <c r="D54" s="412"/>
      <c r="E54" s="413"/>
      <c r="F54" s="413"/>
      <c r="G54" s="413"/>
      <c r="H54" s="413"/>
      <c r="I54" s="428"/>
      <c r="J54" s="428"/>
      <c r="K54" s="428"/>
      <c r="L54" s="414"/>
      <c r="P54" s="121"/>
      <c r="Q54" s="121"/>
      <c r="R54" s="432"/>
      <c r="S54" s="474"/>
      <c r="T54" s="573"/>
      <c r="U54" s="418"/>
      <c r="V54" s="528"/>
      <c r="W54" s="542"/>
      <c r="X54" s="528"/>
      <c r="Y54" s="542"/>
      <c r="Z54" s="528"/>
      <c r="AA54" s="528"/>
      <c r="AB54" s="528"/>
      <c r="AC54" s="528"/>
      <c r="AD54" s="204"/>
      <c r="AE54" s="538"/>
      <c r="AF54" s="297"/>
      <c r="AG54" s="585"/>
      <c r="AH54" s="204"/>
      <c r="AI54" s="538"/>
      <c r="AJ54" s="297"/>
      <c r="AK54" s="76"/>
      <c r="AL54" s="204"/>
      <c r="AM54" s="541"/>
      <c r="AN54" s="596"/>
      <c r="AO54" s="596" t="s">
        <v>516</v>
      </c>
      <c r="AP54" s="168"/>
      <c r="AQ54" s="168"/>
      <c r="AR54" s="168"/>
      <c r="AS54" s="528"/>
      <c r="AT54" s="528"/>
      <c r="AU54" s="542"/>
      <c r="AV54" s="528"/>
      <c r="AW54" s="542"/>
      <c r="AX54" s="528"/>
      <c r="AY54" s="528"/>
      <c r="AZ54" s="528"/>
      <c r="BA54" s="528"/>
      <c r="BB54" s="540"/>
      <c r="BC54" s="439"/>
      <c r="BE54" s="118"/>
      <c r="BF54" s="118"/>
      <c r="BG54" s="118"/>
      <c r="BH54" s="118"/>
      <c r="BI54" s="42" t="n">
        <v>11</v>
      </c>
    </row>
    <row r="55" customFormat="false" ht="11.25" hidden="false" customHeight="true" outlineLevel="0" collapsed="false">
      <c r="A55" s="412" t="s">
        <v>259</v>
      </c>
      <c r="B55" s="412"/>
      <c r="C55" s="412"/>
      <c r="D55" s="412"/>
      <c r="E55" s="413"/>
      <c r="F55" s="413"/>
      <c r="G55" s="413"/>
      <c r="H55" s="413"/>
      <c r="I55" s="428"/>
      <c r="J55" s="428"/>
      <c r="K55" s="428"/>
      <c r="L55" s="414"/>
      <c r="P55" s="121"/>
      <c r="Q55" s="121"/>
      <c r="R55" s="432"/>
      <c r="S55" s="474"/>
      <c r="T55" s="573"/>
      <c r="U55" s="418"/>
      <c r="V55" s="528"/>
      <c r="W55" s="542"/>
      <c r="X55" s="528"/>
      <c r="Y55" s="542"/>
      <c r="Z55" s="528"/>
      <c r="AA55" s="528"/>
      <c r="AB55" s="528"/>
      <c r="AC55" s="528"/>
      <c r="AD55" s="204"/>
      <c r="AE55" s="538"/>
      <c r="AF55" s="297"/>
      <c r="AG55" s="585"/>
      <c r="AH55" s="204"/>
      <c r="AI55" s="544"/>
      <c r="AJ55" s="161"/>
      <c r="AK55" s="379" t="s">
        <v>517</v>
      </c>
      <c r="AL55" s="528"/>
      <c r="AM55" s="528"/>
      <c r="AN55" s="528"/>
      <c r="AO55" s="528"/>
      <c r="AP55" s="528"/>
      <c r="AQ55" s="528"/>
      <c r="AR55" s="528"/>
      <c r="AS55" s="528"/>
      <c r="AT55" s="528"/>
      <c r="AU55" s="542"/>
      <c r="AV55" s="528"/>
      <c r="AW55" s="542"/>
      <c r="AX55" s="528"/>
      <c r="AY55" s="528"/>
      <c r="AZ55" s="528"/>
      <c r="BA55" s="528"/>
      <c r="BB55" s="540"/>
      <c r="BC55" s="439"/>
      <c r="BE55" s="118"/>
      <c r="BF55" s="118"/>
      <c r="BG55" s="118"/>
      <c r="BH55" s="118"/>
      <c r="BI55" s="42" t="n">
        <v>11</v>
      </c>
    </row>
    <row r="56" customFormat="false" ht="11.25" hidden="false" customHeight="true" outlineLevel="0" collapsed="false">
      <c r="A56" s="412" t="s">
        <v>259</v>
      </c>
      <c r="B56" s="412" t="s">
        <v>260</v>
      </c>
      <c r="C56" s="412" t="s">
        <v>261</v>
      </c>
      <c r="D56" s="412" t="s">
        <v>528</v>
      </c>
      <c r="E56" s="413"/>
      <c r="F56" s="413"/>
      <c r="G56" s="413"/>
      <c r="H56" s="413"/>
      <c r="I56" s="428"/>
      <c r="J56" s="428"/>
      <c r="K56" s="428"/>
      <c r="L56" s="414"/>
      <c r="P56" s="121"/>
      <c r="Q56" s="121"/>
      <c r="R56" s="432"/>
      <c r="S56" s="474"/>
      <c r="T56" s="573"/>
      <c r="U56" s="418"/>
      <c r="V56" s="528"/>
      <c r="W56" s="529" t="str">
        <f aca="false">Z52&amp;"-"&amp;AB52</f>
        <v>-</v>
      </c>
      <c r="X56" s="528"/>
      <c r="Y56" s="529" t="str">
        <f aca="false">AB52&amp;"-"&amp;AD52</f>
        <v>-да</v>
      </c>
      <c r="Z56" s="528"/>
      <c r="AA56" s="528"/>
      <c r="AB56" s="528"/>
      <c r="AC56" s="528"/>
      <c r="AD56" s="204"/>
      <c r="AE56" s="546"/>
      <c r="AF56" s="547"/>
      <c r="AG56" s="168" t="s">
        <v>518</v>
      </c>
      <c r="AH56" s="528"/>
      <c r="AI56" s="528"/>
      <c r="AJ56" s="528"/>
      <c r="AK56" s="528"/>
      <c r="AL56" s="528"/>
      <c r="AM56" s="528"/>
      <c r="AN56" s="528"/>
      <c r="AO56" s="528"/>
      <c r="AP56" s="528"/>
      <c r="AQ56" s="528"/>
      <c r="AR56" s="528"/>
      <c r="AS56" s="528"/>
      <c r="AT56" s="528"/>
      <c r="AU56" s="529" t="str">
        <f aca="false">AX52&amp;"-"&amp;AZ52</f>
        <v>-</v>
      </c>
      <c r="AV56" s="528"/>
      <c r="AW56" s="529" t="str">
        <f aca="false">AZ52&amp;"-"&amp;BB52</f>
        <v>-</v>
      </c>
      <c r="AX56" s="528"/>
      <c r="AY56" s="528"/>
      <c r="AZ56" s="528"/>
      <c r="BA56" s="528"/>
      <c r="BB56" s="545" t="str">
        <f aca="false">BE52&amp;"-"&amp;BG52</f>
        <v>-</v>
      </c>
      <c r="BC56" s="439"/>
      <c r="BE56" s="118"/>
      <c r="BF56" s="118" t="str">
        <f aca="false">IF(T56="","",T56)</f>
        <v/>
      </c>
      <c r="BG56" s="118"/>
      <c r="BH56" s="118"/>
      <c r="BI56" s="42" t="n">
        <v>11</v>
      </c>
    </row>
    <row r="57" customFormat="false" ht="11.25" hidden="false" customHeight="true" outlineLevel="0" collapsed="false">
      <c r="A57" s="412" t="s">
        <v>259</v>
      </c>
      <c r="B57" s="412" t="s">
        <v>260</v>
      </c>
      <c r="C57" s="412" t="s">
        <v>261</v>
      </c>
      <c r="D57" s="412" t="s">
        <v>528</v>
      </c>
      <c r="E57" s="413"/>
      <c r="F57" s="413"/>
      <c r="G57" s="413"/>
      <c r="H57" s="413"/>
      <c r="I57" s="428"/>
      <c r="J57" s="428"/>
      <c r="K57" s="412"/>
      <c r="L57" s="414"/>
      <c r="P57" s="121"/>
      <c r="Q57" s="121"/>
      <c r="R57" s="429"/>
      <c r="S57" s="441"/>
      <c r="T57" s="444" t="s">
        <v>481</v>
      </c>
      <c r="U57" s="194"/>
      <c r="V57" s="194"/>
      <c r="W57" s="194"/>
      <c r="X57" s="194"/>
      <c r="Y57" s="194"/>
      <c r="Z57" s="194"/>
      <c r="AA57" s="194"/>
      <c r="AB57" s="194"/>
      <c r="AC57" s="443"/>
      <c r="AD57" s="569"/>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443"/>
      <c r="BC57" s="439"/>
      <c r="BE57" s="118"/>
      <c r="BF57" s="118" t="str">
        <f aca="false">IF(T57="","",T57)</f>
        <v>Добавить строку</v>
      </c>
      <c r="BG57" s="118"/>
      <c r="BH57" s="118"/>
      <c r="BI57" s="42" t="n">
        <v>11</v>
      </c>
    </row>
    <row r="58" s="47" customFormat="true" ht="12.8" hidden="false" customHeight="false" outlineLevel="0" collapsed="false">
      <c r="A58" s="122" t="s">
        <v>259</v>
      </c>
      <c r="B58" s="122" t="s">
        <v>260</v>
      </c>
      <c r="C58" s="122" t="s">
        <v>261</v>
      </c>
      <c r="D58" s="122" t="s">
        <v>528</v>
      </c>
      <c r="E58" s="413"/>
      <c r="F58" s="413"/>
      <c r="G58" s="413"/>
      <c r="H58" s="413"/>
      <c r="I58" s="428"/>
      <c r="J58" s="122"/>
      <c r="K58" s="122"/>
      <c r="L58" s="192"/>
      <c r="M58" s="506"/>
      <c r="N58" s="506"/>
      <c r="O58" s="506"/>
      <c r="P58" s="121"/>
      <c r="Q58" s="121"/>
      <c r="R58" s="429"/>
      <c r="S58" s="502"/>
      <c r="T58" s="503"/>
      <c r="U58" s="504"/>
      <c r="V58" s="504"/>
      <c r="W58" s="504"/>
      <c r="X58" s="504"/>
      <c r="Y58" s="504"/>
      <c r="Z58" s="504"/>
      <c r="AA58" s="504"/>
      <c r="AB58" s="504"/>
      <c r="AC58" s="504"/>
      <c r="AD58" s="504"/>
      <c r="AE58" s="504"/>
      <c r="AF58" s="504"/>
      <c r="AG58" s="504"/>
      <c r="AH58" s="504"/>
      <c r="AI58" s="504"/>
      <c r="AJ58" s="504"/>
      <c r="AK58" s="504"/>
      <c r="AL58" s="504"/>
      <c r="AM58" s="504"/>
      <c r="AN58" s="504"/>
      <c r="AO58" s="504"/>
      <c r="AP58" s="504"/>
      <c r="AQ58" s="504"/>
      <c r="AR58" s="504"/>
      <c r="AS58" s="504"/>
      <c r="AT58" s="504"/>
      <c r="AU58" s="504"/>
      <c r="AV58" s="504"/>
      <c r="AW58" s="504"/>
      <c r="AX58" s="504"/>
      <c r="AY58" s="504"/>
      <c r="AZ58" s="504"/>
      <c r="BA58" s="504"/>
      <c r="BB58" s="504"/>
      <c r="BC58" s="505"/>
      <c r="BE58" s="118"/>
      <c r="BF58" s="118" t="str">
        <f aca="false">IF(T58="","",T58)</f>
        <v/>
      </c>
      <c r="BG58" s="118"/>
      <c r="BH58" s="118"/>
      <c r="BI58" s="47" t="n">
        <v>0</v>
      </c>
    </row>
    <row r="59" s="47" customFormat="true" ht="12.8" hidden="false" customHeight="false" outlineLevel="0" collapsed="false">
      <c r="A59" s="122" t="s">
        <v>259</v>
      </c>
      <c r="B59" s="122" t="s">
        <v>260</v>
      </c>
      <c r="C59" s="122" t="s">
        <v>261</v>
      </c>
      <c r="D59" s="122" t="s">
        <v>528</v>
      </c>
      <c r="E59" s="413"/>
      <c r="F59" s="413"/>
      <c r="G59" s="413"/>
      <c r="H59" s="413"/>
      <c r="I59" s="122"/>
      <c r="J59" s="122"/>
      <c r="K59" s="122"/>
      <c r="L59" s="192"/>
      <c r="M59" s="46"/>
      <c r="N59" s="46"/>
      <c r="P59" s="156"/>
      <c r="Q59" s="449"/>
      <c r="R59" s="548"/>
      <c r="S59" s="502"/>
      <c r="T59" s="503"/>
      <c r="U59" s="504"/>
      <c r="V59" s="504"/>
      <c r="W59" s="504"/>
      <c r="X59" s="504"/>
      <c r="Y59" s="504"/>
      <c r="Z59" s="504"/>
      <c r="AA59" s="504"/>
      <c r="AB59" s="504"/>
      <c r="AC59" s="504"/>
      <c r="AD59" s="504"/>
      <c r="AE59" s="504"/>
      <c r="AF59" s="504"/>
      <c r="AG59" s="504"/>
      <c r="AH59" s="504"/>
      <c r="AI59" s="504"/>
      <c r="AJ59" s="504"/>
      <c r="AK59" s="504"/>
      <c r="AL59" s="504"/>
      <c r="AM59" s="504"/>
      <c r="AN59" s="504"/>
      <c r="AO59" s="504"/>
      <c r="AP59" s="504"/>
      <c r="AQ59" s="504"/>
      <c r="AR59" s="504"/>
      <c r="AS59" s="504"/>
      <c r="AT59" s="504"/>
      <c r="AU59" s="504"/>
      <c r="AV59" s="504"/>
      <c r="AW59" s="504"/>
      <c r="AX59" s="504"/>
      <c r="AY59" s="504"/>
      <c r="AZ59" s="504"/>
      <c r="BA59" s="504"/>
      <c r="BB59" s="504"/>
      <c r="BC59" s="505"/>
      <c r="BE59" s="118"/>
      <c r="BF59" s="118" t="str">
        <f aca="false">IF(T59="","",T59)</f>
        <v/>
      </c>
      <c r="BG59" s="118"/>
      <c r="BH59" s="118"/>
      <c r="BI59" s="47" t="n">
        <v>0</v>
      </c>
    </row>
    <row r="60" s="47" customFormat="true" ht="12.8" hidden="false" customHeight="false" outlineLevel="0" collapsed="false">
      <c r="A60" s="122" t="s">
        <v>259</v>
      </c>
      <c r="B60" s="122" t="s">
        <v>260</v>
      </c>
      <c r="C60" s="122" t="s">
        <v>261</v>
      </c>
      <c r="D60" s="122"/>
      <c r="E60" s="413"/>
      <c r="F60" s="413"/>
      <c r="G60" s="413"/>
      <c r="H60" s="122"/>
      <c r="I60" s="122"/>
      <c r="J60" s="122"/>
      <c r="K60" s="122"/>
      <c r="L60" s="192"/>
      <c r="M60" s="46"/>
      <c r="N60" s="46"/>
      <c r="P60" s="156"/>
      <c r="Q60" s="449"/>
      <c r="R60" s="156"/>
      <c r="S60" s="454"/>
      <c r="T60" s="457"/>
      <c r="U60" s="456"/>
      <c r="V60" s="456"/>
      <c r="W60" s="456"/>
      <c r="X60" s="456"/>
      <c r="Y60" s="456"/>
      <c r="Z60" s="456"/>
      <c r="AA60" s="456"/>
      <c r="AB60" s="456"/>
      <c r="AC60" s="456"/>
      <c r="AD60" s="456"/>
      <c r="AE60" s="456"/>
      <c r="AF60" s="456"/>
      <c r="AG60" s="456"/>
      <c r="AH60" s="456"/>
      <c r="AI60" s="456"/>
      <c r="AJ60" s="456"/>
      <c r="AK60" s="456"/>
      <c r="AL60" s="456"/>
      <c r="AM60" s="456"/>
      <c r="AN60" s="456"/>
      <c r="AO60" s="456"/>
      <c r="AP60" s="456"/>
      <c r="AQ60" s="456"/>
      <c r="AR60" s="456"/>
      <c r="AS60" s="456"/>
      <c r="AT60" s="456"/>
      <c r="AU60" s="456"/>
      <c r="AV60" s="456"/>
      <c r="AW60" s="456"/>
      <c r="AX60" s="456"/>
      <c r="AY60" s="456"/>
      <c r="AZ60" s="456"/>
      <c r="BA60" s="456"/>
      <c r="BB60" s="456"/>
      <c r="BC60" s="456"/>
      <c r="BE60" s="118"/>
      <c r="BF60" s="118" t="str">
        <f aca="false">IF(T60="","",T60)</f>
        <v/>
      </c>
      <c r="BG60" s="118"/>
      <c r="BH60" s="118"/>
      <c r="BI60" s="47" t="n">
        <v>0</v>
      </c>
    </row>
    <row r="61" s="47" customFormat="true" ht="12.8" hidden="false" customHeight="false" outlineLevel="0" collapsed="false">
      <c r="A61" s="122" t="s">
        <v>259</v>
      </c>
      <c r="B61" s="122" t="s">
        <v>260</v>
      </c>
      <c r="C61" s="122"/>
      <c r="D61" s="122"/>
      <c r="E61" s="413"/>
      <c r="F61" s="413"/>
      <c r="G61" s="122"/>
      <c r="H61" s="122"/>
      <c r="I61" s="122"/>
      <c r="J61" s="122"/>
      <c r="K61" s="122"/>
      <c r="L61" s="192"/>
      <c r="M61" s="453"/>
      <c r="N61" s="453"/>
      <c r="P61" s="156"/>
      <c r="Q61" s="449"/>
      <c r="R61" s="156"/>
      <c r="S61" s="454"/>
      <c r="T61" s="457" t="s">
        <v>428</v>
      </c>
      <c r="U61" s="456"/>
      <c r="V61" s="456"/>
      <c r="W61" s="456"/>
      <c r="X61" s="456"/>
      <c r="Y61" s="456"/>
      <c r="Z61" s="456"/>
      <c r="AA61" s="456"/>
      <c r="AB61" s="456"/>
      <c r="AC61" s="456"/>
      <c r="AD61" s="456"/>
      <c r="AE61" s="456"/>
      <c r="AF61" s="456"/>
      <c r="AG61" s="456"/>
      <c r="AH61" s="456"/>
      <c r="AI61" s="456"/>
      <c r="AJ61" s="456"/>
      <c r="AK61" s="456"/>
      <c r="AL61" s="456"/>
      <c r="AM61" s="456"/>
      <c r="AN61" s="456"/>
      <c r="AO61" s="456"/>
      <c r="AP61" s="456"/>
      <c r="AQ61" s="456"/>
      <c r="AR61" s="456"/>
      <c r="AS61" s="456"/>
      <c r="AT61" s="456"/>
      <c r="AU61" s="456"/>
      <c r="AV61" s="456"/>
      <c r="AW61" s="456"/>
      <c r="AX61" s="456"/>
      <c r="AY61" s="456"/>
      <c r="AZ61" s="456"/>
      <c r="BA61" s="456"/>
      <c r="BB61" s="456"/>
      <c r="BC61" s="456"/>
      <c r="BE61" s="118"/>
      <c r="BF61" s="118" t="str">
        <f aca="false">IF(T61="","",T61)</f>
        <v>Добавить централизованную систему для дифференциации</v>
      </c>
      <c r="BG61" s="118"/>
      <c r="BH61" s="118"/>
      <c r="BI61" s="47" t="n">
        <v>0</v>
      </c>
    </row>
    <row r="62" s="47" customFormat="true" ht="12.8" hidden="false" customHeight="false" outlineLevel="0" collapsed="false">
      <c r="A62" s="122" t="s">
        <v>259</v>
      </c>
      <c r="B62" s="122"/>
      <c r="C62" s="122"/>
      <c r="D62" s="122"/>
      <c r="E62" s="413"/>
      <c r="F62" s="122"/>
      <c r="G62" s="122"/>
      <c r="H62" s="122"/>
      <c r="I62" s="122"/>
      <c r="J62" s="122"/>
      <c r="K62" s="122"/>
      <c r="L62" s="192"/>
      <c r="M62" s="453"/>
      <c r="N62" s="453"/>
      <c r="P62" s="156"/>
      <c r="Q62" s="449"/>
      <c r="R62" s="156"/>
      <c r="S62" s="454"/>
      <c r="T62" s="457" t="s">
        <v>429</v>
      </c>
      <c r="U62" s="456"/>
      <c r="V62" s="456"/>
      <c r="W62" s="456"/>
      <c r="X62" s="456"/>
      <c r="Y62" s="456"/>
      <c r="Z62" s="456"/>
      <c r="AA62" s="456"/>
      <c r="AB62" s="456"/>
      <c r="AC62" s="456"/>
      <c r="AD62" s="456"/>
      <c r="AE62" s="456"/>
      <c r="AF62" s="456"/>
      <c r="AG62" s="456"/>
      <c r="AH62" s="456"/>
      <c r="AI62" s="456"/>
      <c r="AJ62" s="456"/>
      <c r="AK62" s="456"/>
      <c r="AL62" s="456"/>
      <c r="AM62" s="456"/>
      <c r="AN62" s="456"/>
      <c r="AO62" s="456"/>
      <c r="AP62" s="456"/>
      <c r="AQ62" s="456"/>
      <c r="AR62" s="456"/>
      <c r="AS62" s="456"/>
      <c r="AT62" s="456"/>
      <c r="AU62" s="456"/>
      <c r="AV62" s="456"/>
      <c r="AW62" s="456"/>
      <c r="AX62" s="456"/>
      <c r="AY62" s="456"/>
      <c r="AZ62" s="456"/>
      <c r="BA62" s="456"/>
      <c r="BB62" s="456"/>
      <c r="BC62" s="456"/>
      <c r="BE62" s="118"/>
      <c r="BF62" s="118" t="str">
        <f aca="false">IF(T62="","",T62)</f>
        <v>Добавить территорию для дифференциации</v>
      </c>
      <c r="BG62" s="118"/>
      <c r="BH62" s="118"/>
      <c r="BI62" s="47" t="n">
        <v>0</v>
      </c>
    </row>
    <row r="63" s="47" customFormat="true" ht="12.8" hidden="false" customHeight="false" outlineLevel="0" collapsed="false">
      <c r="A63" s="122"/>
      <c r="B63" s="122"/>
      <c r="C63" s="122"/>
      <c r="D63" s="122"/>
      <c r="E63" s="122"/>
      <c r="F63" s="122"/>
      <c r="G63" s="122"/>
      <c r="H63" s="122"/>
      <c r="I63" s="122"/>
      <c r="J63" s="122"/>
      <c r="K63" s="122"/>
      <c r="L63" s="192"/>
      <c r="M63" s="453"/>
      <c r="N63" s="453"/>
      <c r="P63" s="156"/>
      <c r="Q63" s="449"/>
      <c r="R63" s="156"/>
      <c r="S63" s="454"/>
      <c r="T63" s="457" t="s">
        <v>461</v>
      </c>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56"/>
      <c r="AX63" s="456"/>
      <c r="AY63" s="456"/>
      <c r="AZ63" s="456"/>
      <c r="BA63" s="456"/>
      <c r="BB63" s="456"/>
      <c r="BC63" s="456"/>
      <c r="BE63" s="118"/>
      <c r="BF63" s="118" t="str">
        <f aca="false">IF(T63="","",T63)</f>
        <v>Добавить наименование тарифа</v>
      </c>
      <c r="BG63" s="118"/>
      <c r="BH63" s="118"/>
      <c r="BI63" s="47"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9.5" hidden="false" customHeight="true" outlineLevel="0" collapsed="false">
      <c r="O65" s="45"/>
      <c r="S65" s="409"/>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488"/>
      <c r="AY65" s="488"/>
      <c r="AZ65" s="488"/>
      <c r="BA65" s="488"/>
      <c r="BB65" s="488"/>
      <c r="BC65" s="488"/>
      <c r="BI65" s="42" t="n">
        <v>19</v>
      </c>
    </row>
    <row r="66" customFormat="false" ht="14.25" hidden="false" customHeight="true" outlineLevel="0" collapsed="false">
      <c r="O66" s="45"/>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c r="AW66" s="488"/>
      <c r="AX66" s="488"/>
      <c r="AY66" s="488"/>
      <c r="AZ66" s="488"/>
      <c r="BA66" s="488"/>
      <c r="BB66" s="488"/>
      <c r="BC66" s="488"/>
      <c r="BI66" s="42" t="n">
        <v>14</v>
      </c>
    </row>
    <row r="67" customFormat="false" ht="19.5" hidden="false" customHeight="true" outlineLevel="0" collapsed="false">
      <c r="O67" s="45"/>
      <c r="S67" s="409"/>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c r="AX67" s="488"/>
      <c r="AY67" s="488"/>
      <c r="AZ67" s="488"/>
      <c r="BA67" s="488"/>
      <c r="BB67" s="488"/>
      <c r="BC67" s="488"/>
      <c r="BI67" s="42" t="n">
        <v>19</v>
      </c>
    </row>
    <row r="68" customFormat="false" ht="14.25" hidden="false" customHeight="true" outlineLevel="0" collapsed="false">
      <c r="O68" s="45"/>
      <c r="BI68" s="42" t="n">
        <v>14</v>
      </c>
    </row>
    <row r="69" customFormat="false" ht="14.25" hidden="true" customHeight="true" outlineLevel="0" collapsed="false">
      <c r="A69" s="45" t="s">
        <v>81</v>
      </c>
      <c r="B69" s="45" t="n">
        <v>0</v>
      </c>
      <c r="C69" s="45" t="n">
        <v>0</v>
      </c>
      <c r="D69" s="45" t="n">
        <v>0</v>
      </c>
      <c r="E69" s="45" t="n">
        <v>0</v>
      </c>
      <c r="F69" s="45" t="n">
        <v>0</v>
      </c>
      <c r="G69" s="45" t="n">
        <v>0</v>
      </c>
      <c r="H69" s="45" t="n">
        <v>0</v>
      </c>
      <c r="I69" s="45" t="n">
        <v>0</v>
      </c>
      <c r="J69" s="45" t="n">
        <v>0</v>
      </c>
      <c r="K69" s="45" t="n">
        <v>0</v>
      </c>
      <c r="L69" s="44" t="n">
        <v>0</v>
      </c>
      <c r="M69" s="51" t="n">
        <v>0</v>
      </c>
      <c r="N69" s="51" t="n">
        <v>0</v>
      </c>
      <c r="O69" s="51" t="n">
        <v>0</v>
      </c>
      <c r="P69" s="51" t="n">
        <v>0</v>
      </c>
      <c r="Q69" s="463" t="n">
        <v>0</v>
      </c>
      <c r="R69" s="411" t="n">
        <v>3</v>
      </c>
      <c r="S69" s="75"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7" t="n">
        <v>10</v>
      </c>
      <c r="BE69" s="47" t="n">
        <v>10</v>
      </c>
      <c r="BF69" s="47" t="n">
        <v>10</v>
      </c>
      <c r="BG69" s="47" t="n">
        <v>10</v>
      </c>
      <c r="BH69" s="47"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4.14"/>
    <col collapsed="false" customWidth="true" hidden="true" outlineLevel="0" max="10" min="10" style="45" width="9.85"/>
    <col collapsed="false" customWidth="true" hidden="true" outlineLevel="0" max="11" min="11" style="45" width="14.71"/>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
    <col collapsed="false" customWidth="true" hidden="false" outlineLevel="0" max="18" min="17" style="411" width="3"/>
    <col collapsed="false" customWidth="true" hidden="false" outlineLevel="0" max="19" min="19" style="75" width="12"/>
    <col collapsed="false" customWidth="true" hidden="false" outlineLevel="0" max="20" min="20" style="42" width="35"/>
    <col collapsed="false" customWidth="true" hidden="false" outlineLevel="0" max="21" min="21" style="42" width="0.14"/>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7"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2"/>
      <c r="B2" s="412"/>
      <c r="C2" s="412"/>
      <c r="D2" s="412"/>
      <c r="E2" s="413" t="n">
        <v>1</v>
      </c>
      <c r="F2" s="412"/>
      <c r="G2" s="412"/>
      <c r="H2" s="412"/>
      <c r="I2" s="412"/>
      <c r="J2" s="412"/>
      <c r="K2" s="412"/>
      <c r="L2" s="414"/>
      <c r="M2" s="40"/>
      <c r="N2" s="40"/>
      <c r="O2" s="40"/>
      <c r="Q2" s="132"/>
      <c r="R2" s="415"/>
      <c r="S2" s="416" t="e">
        <f aca="false">INDEX(PT_DIFFERENTIATION_NUM_NTAR,MATCH(A2,PT_DIFFERENTIATION_NTAR_ID,0))</f>
        <v>#N/A</v>
      </c>
      <c r="T2" s="417" t="s">
        <v>138</v>
      </c>
      <c r="U2" s="418"/>
      <c r="V2" s="419"/>
      <c r="W2" s="419"/>
      <c r="X2" s="419"/>
      <c r="Y2" s="419"/>
      <c r="Z2" s="419"/>
      <c r="AA2" s="419"/>
      <c r="AB2" s="419"/>
      <c r="AC2" s="419" t="e">
        <f aca="false">INDEX(PT_DIFFERENTIATION_NTAR,MATCH(A2,PT_DIFFERENTIATION_NTAR_ID,0))</f>
        <v>#N/A</v>
      </c>
      <c r="AD2" s="419"/>
      <c r="AE2" s="419"/>
      <c r="AF2" s="419"/>
      <c r="AG2" s="419"/>
      <c r="AH2" s="419"/>
      <c r="AI2" s="419"/>
      <c r="AJ2" s="419"/>
      <c r="AK2" s="42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8"/>
      <c r="AN2" s="118" t="str">
        <f aca="false">IF(T2="","",T2)</f>
        <v>Наименование тарифа</v>
      </c>
      <c r="AO2" s="118"/>
      <c r="AP2" s="118"/>
      <c r="AQ2" s="42" t="n">
        <v>0</v>
      </c>
    </row>
    <row r="3" customFormat="false" ht="23.25" hidden="true" customHeight="true" outlineLevel="0" collapsed="false">
      <c r="A3" s="412"/>
      <c r="B3" s="412"/>
      <c r="C3" s="412"/>
      <c r="D3" s="412"/>
      <c r="E3" s="413"/>
      <c r="F3" s="413" t="n">
        <v>1</v>
      </c>
      <c r="G3" s="412"/>
      <c r="H3" s="412"/>
      <c r="I3" s="412"/>
      <c r="J3" s="412"/>
      <c r="K3" s="412"/>
      <c r="L3" s="414"/>
      <c r="M3" s="40"/>
      <c r="N3" s="40"/>
      <c r="O3" s="40"/>
      <c r="P3" s="43"/>
      <c r="Q3" s="422"/>
      <c r="R3" s="423"/>
      <c r="S3" s="416" t="e">
        <f aca="false">INDEX(PT_DIFFERENTIATION_NUM_TER,MATCH(B3,PT_DIFFERENTIATION_TER_ID,0))</f>
        <v>#N/A</v>
      </c>
      <c r="T3" s="424" t="s">
        <v>410</v>
      </c>
      <c r="U3" s="418"/>
      <c r="V3" s="419"/>
      <c r="W3" s="419"/>
      <c r="X3" s="419"/>
      <c r="Y3" s="419"/>
      <c r="Z3" s="419"/>
      <c r="AA3" s="419"/>
      <c r="AB3" s="419"/>
      <c r="AC3" s="419" t="e">
        <f aca="false">INDEX(PT_DIFFERENTIATION_TER,MATCH(B3,PT_DIFFERENTIATION_TER_ID,0))</f>
        <v>#N/A</v>
      </c>
      <c r="AD3" s="419"/>
      <c r="AE3" s="419"/>
      <c r="AF3" s="419"/>
      <c r="AG3" s="419"/>
      <c r="AH3" s="419"/>
      <c r="AI3" s="419"/>
      <c r="AJ3" s="419"/>
      <c r="AK3" s="421" t="s">
        <v>411</v>
      </c>
      <c r="AM3" s="118"/>
      <c r="AN3" s="118" t="str">
        <f aca="false">IF(T3="","",T3)</f>
        <v>Территория действия тарифа</v>
      </c>
      <c r="AO3" s="118"/>
      <c r="AP3" s="118"/>
      <c r="AQ3" s="42" t="n">
        <v>0</v>
      </c>
    </row>
    <row r="4" customFormat="false" ht="23.25" hidden="true" customHeight="true" outlineLevel="0" collapsed="false">
      <c r="A4" s="412"/>
      <c r="B4" s="412"/>
      <c r="C4" s="412"/>
      <c r="D4" s="412"/>
      <c r="E4" s="413"/>
      <c r="F4" s="413"/>
      <c r="G4" s="413" t="n">
        <v>1</v>
      </c>
      <c r="H4" s="412"/>
      <c r="I4" s="412"/>
      <c r="J4" s="412"/>
      <c r="K4" s="412"/>
      <c r="L4" s="414"/>
      <c r="M4" s="40"/>
      <c r="N4" s="40"/>
      <c r="O4" s="40"/>
      <c r="P4" s="425"/>
      <c r="Q4" s="422"/>
      <c r="R4" s="423"/>
      <c r="S4" s="416" t="e">
        <f aca="false">INDEX(PT_DIFFERENTIATION_NUM_CS,MATCH(C4,PT_DIFFERENTIATION_CS_ID,0))</f>
        <v>#N/A</v>
      </c>
      <c r="T4" s="426" t="s">
        <v>529</v>
      </c>
      <c r="U4" s="418"/>
      <c r="V4" s="419"/>
      <c r="W4" s="419"/>
      <c r="X4" s="419"/>
      <c r="Y4" s="419"/>
      <c r="Z4" s="419"/>
      <c r="AA4" s="419"/>
      <c r="AB4" s="419"/>
      <c r="AC4" s="419" t="e">
        <f aca="false">INDEX(PT_DIFFERENTIATION_CS,MATCH(C4,PT_DIFFERENTIATION_CS_ID,0))</f>
        <v>#N/A</v>
      </c>
      <c r="AD4" s="419"/>
      <c r="AE4" s="419"/>
      <c r="AF4" s="419"/>
      <c r="AG4" s="419"/>
      <c r="AH4" s="419"/>
      <c r="AI4" s="419"/>
      <c r="AJ4" s="419"/>
      <c r="AK4" s="421" t="s">
        <v>530</v>
      </c>
      <c r="AM4" s="118"/>
      <c r="AN4" s="118" t="str">
        <f aca="false">IF(T4="","",T4)</f>
        <v>Наименование централизованной системы водоотведения</v>
      </c>
      <c r="AO4" s="118"/>
      <c r="AP4" s="118"/>
      <c r="AQ4" s="42" t="n">
        <v>0</v>
      </c>
    </row>
    <row r="5" customFormat="false" ht="23.25" hidden="true" customHeight="true" outlineLevel="0" collapsed="false">
      <c r="A5" s="412"/>
      <c r="B5" s="412"/>
      <c r="C5" s="412"/>
      <c r="D5" s="412"/>
      <c r="E5" s="413"/>
      <c r="F5" s="413"/>
      <c r="G5" s="413"/>
      <c r="H5" s="571"/>
      <c r="I5" s="428" t="e">
        <f aca="false">S4&amp;".1"</f>
        <v>#N/A</v>
      </c>
      <c r="J5" s="412"/>
      <c r="K5" s="412"/>
      <c r="L5" s="414"/>
      <c r="P5" s="121" t="n">
        <v>1</v>
      </c>
      <c r="Q5" s="121"/>
      <c r="R5" s="429"/>
      <c r="S5" s="416" t="e">
        <f aca="false">$I5</f>
        <v>#N/A</v>
      </c>
      <c r="T5" s="430" t="s">
        <v>496</v>
      </c>
      <c r="U5" s="418"/>
      <c r="V5" s="572"/>
      <c r="W5" s="572"/>
      <c r="X5" s="572"/>
      <c r="Y5" s="572"/>
      <c r="Z5" s="572"/>
      <c r="AA5" s="572"/>
      <c r="AB5" s="572"/>
      <c r="AC5" s="334"/>
      <c r="AD5" s="334"/>
      <c r="AE5" s="334"/>
      <c r="AF5" s="334"/>
      <c r="AG5" s="334"/>
      <c r="AH5" s="334"/>
      <c r="AI5" s="334"/>
      <c r="AJ5" s="334"/>
      <c r="AK5" s="421" t="s">
        <v>497</v>
      </c>
      <c r="AM5" s="118"/>
      <c r="AN5" s="118" t="str">
        <f aca="false">IF(T5="","",T5)</f>
        <v>Наименование признака дифференциации</v>
      </c>
      <c r="AO5" s="118"/>
      <c r="AP5" s="118"/>
      <c r="AQ5" s="42" t="n">
        <v>0</v>
      </c>
    </row>
    <row r="6" customFormat="false" ht="23.25" hidden="true" customHeight="true" outlineLevel="0" collapsed="false">
      <c r="A6" s="412"/>
      <c r="B6" s="412"/>
      <c r="C6" s="412"/>
      <c r="D6" s="412"/>
      <c r="E6" s="413"/>
      <c r="F6" s="413"/>
      <c r="G6" s="413"/>
      <c r="H6" s="413"/>
      <c r="I6" s="428"/>
      <c r="J6" s="428" t="e">
        <f aca="false">I5&amp;".1"</f>
        <v>#N/A</v>
      </c>
      <c r="K6" s="412"/>
      <c r="L6" s="414" t="s">
        <v>419</v>
      </c>
      <c r="P6" s="121"/>
      <c r="Q6" s="121" t="n">
        <v>1</v>
      </c>
      <c r="R6" s="432"/>
      <c r="S6" s="416" t="e">
        <f aca="false">$J6</f>
        <v>#N/A</v>
      </c>
      <c r="T6" s="433" t="s">
        <v>420</v>
      </c>
      <c r="U6" s="418"/>
      <c r="V6" s="431"/>
      <c r="W6" s="431"/>
      <c r="X6" s="431"/>
      <c r="Y6" s="431"/>
      <c r="Z6" s="431"/>
      <c r="AA6" s="431"/>
      <c r="AB6" s="431"/>
      <c r="AC6" s="431"/>
      <c r="AD6" s="431"/>
      <c r="AE6" s="431"/>
      <c r="AF6" s="431"/>
      <c r="AG6" s="431"/>
      <c r="AH6" s="431"/>
      <c r="AI6" s="431"/>
      <c r="AJ6" s="431"/>
      <c r="AK6" s="523" t="s">
        <v>498</v>
      </c>
      <c r="AM6" s="118"/>
      <c r="AN6" s="118" t="str">
        <f aca="false">IF(T6="","",T6)</f>
        <v>Группа потребителей</v>
      </c>
      <c r="AO6" s="118"/>
      <c r="AP6" s="118"/>
      <c r="AQ6" s="42" t="n">
        <v>0</v>
      </c>
    </row>
    <row r="7" customFormat="false" ht="23.25" hidden="true" customHeight="true" outlineLevel="0" collapsed="false">
      <c r="A7" s="412"/>
      <c r="B7" s="412"/>
      <c r="C7" s="412"/>
      <c r="D7" s="412"/>
      <c r="E7" s="413"/>
      <c r="F7" s="413"/>
      <c r="G7" s="413"/>
      <c r="H7" s="413"/>
      <c r="I7" s="428"/>
      <c r="J7" s="428"/>
      <c r="K7" s="428" t="e">
        <f aca="false">J6&amp;".1"</f>
        <v>#N/A</v>
      </c>
      <c r="L7" s="414"/>
      <c r="P7" s="121"/>
      <c r="Q7" s="121"/>
      <c r="R7" s="432" t="n">
        <v>1</v>
      </c>
      <c r="S7" s="416" t="e">
        <f aca="false">$K7</f>
        <v>#N/A</v>
      </c>
      <c r="T7" s="573"/>
      <c r="U7" s="418"/>
      <c r="V7" s="435"/>
      <c r="W7" s="435"/>
      <c r="X7" s="437"/>
      <c r="Y7" s="438"/>
      <c r="Z7" s="204" t="s">
        <v>61</v>
      </c>
      <c r="AA7" s="438"/>
      <c r="AB7" s="204" t="s">
        <v>61</v>
      </c>
      <c r="AC7" s="435"/>
      <c r="AD7" s="435"/>
      <c r="AE7" s="437"/>
      <c r="AF7" s="438"/>
      <c r="AG7" s="204" t="s">
        <v>61</v>
      </c>
      <c r="AH7" s="438"/>
      <c r="AI7" s="204" t="s">
        <v>61</v>
      </c>
      <c r="AJ7" s="574"/>
      <c r="AK7" s="57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7" t="e">
        <f aca="false">strcheckdate(V8:AJ8)</f>
        <v>#NAME?</v>
      </c>
      <c r="AM7" s="118"/>
      <c r="AN7" s="118" t="str">
        <f aca="false">IF(T7="","",T7)</f>
        <v/>
      </c>
      <c r="AO7" s="118"/>
      <c r="AP7" s="118"/>
      <c r="AQ7" s="42" t="n">
        <v>0</v>
      </c>
    </row>
    <row r="8" customFormat="false" ht="14.25" hidden="true" customHeight="true" outlineLevel="0" collapsed="false">
      <c r="A8" s="412"/>
      <c r="B8" s="412"/>
      <c r="C8" s="412"/>
      <c r="D8" s="412"/>
      <c r="E8" s="413"/>
      <c r="F8" s="413"/>
      <c r="G8" s="413"/>
      <c r="H8" s="413"/>
      <c r="I8" s="428"/>
      <c r="J8" s="428"/>
      <c r="K8" s="428"/>
      <c r="L8" s="414"/>
      <c r="P8" s="121"/>
      <c r="Q8" s="121"/>
      <c r="R8" s="432"/>
      <c r="S8" s="393"/>
      <c r="T8" s="418"/>
      <c r="U8" s="418"/>
      <c r="V8" s="436"/>
      <c r="W8" s="436"/>
      <c r="X8" s="440" t="str">
        <f aca="false">Y7&amp;"-"&amp;AA7</f>
        <v>-</v>
      </c>
      <c r="Y8" s="438"/>
      <c r="Z8" s="204"/>
      <c r="AA8" s="438"/>
      <c r="AB8" s="204"/>
      <c r="AC8" s="436"/>
      <c r="AD8" s="436"/>
      <c r="AE8" s="440" t="str">
        <f aca="false">AF7&amp;"-"&amp;AH7</f>
        <v>-</v>
      </c>
      <c r="AF8" s="438"/>
      <c r="AG8" s="204"/>
      <c r="AH8" s="438"/>
      <c r="AI8" s="204"/>
      <c r="AJ8" s="576"/>
      <c r="AK8" s="575"/>
      <c r="AM8" s="118"/>
      <c r="AN8" s="118" t="str">
        <f aca="false">IF(T8="","",T8)</f>
        <v/>
      </c>
      <c r="AO8" s="118"/>
      <c r="AP8" s="118"/>
      <c r="AQ8" s="42" t="n">
        <v>0</v>
      </c>
    </row>
    <row r="9" customFormat="false" ht="21" hidden="true" customHeight="true" outlineLevel="0" collapsed="false">
      <c r="A9" s="412"/>
      <c r="B9" s="412"/>
      <c r="C9" s="412"/>
      <c r="D9" s="412"/>
      <c r="E9" s="413"/>
      <c r="F9" s="413"/>
      <c r="G9" s="413"/>
      <c r="H9" s="413"/>
      <c r="I9" s="428"/>
      <c r="J9" s="428"/>
      <c r="K9" s="412"/>
      <c r="L9" s="414"/>
      <c r="P9" s="121"/>
      <c r="Q9" s="121"/>
      <c r="R9" s="429"/>
      <c r="S9" s="441"/>
      <c r="T9" s="444" t="s">
        <v>499</v>
      </c>
      <c r="U9" s="194"/>
      <c r="V9" s="194"/>
      <c r="W9" s="194"/>
      <c r="X9" s="194"/>
      <c r="Y9" s="194"/>
      <c r="Z9" s="194"/>
      <c r="AA9" s="194"/>
      <c r="AB9" s="194"/>
      <c r="AC9" s="194"/>
      <c r="AD9" s="194"/>
      <c r="AE9" s="194"/>
      <c r="AF9" s="194"/>
      <c r="AG9" s="194"/>
      <c r="AH9" s="194"/>
      <c r="AI9" s="194"/>
      <c r="AJ9" s="194"/>
      <c r="AK9" s="421" t="s">
        <v>500</v>
      </c>
      <c r="AM9" s="118"/>
      <c r="AN9" s="118" t="str">
        <f aca="false">IF(T9="","",T9)</f>
        <v>Добавить значение признака дифференциации</v>
      </c>
      <c r="AO9" s="118"/>
      <c r="AP9" s="118"/>
      <c r="AQ9" s="42" t="n">
        <v>0</v>
      </c>
    </row>
    <row r="10" customFormat="false" ht="21" hidden="true" customHeight="true" outlineLevel="0" collapsed="false">
      <c r="A10" s="412"/>
      <c r="B10" s="412"/>
      <c r="C10" s="412"/>
      <c r="D10" s="412"/>
      <c r="E10" s="413"/>
      <c r="F10" s="413"/>
      <c r="G10" s="413"/>
      <c r="H10" s="413"/>
      <c r="I10" s="428"/>
      <c r="J10" s="412"/>
      <c r="K10" s="412"/>
      <c r="L10" s="414"/>
      <c r="P10" s="121"/>
      <c r="Q10" s="121"/>
      <c r="R10" s="429"/>
      <c r="S10" s="441"/>
      <c r="T10" s="448" t="s">
        <v>425</v>
      </c>
      <c r="U10" s="194"/>
      <c r="V10" s="194"/>
      <c r="W10" s="194"/>
      <c r="X10" s="194"/>
      <c r="Y10" s="194"/>
      <c r="Z10" s="194"/>
      <c r="AA10" s="194"/>
      <c r="AB10" s="445"/>
      <c r="AC10" s="194"/>
      <c r="AD10" s="194"/>
      <c r="AE10" s="194"/>
      <c r="AF10" s="194"/>
      <c r="AG10" s="194"/>
      <c r="AH10" s="194"/>
      <c r="AI10" s="445"/>
      <c r="AJ10" s="194"/>
      <c r="AK10" s="577"/>
      <c r="AM10" s="118"/>
      <c r="AN10" s="118" t="str">
        <f aca="false">IF(T10="","",T10)</f>
        <v>Добавить группу потребителей</v>
      </c>
      <c r="AO10" s="118"/>
      <c r="AP10" s="118"/>
      <c r="AQ10" s="42" t="n">
        <v>0</v>
      </c>
    </row>
    <row r="11" customFormat="false" ht="21" hidden="true" customHeight="true" outlineLevel="0" collapsed="false">
      <c r="A11" s="412"/>
      <c r="B11" s="412"/>
      <c r="C11" s="412"/>
      <c r="D11" s="412"/>
      <c r="E11" s="413"/>
      <c r="F11" s="413"/>
      <c r="G11" s="413"/>
      <c r="H11" s="571"/>
      <c r="I11" s="412"/>
      <c r="J11" s="412"/>
      <c r="K11" s="412"/>
      <c r="L11" s="414"/>
      <c r="M11" s="40"/>
      <c r="N11" s="40"/>
      <c r="O11" s="45"/>
      <c r="P11" s="132"/>
      <c r="Q11" s="447"/>
      <c r="R11" s="415"/>
      <c r="S11" s="441"/>
      <c r="T11" s="578" t="s">
        <v>501</v>
      </c>
      <c r="U11" s="194"/>
      <c r="V11" s="194"/>
      <c r="W11" s="194"/>
      <c r="X11" s="194"/>
      <c r="Y11" s="194"/>
      <c r="Z11" s="194"/>
      <c r="AA11" s="194"/>
      <c r="AB11" s="445"/>
      <c r="AC11" s="194"/>
      <c r="AD11" s="194"/>
      <c r="AE11" s="194"/>
      <c r="AF11" s="194"/>
      <c r="AG11" s="194"/>
      <c r="AH11" s="194"/>
      <c r="AI11" s="445"/>
      <c r="AJ11" s="194"/>
      <c r="AK11" s="446"/>
      <c r="AM11" s="118"/>
      <c r="AN11" s="118" t="str">
        <f aca="false">IF(T11="","",T11)</f>
        <v>Добавить наименование признака дифференциации</v>
      </c>
      <c r="AO11" s="118"/>
      <c r="AP11" s="118"/>
      <c r="AQ11" s="42" t="n">
        <v>0</v>
      </c>
    </row>
    <row r="12" s="47" customFormat="true" ht="14.25" hidden="true" customHeight="true" outlineLevel="0" collapsed="false">
      <c r="A12" s="122"/>
      <c r="B12" s="122"/>
      <c r="C12" s="122"/>
      <c r="D12" s="122"/>
      <c r="E12" s="413"/>
      <c r="F12" s="413"/>
      <c r="G12" s="122"/>
      <c r="H12" s="122"/>
      <c r="I12" s="122"/>
      <c r="J12" s="122"/>
      <c r="K12" s="122"/>
      <c r="L12" s="192"/>
      <c r="M12" s="453"/>
      <c r="N12" s="453"/>
      <c r="P12" s="156"/>
      <c r="Q12" s="449"/>
      <c r="R12" s="156"/>
      <c r="S12" s="454"/>
      <c r="T12" s="457" t="s">
        <v>428</v>
      </c>
      <c r="U12" s="456"/>
      <c r="V12" s="456"/>
      <c r="W12" s="456"/>
      <c r="X12" s="456"/>
      <c r="Y12" s="456"/>
      <c r="Z12" s="456"/>
      <c r="AA12" s="456"/>
      <c r="AB12" s="456"/>
      <c r="AC12" s="456"/>
      <c r="AD12" s="456"/>
      <c r="AE12" s="456"/>
      <c r="AF12" s="456"/>
      <c r="AG12" s="456"/>
      <c r="AH12" s="456"/>
      <c r="AI12" s="456"/>
      <c r="AJ12" s="456"/>
      <c r="AK12" s="456"/>
      <c r="AM12" s="118"/>
      <c r="AN12" s="118" t="str">
        <f aca="false">IF(T12="","",T12)</f>
        <v>Добавить централизованную систему для дифференциации</v>
      </c>
      <c r="AO12" s="118"/>
      <c r="AP12" s="118"/>
      <c r="AQ12" s="47" t="n">
        <v>0</v>
      </c>
    </row>
    <row r="13" s="47" customFormat="true" ht="14.25" hidden="true" customHeight="true" outlineLevel="0" collapsed="false">
      <c r="A13" s="122"/>
      <c r="B13" s="122"/>
      <c r="C13" s="122"/>
      <c r="D13" s="122"/>
      <c r="E13" s="413"/>
      <c r="F13" s="122"/>
      <c r="G13" s="122"/>
      <c r="H13" s="122"/>
      <c r="I13" s="122"/>
      <c r="J13" s="122"/>
      <c r="K13" s="122"/>
      <c r="L13" s="192"/>
      <c r="M13" s="453"/>
      <c r="N13" s="453"/>
      <c r="P13" s="156"/>
      <c r="Q13" s="449"/>
      <c r="R13" s="156"/>
      <c r="S13" s="454"/>
      <c r="T13" s="457" t="s">
        <v>429</v>
      </c>
      <c r="U13" s="456"/>
      <c r="V13" s="456"/>
      <c r="W13" s="456"/>
      <c r="X13" s="456"/>
      <c r="Y13" s="456"/>
      <c r="Z13" s="456"/>
      <c r="AA13" s="456"/>
      <c r="AB13" s="456"/>
      <c r="AC13" s="456"/>
      <c r="AD13" s="456"/>
      <c r="AE13" s="456"/>
      <c r="AF13" s="456"/>
      <c r="AG13" s="456"/>
      <c r="AH13" s="456"/>
      <c r="AI13" s="456"/>
      <c r="AJ13" s="456"/>
      <c r="AK13" s="456"/>
      <c r="AM13" s="118"/>
      <c r="AN13" s="118" t="str">
        <f aca="false">IF(T13="","",T13)</f>
        <v>Добавить территорию для дифференциации</v>
      </c>
      <c r="AO13" s="118"/>
      <c r="AP13" s="118"/>
      <c r="AQ13" s="47" t="n">
        <v>0</v>
      </c>
    </row>
    <row r="14" customFormat="false" ht="14.25" hidden="true" customHeight="true" outlineLevel="0" collapsed="false">
      <c r="AQ14" s="42" t="n">
        <v>0</v>
      </c>
    </row>
    <row r="15" customFormat="false" ht="14.25" hidden="true" customHeight="true" outlineLevel="0" collapsed="false">
      <c r="AC15" s="458"/>
      <c r="AD15" s="458"/>
      <c r="AE15" s="459"/>
      <c r="AF15" s="460"/>
      <c r="AG15" s="461" t="s">
        <v>61</v>
      </c>
      <c r="AH15" s="460"/>
      <c r="AI15" s="461" t="s">
        <v>61</v>
      </c>
      <c r="AQ15" s="42" t="n">
        <v>0</v>
      </c>
    </row>
    <row r="16" customFormat="false" ht="14.25" hidden="true" customHeight="true" outlineLevel="0" collapsed="false">
      <c r="AC16" s="458"/>
      <c r="AD16" s="458"/>
      <c r="AE16" s="440" t="str">
        <f aca="false">AF15&amp;"-"&amp;AH15</f>
        <v>-</v>
      </c>
      <c r="AF16" s="460"/>
      <c r="AG16" s="460"/>
      <c r="AH16" s="460"/>
      <c r="AI16" s="460"/>
      <c r="AQ16" s="42" t="n">
        <v>0</v>
      </c>
    </row>
    <row r="17" customFormat="false" ht="14.25" hidden="true" customHeight="true" outlineLevel="0" collapsed="false">
      <c r="AQ17" s="42" t="n">
        <v>0</v>
      </c>
    </row>
    <row r="18" s="45" customFormat="true" ht="22.5" hidden="true" customHeight="true" outlineLevel="0" collapsed="false">
      <c r="L18" s="44"/>
      <c r="M18" s="51"/>
      <c r="N18" s="51"/>
      <c r="O18" s="462" t="s">
        <v>430</v>
      </c>
      <c r="P18" s="51"/>
      <c r="Q18" s="463"/>
      <c r="R18" s="463"/>
      <c r="S18" s="40"/>
      <c r="Y18" s="462"/>
      <c r="AA18" s="462"/>
      <c r="AF18" s="462"/>
      <c r="AH18" s="462"/>
      <c r="AL18" s="47"/>
      <c r="AM18" s="47"/>
      <c r="AN18" s="47"/>
      <c r="AO18" s="47"/>
      <c r="AP18" s="47"/>
      <c r="AQ18" s="45" t="n">
        <v>0</v>
      </c>
    </row>
    <row r="19" s="45" customFormat="true" ht="14.25" hidden="true" customHeight="true" outlineLevel="0" collapsed="false">
      <c r="L19" s="44"/>
      <c r="M19" s="51"/>
      <c r="N19" s="51"/>
      <c r="O19" s="51"/>
      <c r="P19" s="51"/>
      <c r="Q19" s="463"/>
      <c r="R19" s="463"/>
      <c r="S19" s="40"/>
      <c r="AL19" s="47"/>
      <c r="AM19" s="47"/>
      <c r="AN19" s="47"/>
      <c r="AO19" s="47"/>
      <c r="AP19" s="47"/>
      <c r="AQ19" s="45" t="n">
        <v>0</v>
      </c>
    </row>
    <row r="20" s="45" customFormat="true" ht="12" hidden="true" customHeight="true" outlineLevel="0" collapsed="false">
      <c r="L20" s="44"/>
      <c r="M20" s="51"/>
      <c r="N20" s="51"/>
      <c r="O20" s="414" t="s">
        <v>431</v>
      </c>
      <c r="P20" s="51"/>
      <c r="Q20" s="579"/>
      <c r="R20" s="579"/>
      <c r="S20" s="40"/>
      <c r="T20" s="45" t="s">
        <v>432</v>
      </c>
      <c r="Z20" s="140" t="s">
        <v>433</v>
      </c>
      <c r="AB20" s="140" t="s">
        <v>434</v>
      </c>
      <c r="AC20" s="45" t="s">
        <v>432</v>
      </c>
      <c r="AG20" s="140" t="s">
        <v>435</v>
      </c>
      <c r="AI20" s="140" t="s">
        <v>434</v>
      </c>
      <c r="AQ20" s="45" t="n">
        <v>0</v>
      </c>
    </row>
    <row r="21" customFormat="false" ht="14.25" hidden="true" customHeight="true" outlineLevel="0" collapsed="false">
      <c r="O21" s="414"/>
      <c r="AQ21" s="42" t="n">
        <v>0</v>
      </c>
    </row>
    <row r="22" customFormat="false" ht="14.25" hidden="true" customHeight="true" outlineLevel="0" collapsed="false">
      <c r="O22" s="414"/>
      <c r="AQ22" s="42" t="n">
        <v>0</v>
      </c>
    </row>
    <row r="23" customFormat="false" ht="14.25" hidden="false" customHeight="true" outlineLevel="0" collapsed="false">
      <c r="Q23" s="464"/>
      <c r="R23" s="464"/>
      <c r="S23" s="465"/>
      <c r="T23" s="80"/>
      <c r="U23" s="80"/>
      <c r="AQ23" s="42" t="n">
        <v>14</v>
      </c>
    </row>
    <row r="24" customFormat="false" ht="14.25" hidden="false" customHeight="true" outlineLevel="0" collapsed="false">
      <c r="Q24" s="464"/>
      <c r="R24" s="464"/>
      <c r="S24" s="220"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64"/>
      <c r="R25" s="464"/>
      <c r="S25" s="261" t="str">
        <f aca="false">IF(org=0,"Не определено",org)</f>
        <v>ООО "Газпром теплоэнерго Ярославль"</v>
      </c>
      <c r="T25" s="261"/>
      <c r="U25" s="261"/>
      <c r="V25" s="261"/>
      <c r="W25" s="261"/>
      <c r="X25" s="261"/>
      <c r="Y25" s="261"/>
      <c r="Z25" s="261"/>
      <c r="AA25" s="261"/>
      <c r="AB25" s="261"/>
      <c r="AC25" s="261"/>
      <c r="AD25" s="261"/>
      <c r="AE25" s="261"/>
      <c r="AF25" s="261"/>
      <c r="AG25" s="261"/>
      <c r="AH25" s="261"/>
      <c r="AI25" s="222"/>
      <c r="AQ25" s="42" t="n">
        <v>14</v>
      </c>
    </row>
    <row r="26" customFormat="false" ht="14.25" hidden="true" customHeight="true" outlineLevel="0" collapsed="false">
      <c r="Q26" s="464"/>
      <c r="R26" s="464"/>
      <c r="S26" s="465"/>
      <c r="T26" s="80"/>
      <c r="U26" s="80"/>
      <c r="V26" s="466"/>
      <c r="W26" s="466"/>
      <c r="X26" s="466"/>
      <c r="Y26" s="466"/>
      <c r="Z26" s="466"/>
      <c r="AA26" s="466"/>
      <c r="AB26" s="466"/>
      <c r="AC26" s="466"/>
      <c r="AD26" s="466"/>
      <c r="AE26" s="466"/>
      <c r="AF26" s="466"/>
      <c r="AG26" s="466"/>
      <c r="AH26" s="466"/>
      <c r="AI26" s="466"/>
      <c r="AQ26" s="42" t="n">
        <v>0</v>
      </c>
    </row>
    <row r="27" s="175" customFormat="true" ht="25.5" hidden="true" customHeight="true" outlineLevel="0" collapsed="false">
      <c r="A27" s="140"/>
      <c r="B27" s="140"/>
      <c r="C27" s="140"/>
      <c r="D27" s="140"/>
      <c r="E27" s="140"/>
      <c r="F27" s="140"/>
      <c r="G27" s="140"/>
      <c r="H27" s="140"/>
      <c r="I27" s="140"/>
      <c r="J27" s="140"/>
      <c r="K27" s="140"/>
      <c r="L27" s="414"/>
      <c r="M27" s="140"/>
      <c r="N27" s="140"/>
      <c r="O27" s="140"/>
      <c r="S27" s="467" t="s">
        <v>40</v>
      </c>
      <c r="T27" s="467"/>
      <c r="U27" s="468"/>
      <c r="V27" s="469" t="str">
        <f aca="false">IF(TITLE_NAME_OR_PR_CHANGE="",IF(TITLE_NAME_OR_PR="","",TITLE_NAME_OR_PR),TITLE_NAME_OR_PR_CHANGE)</f>
        <v/>
      </c>
      <c r="W27" s="469"/>
      <c r="X27" s="469"/>
      <c r="Y27" s="469"/>
      <c r="Z27" s="469"/>
      <c r="AA27" s="469"/>
      <c r="AB27" s="42"/>
      <c r="AC27" s="469" t="str">
        <f aca="false">IF(TITLE_NAME_OR_PR_CHANGE="",IF(TITLE_NAME_OR_PR="","",TITLE_NAME_OR_PR),TITLE_NAME_OR_PR_CHANGE)</f>
        <v/>
      </c>
      <c r="AD27" s="469"/>
      <c r="AE27" s="469"/>
      <c r="AF27" s="469"/>
      <c r="AG27" s="469"/>
      <c r="AH27" s="469"/>
      <c r="AI27" s="42"/>
      <c r="AJ27" s="42"/>
      <c r="AK27" s="470"/>
      <c r="AL27" s="118"/>
      <c r="AM27" s="118"/>
      <c r="AN27" s="118"/>
      <c r="AO27" s="118"/>
      <c r="AP27" s="118"/>
      <c r="AQ27" s="175" t="n">
        <v>0</v>
      </c>
    </row>
    <row r="28" s="175" customFormat="true" ht="18.75" hidden="true" customHeight="true" outlineLevel="0" collapsed="false">
      <c r="A28" s="140"/>
      <c r="B28" s="140"/>
      <c r="C28" s="140"/>
      <c r="D28" s="140"/>
      <c r="E28" s="140"/>
      <c r="F28" s="140"/>
      <c r="G28" s="140"/>
      <c r="H28" s="140"/>
      <c r="I28" s="140"/>
      <c r="J28" s="140"/>
      <c r="K28" s="140"/>
      <c r="L28" s="414"/>
      <c r="M28" s="140"/>
      <c r="N28" s="140"/>
      <c r="O28" s="140"/>
      <c r="S28" s="467" t="s">
        <v>436</v>
      </c>
      <c r="T28" s="467"/>
      <c r="U28" s="468"/>
      <c r="V28" s="471" t="str">
        <f aca="false">IF(TITLE_DATE_PR_CHANGE="",IF(TITLE_DATE_PR="","",TITLE_DATE_PR),TITLE_DATE_PR_CHANGE)</f>
        <v/>
      </c>
      <c r="W28" s="471"/>
      <c r="X28" s="471"/>
      <c r="Y28" s="471"/>
      <c r="Z28" s="471"/>
      <c r="AA28" s="471"/>
      <c r="AB28" s="42"/>
      <c r="AC28" s="471" t="str">
        <f aca="false">IF(TITLE_DATE_PR_CHANGE="",IF(TITLE_DATE_PR="","",TITLE_DATE_PR),TITLE_DATE_PR_CHANGE)</f>
        <v/>
      </c>
      <c r="AD28" s="471"/>
      <c r="AE28" s="471"/>
      <c r="AF28" s="471"/>
      <c r="AG28" s="471"/>
      <c r="AH28" s="471"/>
      <c r="AI28" s="42"/>
      <c r="AJ28" s="42"/>
      <c r="AK28" s="470"/>
      <c r="AL28" s="118"/>
      <c r="AM28" s="118"/>
      <c r="AN28" s="118"/>
      <c r="AO28" s="118"/>
      <c r="AP28" s="118"/>
      <c r="AQ28" s="175" t="n">
        <v>0</v>
      </c>
    </row>
    <row r="29" s="175" customFormat="true" ht="18.75" hidden="true" customHeight="true" outlineLevel="0" collapsed="false">
      <c r="A29" s="140"/>
      <c r="B29" s="140"/>
      <c r="C29" s="140"/>
      <c r="D29" s="140"/>
      <c r="E29" s="140"/>
      <c r="F29" s="140"/>
      <c r="G29" s="140"/>
      <c r="H29" s="140"/>
      <c r="I29" s="140"/>
      <c r="J29" s="140"/>
      <c r="K29" s="140"/>
      <c r="L29" s="414"/>
      <c r="M29" s="140"/>
      <c r="N29" s="140"/>
      <c r="O29" s="140"/>
      <c r="S29" s="467" t="s">
        <v>437</v>
      </c>
      <c r="T29" s="467"/>
      <c r="U29" s="468"/>
      <c r="V29" s="469" t="str">
        <f aca="false">IF(TITLE_NUMBER_PR_CHANGE="",IF(TITLE_NUMBER_PR="","",TITLE_NUMBER_PR),TITLE_NUMBER_PR_CHANGE)</f>
        <v/>
      </c>
      <c r="W29" s="469"/>
      <c r="X29" s="469"/>
      <c r="Y29" s="469"/>
      <c r="Z29" s="469"/>
      <c r="AA29" s="469"/>
      <c r="AB29" s="42"/>
      <c r="AC29" s="469" t="str">
        <f aca="false">IF(TITLE_NUMBER_PR_CHANGE="",IF(TITLE_NUMBER_PR="","",TITLE_NUMBER_PR),TITLE_NUMBER_PR_CHANGE)</f>
        <v/>
      </c>
      <c r="AD29" s="469"/>
      <c r="AE29" s="469"/>
      <c r="AF29" s="469"/>
      <c r="AG29" s="469"/>
      <c r="AH29" s="469"/>
      <c r="AI29" s="42"/>
      <c r="AJ29" s="42"/>
      <c r="AK29" s="470"/>
      <c r="AL29" s="118"/>
      <c r="AM29" s="118"/>
      <c r="AN29" s="118"/>
      <c r="AO29" s="118"/>
      <c r="AP29" s="118"/>
      <c r="AQ29" s="175" t="n">
        <v>0</v>
      </c>
    </row>
    <row r="30" s="175" customFormat="true" ht="18.75" hidden="true" customHeight="true" outlineLevel="0" collapsed="false">
      <c r="A30" s="140"/>
      <c r="B30" s="140"/>
      <c r="C30" s="140"/>
      <c r="D30" s="140"/>
      <c r="E30" s="140"/>
      <c r="F30" s="140"/>
      <c r="G30" s="140"/>
      <c r="H30" s="140"/>
      <c r="I30" s="140"/>
      <c r="J30" s="140"/>
      <c r="K30" s="140"/>
      <c r="L30" s="414"/>
      <c r="M30" s="140"/>
      <c r="N30" s="140"/>
      <c r="O30" s="140"/>
      <c r="S30" s="467" t="s">
        <v>41</v>
      </c>
      <c r="T30" s="467"/>
      <c r="U30" s="468"/>
      <c r="V30" s="469" t="str">
        <f aca="false">IF(TITLE_IST_PUB_CHANGE="",IF(TITLE_IST_PUB="","",TITLE_IST_PUB),TITLE_IST_PUB_CHANGE)</f>
        <v/>
      </c>
      <c r="W30" s="469"/>
      <c r="X30" s="469"/>
      <c r="Y30" s="469"/>
      <c r="Z30" s="469"/>
      <c r="AA30" s="469"/>
      <c r="AB30" s="42"/>
      <c r="AC30" s="469" t="str">
        <f aca="false">IF(TITLE_IST_PUB_CHANGE="",IF(TITLE_IST_PUB="","",TITLE_IST_PUB),TITLE_IST_PUB_CHANGE)</f>
        <v/>
      </c>
      <c r="AD30" s="469"/>
      <c r="AE30" s="469"/>
      <c r="AF30" s="469"/>
      <c r="AG30" s="469"/>
      <c r="AH30" s="469"/>
      <c r="AI30" s="42"/>
      <c r="AJ30" s="42"/>
      <c r="AK30" s="470"/>
      <c r="AL30" s="118"/>
      <c r="AM30" s="118"/>
      <c r="AN30" s="118"/>
      <c r="AO30" s="118"/>
      <c r="AP30" s="118"/>
      <c r="AQ30" s="175" t="n">
        <v>0</v>
      </c>
    </row>
    <row r="31" customFormat="false" ht="14.25" hidden="true" customHeight="true" outlineLevel="0" collapsed="false">
      <c r="Q31" s="464"/>
      <c r="R31" s="464"/>
      <c r="S31" s="465"/>
      <c r="T31" s="80"/>
      <c r="U31" s="80"/>
      <c r="V31" s="466"/>
      <c r="W31" s="466"/>
      <c r="X31" s="466"/>
      <c r="Y31" s="466"/>
      <c r="Z31" s="466"/>
      <c r="AA31" s="466"/>
      <c r="AB31" s="466"/>
      <c r="AC31" s="466"/>
      <c r="AD31" s="466"/>
      <c r="AE31" s="466"/>
      <c r="AF31" s="466"/>
      <c r="AG31" s="466"/>
      <c r="AH31" s="466"/>
      <c r="AI31" s="466"/>
      <c r="AQ31" s="42" t="n">
        <v>0</v>
      </c>
    </row>
    <row r="32" s="175" customFormat="true" ht="18.75" hidden="true" customHeight="true" outlineLevel="0" collapsed="false">
      <c r="A32" s="140"/>
      <c r="B32" s="140"/>
      <c r="C32" s="140"/>
      <c r="D32" s="140"/>
      <c r="E32" s="140"/>
      <c r="F32" s="140"/>
      <c r="G32" s="140"/>
      <c r="H32" s="140"/>
      <c r="I32" s="140"/>
      <c r="J32" s="140"/>
      <c r="K32" s="140"/>
      <c r="L32" s="414"/>
      <c r="M32" s="140"/>
      <c r="N32" s="140"/>
      <c r="O32" s="140"/>
      <c r="S32" s="467" t="s">
        <v>438</v>
      </c>
      <c r="T32" s="467"/>
      <c r="U32" s="468"/>
      <c r="V32" s="471" t="str">
        <f aca="false">IF(TITLE_DATE_PR_CHANGE="",IF(TITLE_DATE_PR="","",TITLE_DATE_PR),TITLE_DATE_PR_CHANGE)</f>
        <v/>
      </c>
      <c r="W32" s="471"/>
      <c r="X32" s="471"/>
      <c r="Y32" s="471"/>
      <c r="Z32" s="471"/>
      <c r="AA32" s="471"/>
      <c r="AB32" s="42"/>
      <c r="AC32" s="471" t="str">
        <f aca="false">IF(TITLE_DATE_PR_CHANGE="",IF(TITLE_DATE_PR="","",TITLE_DATE_PR),TITLE_DATE_PR_CHANGE)</f>
        <v/>
      </c>
      <c r="AD32" s="471"/>
      <c r="AE32" s="471"/>
      <c r="AF32" s="471"/>
      <c r="AG32" s="471"/>
      <c r="AH32" s="471"/>
      <c r="AI32" s="42"/>
      <c r="AJ32" s="42"/>
      <c r="AK32" s="470"/>
      <c r="AL32" s="118"/>
      <c r="AM32" s="118"/>
      <c r="AN32" s="118"/>
      <c r="AO32" s="118"/>
      <c r="AP32" s="118"/>
      <c r="AQ32" s="175" t="n">
        <v>0</v>
      </c>
    </row>
    <row r="33" s="175" customFormat="true" ht="18.75" hidden="true" customHeight="true" outlineLevel="0" collapsed="false">
      <c r="A33" s="140"/>
      <c r="B33" s="140"/>
      <c r="C33" s="140"/>
      <c r="D33" s="140"/>
      <c r="E33" s="140"/>
      <c r="F33" s="140"/>
      <c r="G33" s="140"/>
      <c r="H33" s="140"/>
      <c r="I33" s="140"/>
      <c r="J33" s="140"/>
      <c r="K33" s="140"/>
      <c r="L33" s="414"/>
      <c r="M33" s="140"/>
      <c r="N33" s="140"/>
      <c r="O33" s="140"/>
      <c r="S33" s="467" t="s">
        <v>439</v>
      </c>
      <c r="T33" s="467"/>
      <c r="U33" s="468"/>
      <c r="V33" s="469" t="str">
        <f aca="false">IF(TITLE_NUMBER_PR_CHANGE="",IF(TITLE_NUMBER_PR="","",TITLE_NUMBER_PR),TITLE_NUMBER_PR_CHANGE)</f>
        <v/>
      </c>
      <c r="W33" s="469"/>
      <c r="X33" s="469"/>
      <c r="Y33" s="469"/>
      <c r="Z33" s="469"/>
      <c r="AA33" s="469"/>
      <c r="AB33" s="42"/>
      <c r="AC33" s="469" t="str">
        <f aca="false">IF(TITLE_NUMBER_PR_CHANGE="",IF(TITLE_NUMBER_PR="","",TITLE_NUMBER_PR),TITLE_NUMBER_PR_CHANGE)</f>
        <v/>
      </c>
      <c r="AD33" s="469"/>
      <c r="AE33" s="469"/>
      <c r="AF33" s="469"/>
      <c r="AG33" s="469"/>
      <c r="AH33" s="469"/>
      <c r="AI33" s="42"/>
      <c r="AJ33" s="42"/>
      <c r="AK33" s="470"/>
      <c r="AL33" s="118"/>
      <c r="AM33" s="118"/>
      <c r="AN33" s="118"/>
      <c r="AO33" s="118"/>
      <c r="AP33" s="118"/>
      <c r="AQ33" s="175" t="n">
        <v>0</v>
      </c>
    </row>
    <row r="34" s="175" customFormat="true" ht="0.75" hidden="false" customHeight="true" outlineLevel="0" collapsed="false">
      <c r="A34" s="140"/>
      <c r="B34" s="140"/>
      <c r="C34" s="140"/>
      <c r="D34" s="140"/>
      <c r="E34" s="140"/>
      <c r="F34" s="140"/>
      <c r="G34" s="140"/>
      <c r="H34" s="140"/>
      <c r="I34" s="140"/>
      <c r="J34" s="140"/>
      <c r="K34" s="140"/>
      <c r="L34" s="414"/>
      <c r="M34" s="140"/>
      <c r="N34" s="140"/>
      <c r="O34" s="140"/>
      <c r="S34" s="42"/>
      <c r="T34" s="42"/>
      <c r="U34" s="128"/>
      <c r="V34" s="42"/>
      <c r="W34" s="42"/>
      <c r="X34" s="42"/>
      <c r="Y34" s="42"/>
      <c r="Z34" s="42"/>
      <c r="AA34" s="42"/>
      <c r="AB34" s="47" t="s">
        <v>440</v>
      </c>
      <c r="AC34" s="42"/>
      <c r="AD34" s="42"/>
      <c r="AE34" s="42"/>
      <c r="AF34" s="42"/>
      <c r="AG34" s="42"/>
      <c r="AH34" s="42"/>
      <c r="AI34" s="47" t="s">
        <v>440</v>
      </c>
      <c r="AL34" s="118"/>
      <c r="AM34" s="118"/>
      <c r="AN34" s="118"/>
      <c r="AO34" s="118"/>
      <c r="AP34" s="118"/>
      <c r="AQ34" s="175" t="n">
        <v>1</v>
      </c>
    </row>
    <row r="35" customFormat="false" ht="14.25" hidden="false" customHeight="true" outlineLevel="0" collapsed="false">
      <c r="Q35" s="464"/>
      <c r="R35" s="464"/>
      <c r="S35" s="465"/>
      <c r="T35" s="80"/>
      <c r="U35" s="472"/>
      <c r="V35" s="473"/>
      <c r="W35" s="473"/>
      <c r="X35" s="473"/>
      <c r="Y35" s="473"/>
      <c r="Z35" s="473"/>
      <c r="AA35" s="473"/>
      <c r="AB35" s="473"/>
      <c r="AC35" s="473"/>
      <c r="AD35" s="473"/>
      <c r="AE35" s="473"/>
      <c r="AF35" s="473"/>
      <c r="AG35" s="473"/>
      <c r="AH35" s="473"/>
      <c r="AI35" s="473"/>
      <c r="AQ35" s="42" t="n">
        <v>14</v>
      </c>
    </row>
    <row r="36" customFormat="false" ht="14.25" hidden="false" customHeight="true" outlineLevel="0" collapsed="false">
      <c r="Q36" s="464"/>
      <c r="R36" s="464"/>
      <c r="S36" s="134" t="s">
        <v>313</v>
      </c>
      <c r="T36" s="134"/>
      <c r="U36" s="134"/>
      <c r="V36" s="134"/>
      <c r="W36" s="134"/>
      <c r="X36" s="134"/>
      <c r="Y36" s="134"/>
      <c r="Z36" s="134"/>
      <c r="AA36" s="134"/>
      <c r="AB36" s="134"/>
      <c r="AC36" s="134"/>
      <c r="AD36" s="134"/>
      <c r="AE36" s="134"/>
      <c r="AF36" s="134"/>
      <c r="AG36" s="134"/>
      <c r="AH36" s="134"/>
      <c r="AI36" s="134"/>
      <c r="AJ36" s="134"/>
      <c r="AK36" s="134" t="s">
        <v>314</v>
      </c>
      <c r="AQ36" s="42" t="n">
        <v>14</v>
      </c>
    </row>
    <row r="37" customFormat="false" ht="14.25" hidden="false" customHeight="true" outlineLevel="0" collapsed="false">
      <c r="Q37" s="464"/>
      <c r="R37" s="464"/>
      <c r="S37" s="474" t="s">
        <v>87</v>
      </c>
      <c r="T37" s="391" t="s">
        <v>441</v>
      </c>
      <c r="U37" s="475"/>
      <c r="V37" s="296" t="s">
        <v>442</v>
      </c>
      <c r="W37" s="296"/>
      <c r="X37" s="296"/>
      <c r="Y37" s="296"/>
      <c r="Z37" s="296"/>
      <c r="AA37" s="296"/>
      <c r="AB37" s="391" t="s">
        <v>443</v>
      </c>
      <c r="AC37" s="296" t="s">
        <v>442</v>
      </c>
      <c r="AD37" s="296"/>
      <c r="AE37" s="296"/>
      <c r="AF37" s="296"/>
      <c r="AG37" s="296"/>
      <c r="AH37" s="296"/>
      <c r="AI37" s="391" t="s">
        <v>444</v>
      </c>
      <c r="AJ37" s="476" t="s">
        <v>445</v>
      </c>
      <c r="AK37" s="134"/>
      <c r="AQ37" s="42" t="n">
        <v>14</v>
      </c>
    </row>
    <row r="38" customFormat="false" ht="35.25" hidden="false" customHeight="true" outlineLevel="0" collapsed="false">
      <c r="Q38" s="464"/>
      <c r="R38" s="464"/>
      <c r="S38" s="474"/>
      <c r="T38" s="391"/>
      <c r="U38" s="477"/>
      <c r="V38" s="262" t="s">
        <v>502</v>
      </c>
      <c r="W38" s="134" t="s">
        <v>448</v>
      </c>
      <c r="X38" s="134"/>
      <c r="Y38" s="134" t="s">
        <v>449</v>
      </c>
      <c r="Z38" s="134"/>
      <c r="AA38" s="134"/>
      <c r="AB38" s="391"/>
      <c r="AC38" s="262" t="s">
        <v>502</v>
      </c>
      <c r="AD38" s="134" t="s">
        <v>448</v>
      </c>
      <c r="AE38" s="134"/>
      <c r="AF38" s="134" t="s">
        <v>449</v>
      </c>
      <c r="AG38" s="134"/>
      <c r="AH38" s="134"/>
      <c r="AI38" s="391"/>
      <c r="AJ38" s="476"/>
      <c r="AK38" s="134"/>
      <c r="AQ38" s="42" t="n">
        <v>34</v>
      </c>
    </row>
    <row r="39" customFormat="false" ht="90" hidden="false" customHeight="true" outlineLevel="0" collapsed="false">
      <c r="A39" s="140"/>
      <c r="B39" s="140" t="s">
        <v>150</v>
      </c>
      <c r="C39" s="140" t="s">
        <v>151</v>
      </c>
      <c r="D39" s="140" t="s">
        <v>152</v>
      </c>
      <c r="E39" s="414" t="s">
        <v>450</v>
      </c>
      <c r="F39" s="414" t="s">
        <v>451</v>
      </c>
      <c r="G39" s="414" t="s">
        <v>452</v>
      </c>
      <c r="H39" s="414"/>
      <c r="I39" s="414" t="s">
        <v>503</v>
      </c>
      <c r="J39" s="414" t="s">
        <v>455</v>
      </c>
      <c r="K39" s="414" t="s">
        <v>504</v>
      </c>
      <c r="L39" s="414" t="s">
        <v>431</v>
      </c>
      <c r="Q39" s="464"/>
      <c r="R39" s="464"/>
      <c r="S39" s="474"/>
      <c r="T39" s="391"/>
      <c r="U39" s="478"/>
      <c r="V39" s="262" t="s">
        <v>531</v>
      </c>
      <c r="W39" s="185" t="s">
        <v>532</v>
      </c>
      <c r="X39" s="185" t="s">
        <v>507</v>
      </c>
      <c r="Y39" s="185" t="s">
        <v>459</v>
      </c>
      <c r="Z39" s="185" t="s">
        <v>460</v>
      </c>
      <c r="AA39" s="185"/>
      <c r="AB39" s="391"/>
      <c r="AC39" s="262" t="s">
        <v>531</v>
      </c>
      <c r="AD39" s="185" t="s">
        <v>532</v>
      </c>
      <c r="AE39" s="185" t="s">
        <v>507</v>
      </c>
      <c r="AF39" s="185" t="s">
        <v>459</v>
      </c>
      <c r="AG39" s="185" t="s">
        <v>460</v>
      </c>
      <c r="AH39" s="185"/>
      <c r="AI39" s="391"/>
      <c r="AJ39" s="476"/>
      <c r="AK39" s="134"/>
      <c r="AQ39" s="42" t="n">
        <v>86</v>
      </c>
    </row>
    <row r="40" s="120" customFormat="true" ht="11.25" hidden="true" customHeight="true" outlineLevel="0" collapsed="false">
      <c r="A40" s="140"/>
      <c r="B40" s="140"/>
      <c r="C40" s="140"/>
      <c r="D40" s="140"/>
      <c r="E40" s="140"/>
      <c r="F40" s="140"/>
      <c r="G40" s="140"/>
      <c r="H40" s="140"/>
      <c r="I40" s="140"/>
      <c r="J40" s="140"/>
      <c r="K40" s="140"/>
      <c r="L40" s="414"/>
      <c r="M40" s="51"/>
      <c r="N40" s="51"/>
      <c r="O40" s="51"/>
      <c r="P40" s="479"/>
      <c r="Q40" s="480"/>
      <c r="R40" s="481" t="n">
        <v>1</v>
      </c>
      <c r="S40" s="482" t="s">
        <v>120</v>
      </c>
      <c r="T40" s="483" t="s">
        <v>102</v>
      </c>
      <c r="U40" s="484" t="str">
        <f aca="true">OFFSET(U40,0,-1)</f>
        <v>2</v>
      </c>
      <c r="V40" s="485" t="n">
        <f aca="true">OFFSET(V40,0,-1)+1</f>
        <v>3</v>
      </c>
      <c r="W40" s="485" t="n">
        <f aca="true">OFFSET(W40,0,-1)+1</f>
        <v>4</v>
      </c>
      <c r="X40" s="485" t="n">
        <f aca="true">OFFSET(X40,0,-1)+1</f>
        <v>5</v>
      </c>
      <c r="Y40" s="485" t="n">
        <f aca="true">OFFSET(Y40,0,-1)+1</f>
        <v>6</v>
      </c>
      <c r="Z40" s="485" t="n">
        <f aca="true">OFFSET(Z40,0,-1)+1</f>
        <v>7</v>
      </c>
      <c r="AA40" s="485"/>
      <c r="AB40" s="485" t="n">
        <f aca="true">OFFSET(AB40,0,-2)+1</f>
        <v>8</v>
      </c>
      <c r="AC40" s="485" t="n">
        <f aca="true">OFFSET(AC40,0,-1)+1</f>
        <v>9</v>
      </c>
      <c r="AD40" s="485" t="n">
        <f aca="true">OFFSET(AD40,0,-1)+1</f>
        <v>10</v>
      </c>
      <c r="AE40" s="485" t="n">
        <f aca="true">OFFSET(AE40,0,-1)+1</f>
        <v>11</v>
      </c>
      <c r="AF40" s="485" t="n">
        <f aca="true">OFFSET(AF40,0,-1)+1</f>
        <v>12</v>
      </c>
      <c r="AG40" s="485" t="n">
        <f aca="true">OFFSET(AG40,0,-1)+1</f>
        <v>13</v>
      </c>
      <c r="AH40" s="485"/>
      <c r="AI40" s="485" t="n">
        <f aca="true">OFFSET(AI40,0,-2)+1</f>
        <v>14</v>
      </c>
      <c r="AJ40" s="484" t="n">
        <f aca="true">OFFSET(AJ40,0,-1)</f>
        <v>14</v>
      </c>
      <c r="AK40" s="485" t="n">
        <f aca="true">OFFSET(AK40,0,-1)+1</f>
        <v>15</v>
      </c>
      <c r="AL40" s="47"/>
      <c r="AM40" s="47"/>
      <c r="AN40" s="47"/>
      <c r="AO40" s="47"/>
      <c r="AP40" s="47"/>
      <c r="AQ40" s="120" t="n">
        <v>0</v>
      </c>
    </row>
    <row r="41" customFormat="false" ht="24" hidden="false" customHeight="true" outlineLevel="0" collapsed="false">
      <c r="A41" s="412" t="s">
        <v>279</v>
      </c>
      <c r="B41" s="412"/>
      <c r="C41" s="412"/>
      <c r="D41" s="412"/>
      <c r="E41" s="413" t="n">
        <v>1</v>
      </c>
      <c r="F41" s="412"/>
      <c r="G41" s="412"/>
      <c r="H41" s="412"/>
      <c r="I41" s="412"/>
      <c r="J41" s="412"/>
      <c r="K41" s="412"/>
      <c r="L41" s="414"/>
      <c r="M41" s="40"/>
      <c r="N41" s="40"/>
      <c r="O41" s="40"/>
      <c r="Q41" s="132"/>
      <c r="R41" s="415"/>
      <c r="S41" s="416" t="n">
        <f aca="false">INDEX(PT_DIFFERENTIATION_NUM_NTAR,MATCH(A41,PT_DIFFERENTIATION_NTAR_ID,0))</f>
        <v>0</v>
      </c>
      <c r="T41" s="417" t="s">
        <v>138</v>
      </c>
      <c r="U41" s="418"/>
      <c r="V41" s="419"/>
      <c r="W41" s="419"/>
      <c r="X41" s="419"/>
      <c r="Y41" s="419"/>
      <c r="Z41" s="419"/>
      <c r="AA41" s="419"/>
      <c r="AB41" s="419"/>
      <c r="AC41" s="419" t="str">
        <f aca="false">INDEX(PT_DIFFERENTIATION_NTAR,MATCH(A41,PT_DIFFERENTIATION_NTAR_ID,0))</f>
        <v/>
      </c>
      <c r="AD41" s="419"/>
      <c r="AE41" s="419"/>
      <c r="AF41" s="419"/>
      <c r="AG41" s="419"/>
      <c r="AH41" s="419"/>
      <c r="AI41" s="419"/>
      <c r="AJ41" s="419"/>
      <c r="AK41" s="42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8"/>
      <c r="AN41" s="118" t="str">
        <f aca="false">IF(T41="","",T41)</f>
        <v>Наименование тарифа</v>
      </c>
      <c r="AO41" s="118"/>
      <c r="AP41" s="118"/>
      <c r="AQ41" s="42" t="n">
        <v>23</v>
      </c>
    </row>
    <row r="42" customFormat="false" ht="24" hidden="false" customHeight="true" outlineLevel="0" collapsed="false">
      <c r="A42" s="412" t="s">
        <v>279</v>
      </c>
      <c r="B42" s="412" t="s">
        <v>280</v>
      </c>
      <c r="C42" s="412"/>
      <c r="D42" s="412"/>
      <c r="E42" s="413"/>
      <c r="F42" s="413" t="n">
        <v>1</v>
      </c>
      <c r="G42" s="412"/>
      <c r="H42" s="412"/>
      <c r="I42" s="412"/>
      <c r="J42" s="412"/>
      <c r="K42" s="412"/>
      <c r="L42" s="414"/>
      <c r="M42" s="40"/>
      <c r="N42" s="40"/>
      <c r="O42" s="40"/>
      <c r="P42" s="43"/>
      <c r="Q42" s="422"/>
      <c r="R42" s="423"/>
      <c r="S42" s="416" t="str">
        <f aca="false">INDEX(PT_DIFFERENTIATION_NUM_TER,MATCH(B42,PT_DIFFERENTIATION_TER_ID,0))</f>
        <v>.</v>
      </c>
      <c r="T42" s="424" t="s">
        <v>410</v>
      </c>
      <c r="U42" s="418"/>
      <c r="V42" s="419"/>
      <c r="W42" s="419"/>
      <c r="X42" s="419"/>
      <c r="Y42" s="419"/>
      <c r="Z42" s="419"/>
      <c r="AA42" s="419"/>
      <c r="AB42" s="419"/>
      <c r="AC42" s="419" t="str">
        <f aca="false">INDEX(PT_DIFFERENTIATION_TER,MATCH(B42,PT_DIFFERENTIATION_TER_ID,0))</f>
        <v/>
      </c>
      <c r="AD42" s="419"/>
      <c r="AE42" s="419"/>
      <c r="AF42" s="419"/>
      <c r="AG42" s="419"/>
      <c r="AH42" s="419"/>
      <c r="AI42" s="419"/>
      <c r="AJ42" s="419"/>
      <c r="AK42" s="421" t="s">
        <v>411</v>
      </c>
      <c r="AM42" s="118"/>
      <c r="AN42" s="118" t="str">
        <f aca="false">IF(T42="","",T42)</f>
        <v>Территория действия тарифа</v>
      </c>
      <c r="AO42" s="118"/>
      <c r="AP42" s="118"/>
      <c r="AQ42" s="42" t="n">
        <v>23</v>
      </c>
    </row>
    <row r="43" customFormat="false" ht="24" hidden="false" customHeight="true" outlineLevel="0" collapsed="false">
      <c r="A43" s="412" t="s">
        <v>279</v>
      </c>
      <c r="B43" s="412" t="s">
        <v>280</v>
      </c>
      <c r="C43" s="412" t="s">
        <v>281</v>
      </c>
      <c r="D43" s="412"/>
      <c r="E43" s="413"/>
      <c r="F43" s="413"/>
      <c r="G43" s="413" t="n">
        <v>1</v>
      </c>
      <c r="H43" s="412"/>
      <c r="I43" s="412"/>
      <c r="J43" s="412"/>
      <c r="K43" s="412"/>
      <c r="L43" s="414"/>
      <c r="M43" s="40"/>
      <c r="N43" s="40"/>
      <c r="O43" s="40"/>
      <c r="P43" s="425"/>
      <c r="Q43" s="422"/>
      <c r="R43" s="423"/>
      <c r="S43" s="416" t="str">
        <f aca="false">INDEX(PT_DIFFERENTIATION_NUM_CS,MATCH(C43,PT_DIFFERENTIATION_CS_ID,0))</f>
        <v>..</v>
      </c>
      <c r="T43" s="426" t="s">
        <v>529</v>
      </c>
      <c r="U43" s="418"/>
      <c r="V43" s="419"/>
      <c r="W43" s="419"/>
      <c r="X43" s="419"/>
      <c r="Y43" s="419"/>
      <c r="Z43" s="419"/>
      <c r="AA43" s="419"/>
      <c r="AB43" s="419"/>
      <c r="AC43" s="419" t="str">
        <f aca="false">INDEX(PT_DIFFERENTIATION_CS,MATCH(C43,PT_DIFFERENTIATION_CS_ID,0))</f>
        <v/>
      </c>
      <c r="AD43" s="419"/>
      <c r="AE43" s="419"/>
      <c r="AF43" s="419"/>
      <c r="AG43" s="419"/>
      <c r="AH43" s="419"/>
      <c r="AI43" s="419"/>
      <c r="AJ43" s="419"/>
      <c r="AK43" s="421" t="s">
        <v>530</v>
      </c>
      <c r="AM43" s="118"/>
      <c r="AN43" s="118" t="str">
        <f aca="false">IF(T43="","",T43)</f>
        <v>Наименование централизованной системы водоотведения</v>
      </c>
      <c r="AO43" s="118"/>
      <c r="AP43" s="118"/>
      <c r="AQ43" s="42" t="n">
        <v>23</v>
      </c>
    </row>
    <row r="44" customFormat="false" ht="24" hidden="false" customHeight="true" outlineLevel="0" collapsed="false">
      <c r="A44" s="412" t="s">
        <v>279</v>
      </c>
      <c r="B44" s="412" t="s">
        <v>280</v>
      </c>
      <c r="C44" s="412" t="s">
        <v>281</v>
      </c>
      <c r="D44" s="412" t="s">
        <v>533</v>
      </c>
      <c r="E44" s="413"/>
      <c r="F44" s="413"/>
      <c r="G44" s="413"/>
      <c r="H44" s="571"/>
      <c r="I44" s="428" t="str">
        <f aca="false">S43&amp;".1"</f>
        <v>...1</v>
      </c>
      <c r="J44" s="412"/>
      <c r="K44" s="412"/>
      <c r="L44" s="414"/>
      <c r="P44" s="121" t="n">
        <v>1</v>
      </c>
      <c r="Q44" s="121"/>
      <c r="R44" s="429"/>
      <c r="S44" s="416" t="str">
        <f aca="false">$I44</f>
        <v>...1</v>
      </c>
      <c r="T44" s="430" t="s">
        <v>496</v>
      </c>
      <c r="U44" s="418"/>
      <c r="V44" s="572"/>
      <c r="W44" s="572"/>
      <c r="X44" s="572"/>
      <c r="Y44" s="572"/>
      <c r="Z44" s="572"/>
      <c r="AA44" s="572"/>
      <c r="AB44" s="572"/>
      <c r="AC44" s="334"/>
      <c r="AD44" s="334"/>
      <c r="AE44" s="334"/>
      <c r="AF44" s="334"/>
      <c r="AG44" s="334"/>
      <c r="AH44" s="334"/>
      <c r="AI44" s="334"/>
      <c r="AJ44" s="334"/>
      <c r="AK44" s="421" t="s">
        <v>497</v>
      </c>
      <c r="AM44" s="118"/>
      <c r="AN44" s="118" t="str">
        <f aca="false">IF(T44="","",T44)</f>
        <v>Наименование признака дифференциации</v>
      </c>
      <c r="AO44" s="118"/>
      <c r="AP44" s="118"/>
      <c r="AQ44" s="42" t="n">
        <v>23</v>
      </c>
    </row>
    <row r="45" customFormat="false" ht="24" hidden="false" customHeight="true" outlineLevel="0" collapsed="false">
      <c r="A45" s="412" t="s">
        <v>279</v>
      </c>
      <c r="B45" s="412" t="s">
        <v>280</v>
      </c>
      <c r="C45" s="412" t="s">
        <v>281</v>
      </c>
      <c r="D45" s="412" t="s">
        <v>533</v>
      </c>
      <c r="E45" s="413"/>
      <c r="F45" s="413"/>
      <c r="G45" s="413"/>
      <c r="H45" s="413"/>
      <c r="I45" s="428"/>
      <c r="J45" s="428" t="str">
        <f aca="false">I44&amp;".1"</f>
        <v>...1.1</v>
      </c>
      <c r="K45" s="412"/>
      <c r="L45" s="414" t="s">
        <v>419</v>
      </c>
      <c r="P45" s="121"/>
      <c r="Q45" s="121" t="n">
        <v>1</v>
      </c>
      <c r="R45" s="432"/>
      <c r="S45" s="416" t="str">
        <f aca="false">$J45</f>
        <v>...1.1</v>
      </c>
      <c r="T45" s="433" t="s">
        <v>420</v>
      </c>
      <c r="U45" s="418"/>
      <c r="V45" s="431"/>
      <c r="W45" s="431"/>
      <c r="X45" s="431"/>
      <c r="Y45" s="431"/>
      <c r="Z45" s="431"/>
      <c r="AA45" s="431"/>
      <c r="AB45" s="431"/>
      <c r="AC45" s="431"/>
      <c r="AD45" s="431"/>
      <c r="AE45" s="431"/>
      <c r="AF45" s="431"/>
      <c r="AG45" s="431"/>
      <c r="AH45" s="431"/>
      <c r="AI45" s="431"/>
      <c r="AJ45" s="431"/>
      <c r="AK45" s="523" t="s">
        <v>498</v>
      </c>
      <c r="AM45" s="118"/>
      <c r="AN45" s="118" t="str">
        <f aca="false">IF(T45="","",T45)</f>
        <v>Группа потребителей</v>
      </c>
      <c r="AO45" s="118"/>
      <c r="AP45" s="118"/>
      <c r="AQ45" s="42" t="n">
        <v>23</v>
      </c>
    </row>
    <row r="46" customFormat="false" ht="24" hidden="false" customHeight="true" outlineLevel="0" collapsed="false">
      <c r="A46" s="412" t="s">
        <v>279</v>
      </c>
      <c r="B46" s="412" t="s">
        <v>280</v>
      </c>
      <c r="C46" s="412" t="s">
        <v>281</v>
      </c>
      <c r="D46" s="412" t="s">
        <v>533</v>
      </c>
      <c r="E46" s="413"/>
      <c r="F46" s="413"/>
      <c r="G46" s="413"/>
      <c r="H46" s="413"/>
      <c r="I46" s="428"/>
      <c r="J46" s="428"/>
      <c r="K46" s="428" t="str">
        <f aca="false">J45&amp;".1"</f>
        <v>...1.1.1</v>
      </c>
      <c r="L46" s="414"/>
      <c r="P46" s="121"/>
      <c r="Q46" s="121"/>
      <c r="R46" s="432" t="n">
        <v>1</v>
      </c>
      <c r="S46" s="416" t="str">
        <f aca="false">$K46</f>
        <v>...1.1.1</v>
      </c>
      <c r="T46" s="573"/>
      <c r="U46" s="418"/>
      <c r="V46" s="458"/>
      <c r="W46" s="458"/>
      <c r="X46" s="459"/>
      <c r="Y46" s="460"/>
      <c r="Z46" s="461" t="s">
        <v>61</v>
      </c>
      <c r="AA46" s="460"/>
      <c r="AB46" s="461" t="s">
        <v>61</v>
      </c>
      <c r="AC46" s="435"/>
      <c r="AD46" s="435"/>
      <c r="AE46" s="437"/>
      <c r="AF46" s="438"/>
      <c r="AG46" s="204" t="s">
        <v>61</v>
      </c>
      <c r="AH46" s="438"/>
      <c r="AI46" s="204" t="s">
        <v>19</v>
      </c>
      <c r="AJ46" s="574"/>
      <c r="AK46" s="57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7" t="e">
        <f aca="false">strcheckdate(V47:AJ47)</f>
        <v>#NAME?</v>
      </c>
      <c r="AM46" s="118"/>
      <c r="AN46" s="118" t="str">
        <f aca="false">IF(T46="","",T46)</f>
        <v/>
      </c>
      <c r="AO46" s="118"/>
      <c r="AP46" s="118"/>
      <c r="AQ46" s="42" t="n">
        <v>23</v>
      </c>
    </row>
    <row r="47" customFormat="false" ht="12.8" hidden="false" customHeight="false" outlineLevel="0" collapsed="false">
      <c r="A47" s="412" t="s">
        <v>279</v>
      </c>
      <c r="B47" s="412" t="s">
        <v>280</v>
      </c>
      <c r="C47" s="412" t="s">
        <v>281</v>
      </c>
      <c r="D47" s="412" t="s">
        <v>533</v>
      </c>
      <c r="E47" s="413"/>
      <c r="F47" s="413"/>
      <c r="G47" s="413"/>
      <c r="H47" s="413"/>
      <c r="I47" s="428"/>
      <c r="J47" s="428"/>
      <c r="K47" s="428"/>
      <c r="L47" s="414"/>
      <c r="P47" s="121"/>
      <c r="Q47" s="121"/>
      <c r="R47" s="432"/>
      <c r="S47" s="393"/>
      <c r="T47" s="418"/>
      <c r="U47" s="418"/>
      <c r="V47" s="458"/>
      <c r="W47" s="458"/>
      <c r="X47" s="440" t="str">
        <f aca="false">Y46&amp;"-"&amp;AA46</f>
        <v>-</v>
      </c>
      <c r="Y47" s="460"/>
      <c r="Z47" s="460"/>
      <c r="AA47" s="460"/>
      <c r="AB47" s="460"/>
      <c r="AC47" s="436"/>
      <c r="AD47" s="436"/>
      <c r="AE47" s="440" t="str">
        <f aca="false">AF46&amp;"-"&amp;AH46</f>
        <v>-</v>
      </c>
      <c r="AF47" s="438"/>
      <c r="AG47" s="204"/>
      <c r="AH47" s="438"/>
      <c r="AI47" s="204"/>
      <c r="AJ47" s="576"/>
      <c r="AK47" s="575"/>
      <c r="AM47" s="118"/>
      <c r="AN47" s="118" t="str">
        <f aca="false">IF(T47="","",T47)</f>
        <v/>
      </c>
      <c r="AO47" s="118"/>
      <c r="AP47" s="118"/>
      <c r="AQ47" s="42" t="n">
        <v>0</v>
      </c>
    </row>
    <row r="48" customFormat="false" ht="21" hidden="false" customHeight="true" outlineLevel="0" collapsed="false">
      <c r="A48" s="412" t="s">
        <v>279</v>
      </c>
      <c r="B48" s="412" t="s">
        <v>280</v>
      </c>
      <c r="C48" s="412" t="s">
        <v>281</v>
      </c>
      <c r="D48" s="412" t="s">
        <v>533</v>
      </c>
      <c r="E48" s="413"/>
      <c r="F48" s="413"/>
      <c r="G48" s="413"/>
      <c r="H48" s="413"/>
      <c r="I48" s="428"/>
      <c r="J48" s="428"/>
      <c r="K48" s="412"/>
      <c r="L48" s="414"/>
      <c r="P48" s="121"/>
      <c r="Q48" s="121"/>
      <c r="R48" s="429"/>
      <c r="S48" s="441"/>
      <c r="T48" s="444" t="s">
        <v>499</v>
      </c>
      <c r="U48" s="194"/>
      <c r="V48" s="194"/>
      <c r="W48" s="194"/>
      <c r="X48" s="194"/>
      <c r="Y48" s="194"/>
      <c r="Z48" s="194"/>
      <c r="AA48" s="194"/>
      <c r="AB48" s="194"/>
      <c r="AC48" s="194"/>
      <c r="AD48" s="194"/>
      <c r="AE48" s="194"/>
      <c r="AF48" s="194"/>
      <c r="AG48" s="194"/>
      <c r="AH48" s="194"/>
      <c r="AI48" s="194"/>
      <c r="AJ48" s="194"/>
      <c r="AK48" s="421" t="s">
        <v>500</v>
      </c>
      <c r="AM48" s="118"/>
      <c r="AN48" s="118" t="str">
        <f aca="false">IF(T48="","",T48)</f>
        <v>Добавить значение признака дифференциации</v>
      </c>
      <c r="AO48" s="118"/>
      <c r="AP48" s="118"/>
      <c r="AQ48" s="42" t="n">
        <v>20</v>
      </c>
    </row>
    <row r="49" customFormat="false" ht="21.75" hidden="false" customHeight="true" outlineLevel="0" collapsed="false">
      <c r="A49" s="412" t="s">
        <v>279</v>
      </c>
      <c r="B49" s="412" t="s">
        <v>280</v>
      </c>
      <c r="C49" s="412" t="s">
        <v>281</v>
      </c>
      <c r="D49" s="412" t="s">
        <v>533</v>
      </c>
      <c r="E49" s="413"/>
      <c r="F49" s="413"/>
      <c r="G49" s="413"/>
      <c r="H49" s="413"/>
      <c r="I49" s="428"/>
      <c r="J49" s="412"/>
      <c r="K49" s="412"/>
      <c r="L49" s="414"/>
      <c r="P49" s="121"/>
      <c r="Q49" s="121"/>
      <c r="R49" s="429"/>
      <c r="S49" s="441"/>
      <c r="T49" s="448" t="s">
        <v>425</v>
      </c>
      <c r="U49" s="194"/>
      <c r="V49" s="194"/>
      <c r="W49" s="194"/>
      <c r="X49" s="194"/>
      <c r="Y49" s="194"/>
      <c r="Z49" s="194"/>
      <c r="AA49" s="194"/>
      <c r="AB49" s="445"/>
      <c r="AC49" s="194"/>
      <c r="AD49" s="194"/>
      <c r="AE49" s="194"/>
      <c r="AF49" s="194"/>
      <c r="AG49" s="194"/>
      <c r="AH49" s="194"/>
      <c r="AI49" s="445"/>
      <c r="AJ49" s="194"/>
      <c r="AK49" s="577"/>
      <c r="AM49" s="118"/>
      <c r="AN49" s="118" t="str">
        <f aca="false">IF(T49="","",T49)</f>
        <v>Добавить группу потребителей</v>
      </c>
      <c r="AO49" s="118"/>
      <c r="AP49" s="118"/>
      <c r="AQ49" s="42" t="n">
        <v>21</v>
      </c>
    </row>
    <row r="50" customFormat="false" ht="21.75" hidden="false" customHeight="true" outlineLevel="0" collapsed="false">
      <c r="A50" s="412" t="s">
        <v>279</v>
      </c>
      <c r="B50" s="412" t="s">
        <v>280</v>
      </c>
      <c r="C50" s="412" t="s">
        <v>281</v>
      </c>
      <c r="D50" s="412" t="s">
        <v>533</v>
      </c>
      <c r="E50" s="413"/>
      <c r="F50" s="413"/>
      <c r="G50" s="413"/>
      <c r="H50" s="571"/>
      <c r="I50" s="412"/>
      <c r="J50" s="412"/>
      <c r="K50" s="412"/>
      <c r="L50" s="414"/>
      <c r="M50" s="40"/>
      <c r="N50" s="40"/>
      <c r="O50" s="45"/>
      <c r="P50" s="132"/>
      <c r="Q50" s="447"/>
      <c r="R50" s="415"/>
      <c r="S50" s="441"/>
      <c r="T50" s="578" t="s">
        <v>501</v>
      </c>
      <c r="U50" s="194"/>
      <c r="V50" s="194"/>
      <c r="W50" s="194"/>
      <c r="X50" s="194"/>
      <c r="Y50" s="194"/>
      <c r="Z50" s="194"/>
      <c r="AA50" s="194"/>
      <c r="AB50" s="445"/>
      <c r="AC50" s="194"/>
      <c r="AD50" s="194"/>
      <c r="AE50" s="194"/>
      <c r="AF50" s="194"/>
      <c r="AG50" s="194"/>
      <c r="AH50" s="194"/>
      <c r="AI50" s="445"/>
      <c r="AJ50" s="194"/>
      <c r="AK50" s="446"/>
      <c r="AM50" s="118"/>
      <c r="AN50" s="118" t="str">
        <f aca="false">IF(T50="","",T50)</f>
        <v>Добавить наименование признака дифференциации</v>
      </c>
      <c r="AO50" s="118"/>
      <c r="AP50" s="118"/>
      <c r="AQ50" s="42" t="n">
        <v>21</v>
      </c>
    </row>
    <row r="51" s="47" customFormat="true" ht="12.8" hidden="false" customHeight="false" outlineLevel="0" collapsed="false">
      <c r="A51" s="122" t="s">
        <v>279</v>
      </c>
      <c r="B51" s="122" t="s">
        <v>280</v>
      </c>
      <c r="C51" s="122"/>
      <c r="D51" s="122"/>
      <c r="E51" s="413"/>
      <c r="F51" s="413"/>
      <c r="G51" s="122"/>
      <c r="H51" s="122"/>
      <c r="I51" s="122"/>
      <c r="J51" s="122"/>
      <c r="K51" s="122"/>
      <c r="L51" s="192"/>
      <c r="M51" s="453"/>
      <c r="N51" s="453"/>
      <c r="P51" s="156"/>
      <c r="Q51" s="449"/>
      <c r="R51" s="156"/>
      <c r="S51" s="454"/>
      <c r="T51" s="457" t="s">
        <v>428</v>
      </c>
      <c r="U51" s="456"/>
      <c r="V51" s="456"/>
      <c r="W51" s="456"/>
      <c r="X51" s="456"/>
      <c r="Y51" s="456"/>
      <c r="Z51" s="456"/>
      <c r="AA51" s="456"/>
      <c r="AB51" s="456"/>
      <c r="AC51" s="456"/>
      <c r="AD51" s="456"/>
      <c r="AE51" s="456"/>
      <c r="AF51" s="456"/>
      <c r="AG51" s="456"/>
      <c r="AH51" s="456"/>
      <c r="AI51" s="456"/>
      <c r="AJ51" s="456"/>
      <c r="AK51" s="456"/>
      <c r="AM51" s="118"/>
      <c r="AN51" s="118" t="str">
        <f aca="false">IF(T51="","",T51)</f>
        <v>Добавить централизованную систему для дифференциации</v>
      </c>
      <c r="AO51" s="118"/>
      <c r="AP51" s="118"/>
      <c r="AQ51" s="47" t="n">
        <v>0</v>
      </c>
    </row>
    <row r="52" s="47" customFormat="true" ht="12.8" hidden="false" customHeight="false" outlineLevel="0" collapsed="false">
      <c r="A52" s="122" t="s">
        <v>279</v>
      </c>
      <c r="B52" s="122"/>
      <c r="C52" s="122"/>
      <c r="D52" s="122"/>
      <c r="E52" s="413"/>
      <c r="F52" s="122"/>
      <c r="G52" s="122"/>
      <c r="H52" s="122"/>
      <c r="I52" s="122"/>
      <c r="J52" s="122"/>
      <c r="K52" s="122"/>
      <c r="L52" s="192"/>
      <c r="M52" s="453"/>
      <c r="N52" s="453"/>
      <c r="P52" s="156"/>
      <c r="Q52" s="449"/>
      <c r="R52" s="156"/>
      <c r="S52" s="454"/>
      <c r="T52" s="457" t="s">
        <v>429</v>
      </c>
      <c r="U52" s="456"/>
      <c r="V52" s="456"/>
      <c r="W52" s="456"/>
      <c r="X52" s="456"/>
      <c r="Y52" s="456"/>
      <c r="Z52" s="456"/>
      <c r="AA52" s="456"/>
      <c r="AB52" s="456"/>
      <c r="AC52" s="456"/>
      <c r="AD52" s="456"/>
      <c r="AE52" s="456"/>
      <c r="AF52" s="456"/>
      <c r="AG52" s="456"/>
      <c r="AH52" s="456"/>
      <c r="AI52" s="456"/>
      <c r="AJ52" s="456"/>
      <c r="AK52" s="456"/>
      <c r="AM52" s="118"/>
      <c r="AN52" s="118" t="str">
        <f aca="false">IF(T52="","",T52)</f>
        <v>Добавить территорию для дифференциации</v>
      </c>
      <c r="AO52" s="118"/>
      <c r="AP52" s="118"/>
      <c r="AQ52" s="47" t="n">
        <v>0</v>
      </c>
    </row>
    <row r="53" s="47" customFormat="true" ht="12.8" hidden="false" customHeight="false" outlineLevel="0" collapsed="false">
      <c r="A53" s="122"/>
      <c r="B53" s="122"/>
      <c r="C53" s="122"/>
      <c r="D53" s="122"/>
      <c r="E53" s="122"/>
      <c r="F53" s="122"/>
      <c r="G53" s="122"/>
      <c r="H53" s="122"/>
      <c r="I53" s="122"/>
      <c r="J53" s="122"/>
      <c r="K53" s="122"/>
      <c r="L53" s="192"/>
      <c r="M53" s="453"/>
      <c r="N53" s="453"/>
      <c r="P53" s="156"/>
      <c r="Q53" s="449"/>
      <c r="R53" s="156"/>
      <c r="S53" s="454"/>
      <c r="T53" s="457" t="s">
        <v>461</v>
      </c>
      <c r="U53" s="456"/>
      <c r="V53" s="456"/>
      <c r="W53" s="456"/>
      <c r="X53" s="456"/>
      <c r="Y53" s="456"/>
      <c r="Z53" s="456"/>
      <c r="AA53" s="456"/>
      <c r="AB53" s="456"/>
      <c r="AC53" s="456"/>
      <c r="AD53" s="456"/>
      <c r="AE53" s="456"/>
      <c r="AF53" s="456"/>
      <c r="AG53" s="456"/>
      <c r="AH53" s="456"/>
      <c r="AI53" s="456"/>
      <c r="AJ53" s="456"/>
      <c r="AK53" s="456"/>
      <c r="AM53" s="118"/>
      <c r="AN53" s="118" t="str">
        <f aca="false">IF(T53="","",T53)</f>
        <v>Добавить наименование тарифа</v>
      </c>
      <c r="AO53" s="118"/>
      <c r="AP53" s="118"/>
      <c r="AQ53" s="47"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09"/>
      <c r="T55" s="488"/>
      <c r="U55" s="488"/>
      <c r="V55" s="488"/>
      <c r="W55" s="488"/>
      <c r="X55" s="488"/>
      <c r="Y55" s="488"/>
      <c r="Z55" s="488"/>
      <c r="AA55" s="488"/>
      <c r="AB55" s="488"/>
      <c r="AC55" s="488"/>
      <c r="AD55" s="488"/>
      <c r="AE55" s="488"/>
      <c r="AF55" s="488"/>
      <c r="AG55" s="488"/>
      <c r="AH55" s="488"/>
      <c r="AI55" s="488"/>
      <c r="AJ55" s="488"/>
      <c r="AK55" s="488"/>
      <c r="AQ55" s="42" t="n">
        <v>14</v>
      </c>
    </row>
    <row r="56" customFormat="false" ht="14.25" hidden="false" customHeight="true" outlineLevel="0" collapsed="false">
      <c r="O56" s="45"/>
      <c r="AQ56" s="42" t="n">
        <v>14</v>
      </c>
    </row>
    <row r="57" customFormat="false" ht="14.25" hidden="false" customHeight="true" outlineLevel="0" collapsed="false">
      <c r="O57" s="45"/>
      <c r="S57" s="409"/>
      <c r="T57" s="488"/>
      <c r="U57" s="488"/>
      <c r="V57" s="488"/>
      <c r="W57" s="488"/>
      <c r="X57" s="488"/>
      <c r="Y57" s="488"/>
      <c r="Z57" s="488"/>
      <c r="AA57" s="488"/>
      <c r="AB57" s="488"/>
      <c r="AC57" s="488"/>
      <c r="AD57" s="488"/>
      <c r="AE57" s="488"/>
      <c r="AF57" s="488"/>
      <c r="AG57" s="488"/>
      <c r="AH57" s="488"/>
      <c r="AI57" s="488"/>
      <c r="AJ57" s="488"/>
      <c r="AK57" s="488"/>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44" t="n">
        <v>0</v>
      </c>
      <c r="M58" s="51" t="n">
        <v>0</v>
      </c>
      <c r="N58" s="51" t="n">
        <v>0</v>
      </c>
      <c r="O58" s="51" t="n">
        <v>0</v>
      </c>
      <c r="P58" s="50" t="n">
        <v>3</v>
      </c>
      <c r="Q58" s="411" t="n">
        <v>3</v>
      </c>
      <c r="R58" s="411" t="n">
        <v>3</v>
      </c>
      <c r="S58" s="75"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7" t="n">
        <v>10</v>
      </c>
      <c r="AM58" s="47" t="n">
        <v>10</v>
      </c>
      <c r="AN58" s="47" t="n">
        <v>10</v>
      </c>
      <c r="AO58" s="47" t="n">
        <v>10</v>
      </c>
      <c r="AP58" s="47"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4.14"/>
    <col collapsed="false" customWidth="true" hidden="true" outlineLevel="0" max="10" min="10" style="45" width="9.85"/>
    <col collapsed="false" customWidth="true" hidden="true" outlineLevel="0" max="11" min="11" style="45" width="14.71"/>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
    <col collapsed="false" customWidth="true" hidden="false" outlineLevel="0" max="18" min="17" style="411" width="3"/>
    <col collapsed="false" customWidth="true" hidden="false" outlineLevel="0" max="19" min="19" style="75" width="12"/>
    <col collapsed="false" customWidth="true" hidden="false" outlineLevel="0" max="20" min="20" style="42" width="35"/>
    <col collapsed="false" customWidth="true" hidden="false" outlineLevel="0" max="21" min="21" style="42" width="0.14"/>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7"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2"/>
      <c r="B2" s="412"/>
      <c r="C2" s="412"/>
      <c r="D2" s="412"/>
      <c r="E2" s="413" t="n">
        <v>1</v>
      </c>
      <c r="F2" s="412"/>
      <c r="G2" s="412"/>
      <c r="H2" s="412"/>
      <c r="I2" s="412"/>
      <c r="J2" s="412"/>
      <c r="K2" s="412"/>
      <c r="L2" s="414"/>
      <c r="M2" s="40"/>
      <c r="N2" s="40"/>
      <c r="O2" s="40"/>
      <c r="Q2" s="132"/>
      <c r="R2" s="415"/>
      <c r="S2" s="416" t="e">
        <f aca="false">INDEX(PT_DIFFERENTIATION_NUM_NTAR,MATCH(A2,PT_DIFFERENTIATION_NTAR_ID,0))</f>
        <v>#N/A</v>
      </c>
      <c r="T2" s="417" t="s">
        <v>138</v>
      </c>
      <c r="U2" s="418"/>
      <c r="V2" s="419"/>
      <c r="W2" s="419"/>
      <c r="X2" s="419"/>
      <c r="Y2" s="419"/>
      <c r="Z2" s="419"/>
      <c r="AA2" s="419"/>
      <c r="AB2" s="419"/>
      <c r="AC2" s="419" t="e">
        <f aca="false">INDEX(PT_DIFFERENTIATION_NTAR,MATCH(A2,PT_DIFFERENTIATION_NTAR_ID,0))</f>
        <v>#N/A</v>
      </c>
      <c r="AD2" s="419"/>
      <c r="AE2" s="419"/>
      <c r="AF2" s="419"/>
      <c r="AG2" s="419"/>
      <c r="AH2" s="419"/>
      <c r="AI2" s="419"/>
      <c r="AJ2" s="419"/>
      <c r="AK2" s="42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8"/>
      <c r="AN2" s="118" t="str">
        <f aca="false">IF(T2="","",T2)</f>
        <v>Наименование тарифа</v>
      </c>
      <c r="AO2" s="118"/>
      <c r="AP2" s="118"/>
      <c r="AQ2" s="42" t="n">
        <v>0</v>
      </c>
    </row>
    <row r="3" customFormat="false" ht="23.25" hidden="true" customHeight="true" outlineLevel="0" collapsed="false">
      <c r="A3" s="412"/>
      <c r="B3" s="412"/>
      <c r="C3" s="412"/>
      <c r="D3" s="412"/>
      <c r="E3" s="413"/>
      <c r="F3" s="413" t="n">
        <v>1</v>
      </c>
      <c r="G3" s="412"/>
      <c r="H3" s="412"/>
      <c r="I3" s="412"/>
      <c r="J3" s="412"/>
      <c r="K3" s="412"/>
      <c r="L3" s="414"/>
      <c r="M3" s="40"/>
      <c r="N3" s="40"/>
      <c r="O3" s="40"/>
      <c r="P3" s="43"/>
      <c r="Q3" s="422"/>
      <c r="R3" s="423"/>
      <c r="S3" s="416" t="e">
        <f aca="false">INDEX(PT_DIFFERENTIATION_NUM_TER,MATCH(B3,PT_DIFFERENTIATION_TER_ID,0))</f>
        <v>#N/A</v>
      </c>
      <c r="T3" s="424" t="s">
        <v>410</v>
      </c>
      <c r="U3" s="418"/>
      <c r="V3" s="419"/>
      <c r="W3" s="419"/>
      <c r="X3" s="419"/>
      <c r="Y3" s="419"/>
      <c r="Z3" s="419"/>
      <c r="AA3" s="419"/>
      <c r="AB3" s="419"/>
      <c r="AC3" s="419" t="e">
        <f aca="false">INDEX(PT_DIFFERENTIATION_TER,MATCH(B3,PT_DIFFERENTIATION_TER_ID,0))</f>
        <v>#N/A</v>
      </c>
      <c r="AD3" s="419"/>
      <c r="AE3" s="419"/>
      <c r="AF3" s="419"/>
      <c r="AG3" s="419"/>
      <c r="AH3" s="419"/>
      <c r="AI3" s="419"/>
      <c r="AJ3" s="419"/>
      <c r="AK3" s="421" t="s">
        <v>411</v>
      </c>
      <c r="AM3" s="118"/>
      <c r="AN3" s="118" t="str">
        <f aca="false">IF(T3="","",T3)</f>
        <v>Территория действия тарифа</v>
      </c>
      <c r="AO3" s="118"/>
      <c r="AP3" s="118"/>
      <c r="AQ3" s="42" t="n">
        <v>0</v>
      </c>
    </row>
    <row r="4" customFormat="false" ht="23.25" hidden="true" customHeight="true" outlineLevel="0" collapsed="false">
      <c r="A4" s="412"/>
      <c r="B4" s="412"/>
      <c r="C4" s="412"/>
      <c r="D4" s="412"/>
      <c r="E4" s="413"/>
      <c r="F4" s="413"/>
      <c r="G4" s="413" t="n">
        <v>1</v>
      </c>
      <c r="H4" s="412"/>
      <c r="I4" s="412"/>
      <c r="J4" s="412"/>
      <c r="K4" s="412"/>
      <c r="L4" s="414"/>
      <c r="M4" s="40"/>
      <c r="N4" s="40"/>
      <c r="O4" s="40"/>
      <c r="P4" s="425"/>
      <c r="Q4" s="422"/>
      <c r="R4" s="423"/>
      <c r="S4" s="416" t="e">
        <f aca="false">INDEX(PT_DIFFERENTIATION_NUM_CS,MATCH(C4,PT_DIFFERENTIATION_CS_ID,0))</f>
        <v>#N/A</v>
      </c>
      <c r="T4" s="426" t="s">
        <v>529</v>
      </c>
      <c r="U4" s="418"/>
      <c r="V4" s="419"/>
      <c r="W4" s="419"/>
      <c r="X4" s="419"/>
      <c r="Y4" s="419"/>
      <c r="Z4" s="419"/>
      <c r="AA4" s="419"/>
      <c r="AB4" s="419"/>
      <c r="AC4" s="419" t="e">
        <f aca="false">INDEX(PT_DIFFERENTIATION_CS,MATCH(C4,PT_DIFFERENTIATION_CS_ID,0))</f>
        <v>#N/A</v>
      </c>
      <c r="AD4" s="419"/>
      <c r="AE4" s="419"/>
      <c r="AF4" s="419"/>
      <c r="AG4" s="419"/>
      <c r="AH4" s="419"/>
      <c r="AI4" s="419"/>
      <c r="AJ4" s="419"/>
      <c r="AK4" s="421" t="s">
        <v>530</v>
      </c>
      <c r="AM4" s="118"/>
      <c r="AN4" s="118" t="str">
        <f aca="false">IF(T4="","",T4)</f>
        <v>Наименование централизованной системы водоотведения</v>
      </c>
      <c r="AO4" s="118"/>
      <c r="AP4" s="118"/>
      <c r="AQ4" s="42" t="n">
        <v>0</v>
      </c>
    </row>
    <row r="5" customFormat="false" ht="23.25" hidden="true" customHeight="true" outlineLevel="0" collapsed="false">
      <c r="A5" s="412"/>
      <c r="B5" s="412"/>
      <c r="C5" s="412"/>
      <c r="D5" s="412"/>
      <c r="E5" s="413"/>
      <c r="F5" s="413"/>
      <c r="G5" s="413"/>
      <c r="H5" s="571"/>
      <c r="I5" s="428" t="e">
        <f aca="false">S4&amp;".1"</f>
        <v>#N/A</v>
      </c>
      <c r="J5" s="412"/>
      <c r="K5" s="412"/>
      <c r="L5" s="414"/>
      <c r="P5" s="121" t="n">
        <v>1</v>
      </c>
      <c r="Q5" s="121"/>
      <c r="R5" s="429"/>
      <c r="S5" s="416" t="e">
        <f aca="false">$I5</f>
        <v>#N/A</v>
      </c>
      <c r="T5" s="430" t="s">
        <v>496</v>
      </c>
      <c r="U5" s="418"/>
      <c r="V5" s="572"/>
      <c r="W5" s="572"/>
      <c r="X5" s="572"/>
      <c r="Y5" s="572"/>
      <c r="Z5" s="572"/>
      <c r="AA5" s="572"/>
      <c r="AB5" s="572"/>
      <c r="AC5" s="334"/>
      <c r="AD5" s="334"/>
      <c r="AE5" s="334"/>
      <c r="AF5" s="334"/>
      <c r="AG5" s="334"/>
      <c r="AH5" s="334"/>
      <c r="AI5" s="334"/>
      <c r="AJ5" s="334"/>
      <c r="AK5" s="421" t="s">
        <v>497</v>
      </c>
      <c r="AM5" s="118"/>
      <c r="AN5" s="118" t="str">
        <f aca="false">IF(T5="","",T5)</f>
        <v>Наименование признака дифференциации</v>
      </c>
      <c r="AO5" s="118"/>
      <c r="AP5" s="118"/>
      <c r="AQ5" s="42" t="n">
        <v>0</v>
      </c>
    </row>
    <row r="6" customFormat="false" ht="23.25" hidden="true" customHeight="true" outlineLevel="0" collapsed="false">
      <c r="A6" s="412"/>
      <c r="B6" s="412"/>
      <c r="C6" s="412"/>
      <c r="D6" s="412"/>
      <c r="E6" s="413"/>
      <c r="F6" s="413"/>
      <c r="G6" s="413"/>
      <c r="H6" s="413"/>
      <c r="I6" s="428"/>
      <c r="J6" s="428" t="e">
        <f aca="false">I5&amp;".1"</f>
        <v>#N/A</v>
      </c>
      <c r="K6" s="412"/>
      <c r="L6" s="414" t="s">
        <v>419</v>
      </c>
      <c r="P6" s="121"/>
      <c r="Q6" s="121" t="n">
        <v>1</v>
      </c>
      <c r="R6" s="432"/>
      <c r="S6" s="416" t="e">
        <f aca="false">$J6</f>
        <v>#N/A</v>
      </c>
      <c r="T6" s="433" t="s">
        <v>420</v>
      </c>
      <c r="U6" s="418"/>
      <c r="V6" s="431"/>
      <c r="W6" s="431"/>
      <c r="X6" s="431"/>
      <c r="Y6" s="431"/>
      <c r="Z6" s="431"/>
      <c r="AA6" s="431"/>
      <c r="AB6" s="431"/>
      <c r="AC6" s="431"/>
      <c r="AD6" s="431"/>
      <c r="AE6" s="431"/>
      <c r="AF6" s="431"/>
      <c r="AG6" s="431"/>
      <c r="AH6" s="431"/>
      <c r="AI6" s="431"/>
      <c r="AJ6" s="431"/>
      <c r="AK6" s="523" t="s">
        <v>498</v>
      </c>
      <c r="AM6" s="118"/>
      <c r="AN6" s="118" t="str">
        <f aca="false">IF(T6="","",T6)</f>
        <v>Группа потребителей</v>
      </c>
      <c r="AO6" s="118"/>
      <c r="AP6" s="118"/>
      <c r="AQ6" s="42" t="n">
        <v>0</v>
      </c>
    </row>
    <row r="7" customFormat="false" ht="23.25" hidden="true" customHeight="true" outlineLevel="0" collapsed="false">
      <c r="A7" s="412"/>
      <c r="B7" s="412"/>
      <c r="C7" s="412"/>
      <c r="D7" s="412"/>
      <c r="E7" s="413"/>
      <c r="F7" s="413"/>
      <c r="G7" s="413"/>
      <c r="H7" s="413"/>
      <c r="I7" s="428"/>
      <c r="J7" s="428"/>
      <c r="K7" s="428" t="e">
        <f aca="false">J6&amp;".1"</f>
        <v>#N/A</v>
      </c>
      <c r="L7" s="414"/>
      <c r="P7" s="121"/>
      <c r="Q7" s="121"/>
      <c r="R7" s="432" t="n">
        <v>1</v>
      </c>
      <c r="S7" s="416" t="e">
        <f aca="false">$K7</f>
        <v>#N/A</v>
      </c>
      <c r="T7" s="573"/>
      <c r="U7" s="418"/>
      <c r="V7" s="435"/>
      <c r="W7" s="435"/>
      <c r="X7" s="437"/>
      <c r="Y7" s="438"/>
      <c r="Z7" s="204" t="s">
        <v>61</v>
      </c>
      <c r="AA7" s="438"/>
      <c r="AB7" s="204" t="s">
        <v>61</v>
      </c>
      <c r="AC7" s="435"/>
      <c r="AD7" s="435"/>
      <c r="AE7" s="437"/>
      <c r="AF7" s="438"/>
      <c r="AG7" s="204" t="s">
        <v>61</v>
      </c>
      <c r="AH7" s="438"/>
      <c r="AI7" s="204" t="s">
        <v>61</v>
      </c>
      <c r="AJ7" s="574"/>
      <c r="AK7" s="57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7" t="e">
        <f aca="false">strcheckdate(V8:AJ8)</f>
        <v>#NAME?</v>
      </c>
      <c r="AM7" s="118"/>
      <c r="AN7" s="118" t="str">
        <f aca="false">IF(T7="","",T7)</f>
        <v/>
      </c>
      <c r="AO7" s="118"/>
      <c r="AP7" s="118"/>
      <c r="AQ7" s="42" t="n">
        <v>0</v>
      </c>
    </row>
    <row r="8" customFormat="false" ht="14.25" hidden="true" customHeight="true" outlineLevel="0" collapsed="false">
      <c r="A8" s="412"/>
      <c r="B8" s="412"/>
      <c r="C8" s="412"/>
      <c r="D8" s="412"/>
      <c r="E8" s="413"/>
      <c r="F8" s="413"/>
      <c r="G8" s="413"/>
      <c r="H8" s="413"/>
      <c r="I8" s="428"/>
      <c r="J8" s="428"/>
      <c r="K8" s="428"/>
      <c r="L8" s="414"/>
      <c r="P8" s="121"/>
      <c r="Q8" s="121"/>
      <c r="R8" s="432"/>
      <c r="S8" s="393"/>
      <c r="T8" s="418"/>
      <c r="U8" s="418"/>
      <c r="V8" s="436"/>
      <c r="W8" s="436"/>
      <c r="X8" s="440" t="str">
        <f aca="false">Y7&amp;"-"&amp;AA7</f>
        <v>-</v>
      </c>
      <c r="Y8" s="438"/>
      <c r="Z8" s="204"/>
      <c r="AA8" s="438"/>
      <c r="AB8" s="204"/>
      <c r="AC8" s="436"/>
      <c r="AD8" s="436"/>
      <c r="AE8" s="440" t="str">
        <f aca="false">AF7&amp;"-"&amp;AH7</f>
        <v>-</v>
      </c>
      <c r="AF8" s="438"/>
      <c r="AG8" s="204"/>
      <c r="AH8" s="438"/>
      <c r="AI8" s="204"/>
      <c r="AJ8" s="576"/>
      <c r="AK8" s="575"/>
      <c r="AM8" s="118"/>
      <c r="AN8" s="118" t="str">
        <f aca="false">IF(T8="","",T8)</f>
        <v/>
      </c>
      <c r="AO8" s="118"/>
      <c r="AP8" s="118"/>
      <c r="AQ8" s="42" t="n">
        <v>0</v>
      </c>
    </row>
    <row r="9" customFormat="false" ht="21" hidden="true" customHeight="true" outlineLevel="0" collapsed="false">
      <c r="A9" s="412"/>
      <c r="B9" s="412"/>
      <c r="C9" s="412"/>
      <c r="D9" s="412"/>
      <c r="E9" s="413"/>
      <c r="F9" s="413"/>
      <c r="G9" s="413"/>
      <c r="H9" s="413"/>
      <c r="I9" s="428"/>
      <c r="J9" s="428"/>
      <c r="K9" s="412"/>
      <c r="L9" s="414"/>
      <c r="P9" s="121"/>
      <c r="Q9" s="121"/>
      <c r="R9" s="429"/>
      <c r="S9" s="441"/>
      <c r="T9" s="444" t="s">
        <v>499</v>
      </c>
      <c r="U9" s="194"/>
      <c r="V9" s="194"/>
      <c r="W9" s="194"/>
      <c r="X9" s="194"/>
      <c r="Y9" s="194"/>
      <c r="Z9" s="194"/>
      <c r="AA9" s="194"/>
      <c r="AB9" s="194"/>
      <c r="AC9" s="194"/>
      <c r="AD9" s="194"/>
      <c r="AE9" s="194"/>
      <c r="AF9" s="194"/>
      <c r="AG9" s="194"/>
      <c r="AH9" s="194"/>
      <c r="AI9" s="194"/>
      <c r="AJ9" s="194"/>
      <c r="AK9" s="421" t="s">
        <v>500</v>
      </c>
      <c r="AM9" s="118"/>
      <c r="AN9" s="118" t="str">
        <f aca="false">IF(T9="","",T9)</f>
        <v>Добавить значение признака дифференциации</v>
      </c>
      <c r="AO9" s="118"/>
      <c r="AP9" s="118"/>
      <c r="AQ9" s="42" t="n">
        <v>0</v>
      </c>
    </row>
    <row r="10" customFormat="false" ht="21" hidden="true" customHeight="true" outlineLevel="0" collapsed="false">
      <c r="A10" s="412"/>
      <c r="B10" s="412"/>
      <c r="C10" s="412"/>
      <c r="D10" s="412"/>
      <c r="E10" s="413"/>
      <c r="F10" s="413"/>
      <c r="G10" s="413"/>
      <c r="H10" s="413"/>
      <c r="I10" s="428"/>
      <c r="J10" s="412"/>
      <c r="K10" s="412"/>
      <c r="L10" s="414"/>
      <c r="P10" s="121"/>
      <c r="Q10" s="121"/>
      <c r="R10" s="429"/>
      <c r="S10" s="441"/>
      <c r="T10" s="448" t="s">
        <v>425</v>
      </c>
      <c r="U10" s="194"/>
      <c r="V10" s="194"/>
      <c r="W10" s="194"/>
      <c r="X10" s="194"/>
      <c r="Y10" s="194"/>
      <c r="Z10" s="194"/>
      <c r="AA10" s="194"/>
      <c r="AB10" s="445"/>
      <c r="AC10" s="194"/>
      <c r="AD10" s="194"/>
      <c r="AE10" s="194"/>
      <c r="AF10" s="194"/>
      <c r="AG10" s="194"/>
      <c r="AH10" s="194"/>
      <c r="AI10" s="445"/>
      <c r="AJ10" s="194"/>
      <c r="AK10" s="577"/>
      <c r="AM10" s="118"/>
      <c r="AN10" s="118" t="str">
        <f aca="false">IF(T10="","",T10)</f>
        <v>Добавить группу потребителей</v>
      </c>
      <c r="AO10" s="118"/>
      <c r="AP10" s="118"/>
      <c r="AQ10" s="42" t="n">
        <v>0</v>
      </c>
    </row>
    <row r="11" customFormat="false" ht="21" hidden="true" customHeight="true" outlineLevel="0" collapsed="false">
      <c r="A11" s="412"/>
      <c r="B11" s="412"/>
      <c r="C11" s="412"/>
      <c r="D11" s="412"/>
      <c r="E11" s="413"/>
      <c r="F11" s="413"/>
      <c r="G11" s="413"/>
      <c r="H11" s="571"/>
      <c r="I11" s="412"/>
      <c r="J11" s="412"/>
      <c r="K11" s="412"/>
      <c r="L11" s="414"/>
      <c r="M11" s="40"/>
      <c r="N11" s="40"/>
      <c r="O11" s="45"/>
      <c r="P11" s="132"/>
      <c r="Q11" s="447"/>
      <c r="R11" s="415"/>
      <c r="S11" s="441"/>
      <c r="T11" s="578" t="s">
        <v>501</v>
      </c>
      <c r="U11" s="194"/>
      <c r="V11" s="194"/>
      <c r="W11" s="194"/>
      <c r="X11" s="194"/>
      <c r="Y11" s="194"/>
      <c r="Z11" s="194"/>
      <c r="AA11" s="194"/>
      <c r="AB11" s="445"/>
      <c r="AC11" s="194"/>
      <c r="AD11" s="194"/>
      <c r="AE11" s="194"/>
      <c r="AF11" s="194"/>
      <c r="AG11" s="194"/>
      <c r="AH11" s="194"/>
      <c r="AI11" s="445"/>
      <c r="AJ11" s="194"/>
      <c r="AK11" s="446"/>
      <c r="AM11" s="118"/>
      <c r="AN11" s="118" t="str">
        <f aca="false">IF(T11="","",T11)</f>
        <v>Добавить наименование признака дифференциации</v>
      </c>
      <c r="AO11" s="118"/>
      <c r="AP11" s="118"/>
      <c r="AQ11" s="42" t="n">
        <v>0</v>
      </c>
    </row>
    <row r="12" s="47" customFormat="true" ht="14.25" hidden="true" customHeight="true" outlineLevel="0" collapsed="false">
      <c r="A12" s="122"/>
      <c r="B12" s="122"/>
      <c r="C12" s="122"/>
      <c r="D12" s="122"/>
      <c r="E12" s="413"/>
      <c r="F12" s="413"/>
      <c r="G12" s="122"/>
      <c r="H12" s="122"/>
      <c r="I12" s="122"/>
      <c r="J12" s="122"/>
      <c r="K12" s="122"/>
      <c r="L12" s="192"/>
      <c r="M12" s="453"/>
      <c r="N12" s="453"/>
      <c r="P12" s="156"/>
      <c r="Q12" s="449"/>
      <c r="R12" s="156"/>
      <c r="S12" s="454"/>
      <c r="T12" s="457" t="s">
        <v>428</v>
      </c>
      <c r="U12" s="456"/>
      <c r="V12" s="456"/>
      <c r="W12" s="456"/>
      <c r="X12" s="456"/>
      <c r="Y12" s="456"/>
      <c r="Z12" s="456"/>
      <c r="AA12" s="456"/>
      <c r="AB12" s="456"/>
      <c r="AC12" s="456"/>
      <c r="AD12" s="456"/>
      <c r="AE12" s="456"/>
      <c r="AF12" s="456"/>
      <c r="AG12" s="456"/>
      <c r="AH12" s="456"/>
      <c r="AI12" s="456"/>
      <c r="AJ12" s="456"/>
      <c r="AK12" s="456"/>
      <c r="AM12" s="118"/>
      <c r="AN12" s="118" t="str">
        <f aca="false">IF(T12="","",T12)</f>
        <v>Добавить централизованную систему для дифференциации</v>
      </c>
      <c r="AO12" s="118"/>
      <c r="AP12" s="118"/>
      <c r="AQ12" s="47" t="n">
        <v>0</v>
      </c>
    </row>
    <row r="13" s="47" customFormat="true" ht="14.25" hidden="true" customHeight="true" outlineLevel="0" collapsed="false">
      <c r="A13" s="122"/>
      <c r="B13" s="122"/>
      <c r="C13" s="122"/>
      <c r="D13" s="122"/>
      <c r="E13" s="413"/>
      <c r="F13" s="122"/>
      <c r="G13" s="122"/>
      <c r="H13" s="122"/>
      <c r="I13" s="122"/>
      <c r="J13" s="122"/>
      <c r="K13" s="122"/>
      <c r="L13" s="192"/>
      <c r="M13" s="453"/>
      <c r="N13" s="453"/>
      <c r="P13" s="156"/>
      <c r="Q13" s="449"/>
      <c r="R13" s="156"/>
      <c r="S13" s="454"/>
      <c r="T13" s="457" t="s">
        <v>429</v>
      </c>
      <c r="U13" s="456"/>
      <c r="V13" s="456"/>
      <c r="W13" s="456"/>
      <c r="X13" s="456"/>
      <c r="Y13" s="456"/>
      <c r="Z13" s="456"/>
      <c r="AA13" s="456"/>
      <c r="AB13" s="456"/>
      <c r="AC13" s="456"/>
      <c r="AD13" s="456"/>
      <c r="AE13" s="456"/>
      <c r="AF13" s="456"/>
      <c r="AG13" s="456"/>
      <c r="AH13" s="456"/>
      <c r="AI13" s="456"/>
      <c r="AJ13" s="456"/>
      <c r="AK13" s="456"/>
      <c r="AM13" s="118"/>
      <c r="AN13" s="118" t="str">
        <f aca="false">IF(T13="","",T13)</f>
        <v>Добавить территорию для дифференциации</v>
      </c>
      <c r="AO13" s="118"/>
      <c r="AP13" s="118"/>
      <c r="AQ13" s="47" t="n">
        <v>0</v>
      </c>
    </row>
    <row r="14" customFormat="false" ht="14.25" hidden="true" customHeight="true" outlineLevel="0" collapsed="false">
      <c r="AQ14" s="42" t="n">
        <v>0</v>
      </c>
    </row>
    <row r="15" customFormat="false" ht="14.25" hidden="true" customHeight="true" outlineLevel="0" collapsed="false">
      <c r="AC15" s="458"/>
      <c r="AD15" s="458"/>
      <c r="AE15" s="459"/>
      <c r="AF15" s="460"/>
      <c r="AG15" s="461" t="s">
        <v>61</v>
      </c>
      <c r="AH15" s="460"/>
      <c r="AI15" s="461" t="s">
        <v>61</v>
      </c>
      <c r="AQ15" s="42" t="n">
        <v>0</v>
      </c>
    </row>
    <row r="16" customFormat="false" ht="14.25" hidden="true" customHeight="true" outlineLevel="0" collapsed="false">
      <c r="AC16" s="458"/>
      <c r="AD16" s="458"/>
      <c r="AE16" s="440" t="str">
        <f aca="false">AF15&amp;"-"&amp;AH15</f>
        <v>-</v>
      </c>
      <c r="AF16" s="460"/>
      <c r="AG16" s="460"/>
      <c r="AH16" s="460"/>
      <c r="AI16" s="460"/>
      <c r="AQ16" s="42" t="n">
        <v>0</v>
      </c>
    </row>
    <row r="17" customFormat="false" ht="14.25" hidden="true" customHeight="true" outlineLevel="0" collapsed="false">
      <c r="AQ17" s="42" t="n">
        <v>0</v>
      </c>
    </row>
    <row r="18" s="45" customFormat="true" ht="22.5" hidden="true" customHeight="true" outlineLevel="0" collapsed="false">
      <c r="L18" s="44"/>
      <c r="M18" s="51"/>
      <c r="N18" s="51"/>
      <c r="O18" s="462" t="s">
        <v>430</v>
      </c>
      <c r="P18" s="51"/>
      <c r="Q18" s="463"/>
      <c r="R18" s="463"/>
      <c r="S18" s="40"/>
      <c r="Y18" s="462"/>
      <c r="AA18" s="462"/>
      <c r="AF18" s="462"/>
      <c r="AH18" s="462"/>
      <c r="AL18" s="47"/>
      <c r="AM18" s="47"/>
      <c r="AN18" s="47"/>
      <c r="AO18" s="47"/>
      <c r="AP18" s="47"/>
      <c r="AQ18" s="45" t="n">
        <v>0</v>
      </c>
    </row>
    <row r="19" s="45" customFormat="true" ht="14.25" hidden="true" customHeight="true" outlineLevel="0" collapsed="false">
      <c r="L19" s="44"/>
      <c r="M19" s="51"/>
      <c r="N19" s="51"/>
      <c r="O19" s="51"/>
      <c r="P19" s="51"/>
      <c r="Q19" s="463"/>
      <c r="R19" s="463"/>
      <c r="S19" s="40"/>
      <c r="AL19" s="47"/>
      <c r="AM19" s="47"/>
      <c r="AN19" s="47"/>
      <c r="AO19" s="47"/>
      <c r="AP19" s="47"/>
      <c r="AQ19" s="45" t="n">
        <v>0</v>
      </c>
    </row>
    <row r="20" s="45" customFormat="true" ht="12" hidden="true" customHeight="true" outlineLevel="0" collapsed="false">
      <c r="L20" s="44"/>
      <c r="M20" s="51"/>
      <c r="N20" s="51"/>
      <c r="O20" s="414" t="s">
        <v>431</v>
      </c>
      <c r="P20" s="51"/>
      <c r="Q20" s="579"/>
      <c r="R20" s="579"/>
      <c r="S20" s="40"/>
      <c r="T20" s="45" t="s">
        <v>432</v>
      </c>
      <c r="Z20" s="140" t="s">
        <v>433</v>
      </c>
      <c r="AB20" s="140" t="s">
        <v>434</v>
      </c>
      <c r="AC20" s="45" t="s">
        <v>432</v>
      </c>
      <c r="AG20" s="140" t="s">
        <v>435</v>
      </c>
      <c r="AI20" s="140" t="s">
        <v>434</v>
      </c>
      <c r="AQ20" s="45" t="n">
        <v>0</v>
      </c>
    </row>
    <row r="21" customFormat="false" ht="14.25" hidden="true" customHeight="true" outlineLevel="0" collapsed="false">
      <c r="O21" s="414"/>
      <c r="AQ21" s="42" t="n">
        <v>0</v>
      </c>
    </row>
    <row r="22" customFormat="false" ht="14.25" hidden="true" customHeight="true" outlineLevel="0" collapsed="false">
      <c r="O22" s="414"/>
      <c r="AQ22" s="42" t="n">
        <v>0</v>
      </c>
    </row>
    <row r="23" customFormat="false" ht="14.25" hidden="false" customHeight="true" outlineLevel="0" collapsed="false">
      <c r="Q23" s="464"/>
      <c r="R23" s="464"/>
      <c r="S23" s="465"/>
      <c r="T23" s="80"/>
      <c r="U23" s="80"/>
      <c r="AQ23" s="42" t="n">
        <v>14</v>
      </c>
    </row>
    <row r="24" customFormat="false" ht="14.25" hidden="false" customHeight="true" outlineLevel="0" collapsed="false">
      <c r="Q24" s="464"/>
      <c r="R24" s="464"/>
      <c r="S24" s="220"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64"/>
      <c r="R25" s="464"/>
      <c r="S25" s="261" t="str">
        <f aca="false">IF(org=0,"Не определено",org)</f>
        <v>ООО "Газпром теплоэнерго Ярославль"</v>
      </c>
      <c r="T25" s="261"/>
      <c r="U25" s="261"/>
      <c r="V25" s="261"/>
      <c r="W25" s="261"/>
      <c r="X25" s="261"/>
      <c r="Y25" s="261"/>
      <c r="Z25" s="261"/>
      <c r="AA25" s="261"/>
      <c r="AB25" s="261"/>
      <c r="AC25" s="261"/>
      <c r="AD25" s="261"/>
      <c r="AE25" s="261"/>
      <c r="AF25" s="261"/>
      <c r="AG25" s="261"/>
      <c r="AH25" s="261"/>
      <c r="AI25" s="222"/>
      <c r="AQ25" s="42" t="n">
        <v>14</v>
      </c>
    </row>
    <row r="26" customFormat="false" ht="14.25" hidden="true" customHeight="true" outlineLevel="0" collapsed="false">
      <c r="Q26" s="464"/>
      <c r="R26" s="464"/>
      <c r="S26" s="465"/>
      <c r="T26" s="80"/>
      <c r="U26" s="80"/>
      <c r="V26" s="466"/>
      <c r="W26" s="466"/>
      <c r="X26" s="466"/>
      <c r="Y26" s="466"/>
      <c r="Z26" s="466"/>
      <c r="AA26" s="466"/>
      <c r="AB26" s="466"/>
      <c r="AC26" s="466"/>
      <c r="AD26" s="466"/>
      <c r="AE26" s="466"/>
      <c r="AF26" s="466"/>
      <c r="AG26" s="466"/>
      <c r="AH26" s="466"/>
      <c r="AI26" s="466"/>
      <c r="AQ26" s="42" t="n">
        <v>0</v>
      </c>
    </row>
    <row r="27" s="175" customFormat="true" ht="25.5" hidden="true" customHeight="true" outlineLevel="0" collapsed="false">
      <c r="A27" s="140"/>
      <c r="B27" s="140"/>
      <c r="C27" s="140"/>
      <c r="D27" s="140"/>
      <c r="E27" s="140"/>
      <c r="F27" s="140"/>
      <c r="G27" s="140"/>
      <c r="H27" s="140"/>
      <c r="I27" s="140"/>
      <c r="J27" s="140"/>
      <c r="K27" s="140"/>
      <c r="L27" s="414"/>
      <c r="M27" s="140"/>
      <c r="N27" s="140"/>
      <c r="O27" s="140"/>
      <c r="S27" s="467" t="s">
        <v>40</v>
      </c>
      <c r="T27" s="467"/>
      <c r="U27" s="468"/>
      <c r="V27" s="469" t="str">
        <f aca="false">IF(TITLE_NAME_OR_PR_CHANGE="",IF(TITLE_NAME_OR_PR="","",TITLE_NAME_OR_PR),TITLE_NAME_OR_PR_CHANGE)</f>
        <v/>
      </c>
      <c r="W27" s="469"/>
      <c r="X27" s="469"/>
      <c r="Y27" s="469"/>
      <c r="Z27" s="469"/>
      <c r="AA27" s="469"/>
      <c r="AB27" s="42"/>
      <c r="AC27" s="469" t="str">
        <f aca="false">IF(TITLE_NAME_OR_PR_CHANGE="",IF(TITLE_NAME_OR_PR="","",TITLE_NAME_OR_PR),TITLE_NAME_OR_PR_CHANGE)</f>
        <v/>
      </c>
      <c r="AD27" s="469"/>
      <c r="AE27" s="469"/>
      <c r="AF27" s="469"/>
      <c r="AG27" s="469"/>
      <c r="AH27" s="469"/>
      <c r="AI27" s="42"/>
      <c r="AJ27" s="42"/>
      <c r="AK27" s="470"/>
      <c r="AL27" s="118"/>
      <c r="AM27" s="118"/>
      <c r="AN27" s="118"/>
      <c r="AO27" s="118"/>
      <c r="AP27" s="118"/>
      <c r="AQ27" s="175" t="n">
        <v>0</v>
      </c>
    </row>
    <row r="28" s="175" customFormat="true" ht="18.75" hidden="true" customHeight="true" outlineLevel="0" collapsed="false">
      <c r="A28" s="140"/>
      <c r="B28" s="140"/>
      <c r="C28" s="140"/>
      <c r="D28" s="140"/>
      <c r="E28" s="140"/>
      <c r="F28" s="140"/>
      <c r="G28" s="140"/>
      <c r="H28" s="140"/>
      <c r="I28" s="140"/>
      <c r="J28" s="140"/>
      <c r="K28" s="140"/>
      <c r="L28" s="414"/>
      <c r="M28" s="140"/>
      <c r="N28" s="140"/>
      <c r="O28" s="140"/>
      <c r="S28" s="467" t="s">
        <v>436</v>
      </c>
      <c r="T28" s="467"/>
      <c r="U28" s="468"/>
      <c r="V28" s="471" t="str">
        <f aca="false">IF(TITLE_DATE_PR_CHANGE="",IF(TITLE_DATE_PR="","",TITLE_DATE_PR),TITLE_DATE_PR_CHANGE)</f>
        <v/>
      </c>
      <c r="W28" s="471"/>
      <c r="X28" s="471"/>
      <c r="Y28" s="471"/>
      <c r="Z28" s="471"/>
      <c r="AA28" s="471"/>
      <c r="AB28" s="42"/>
      <c r="AC28" s="471" t="str">
        <f aca="false">IF(TITLE_DATE_PR_CHANGE="",IF(TITLE_DATE_PR="","",TITLE_DATE_PR),TITLE_DATE_PR_CHANGE)</f>
        <v/>
      </c>
      <c r="AD28" s="471"/>
      <c r="AE28" s="471"/>
      <c r="AF28" s="471"/>
      <c r="AG28" s="471"/>
      <c r="AH28" s="471"/>
      <c r="AI28" s="42"/>
      <c r="AJ28" s="42"/>
      <c r="AK28" s="470"/>
      <c r="AL28" s="118"/>
      <c r="AM28" s="118"/>
      <c r="AN28" s="118"/>
      <c r="AO28" s="118"/>
      <c r="AP28" s="118"/>
      <c r="AQ28" s="175" t="n">
        <v>0</v>
      </c>
    </row>
    <row r="29" s="175" customFormat="true" ht="18.75" hidden="true" customHeight="true" outlineLevel="0" collapsed="false">
      <c r="A29" s="140"/>
      <c r="B29" s="140"/>
      <c r="C29" s="140"/>
      <c r="D29" s="140"/>
      <c r="E29" s="140"/>
      <c r="F29" s="140"/>
      <c r="G29" s="140"/>
      <c r="H29" s="140"/>
      <c r="I29" s="140"/>
      <c r="J29" s="140"/>
      <c r="K29" s="140"/>
      <c r="L29" s="414"/>
      <c r="M29" s="140"/>
      <c r="N29" s="140"/>
      <c r="O29" s="140"/>
      <c r="S29" s="467" t="s">
        <v>437</v>
      </c>
      <c r="T29" s="467"/>
      <c r="U29" s="468"/>
      <c r="V29" s="469" t="str">
        <f aca="false">IF(TITLE_NUMBER_PR_CHANGE="",IF(TITLE_NUMBER_PR="","",TITLE_NUMBER_PR),TITLE_NUMBER_PR_CHANGE)</f>
        <v/>
      </c>
      <c r="W29" s="469"/>
      <c r="X29" s="469"/>
      <c r="Y29" s="469"/>
      <c r="Z29" s="469"/>
      <c r="AA29" s="469"/>
      <c r="AB29" s="42"/>
      <c r="AC29" s="469" t="str">
        <f aca="false">IF(TITLE_NUMBER_PR_CHANGE="",IF(TITLE_NUMBER_PR="","",TITLE_NUMBER_PR),TITLE_NUMBER_PR_CHANGE)</f>
        <v/>
      </c>
      <c r="AD29" s="469"/>
      <c r="AE29" s="469"/>
      <c r="AF29" s="469"/>
      <c r="AG29" s="469"/>
      <c r="AH29" s="469"/>
      <c r="AI29" s="42"/>
      <c r="AJ29" s="42"/>
      <c r="AK29" s="470"/>
      <c r="AL29" s="118"/>
      <c r="AM29" s="118"/>
      <c r="AN29" s="118"/>
      <c r="AO29" s="118"/>
      <c r="AP29" s="118"/>
      <c r="AQ29" s="175" t="n">
        <v>0</v>
      </c>
    </row>
    <row r="30" s="175" customFormat="true" ht="18.75" hidden="true" customHeight="true" outlineLevel="0" collapsed="false">
      <c r="A30" s="140"/>
      <c r="B30" s="140"/>
      <c r="C30" s="140"/>
      <c r="D30" s="140"/>
      <c r="E30" s="140"/>
      <c r="F30" s="140"/>
      <c r="G30" s="140"/>
      <c r="H30" s="140"/>
      <c r="I30" s="140"/>
      <c r="J30" s="140"/>
      <c r="K30" s="140"/>
      <c r="L30" s="414"/>
      <c r="M30" s="140"/>
      <c r="N30" s="140"/>
      <c r="O30" s="140"/>
      <c r="S30" s="467" t="s">
        <v>41</v>
      </c>
      <c r="T30" s="467"/>
      <c r="U30" s="468"/>
      <c r="V30" s="469" t="str">
        <f aca="false">IF(TITLE_IST_PUB_CHANGE="",IF(TITLE_IST_PUB="","",TITLE_IST_PUB),TITLE_IST_PUB_CHANGE)</f>
        <v/>
      </c>
      <c r="W30" s="469"/>
      <c r="X30" s="469"/>
      <c r="Y30" s="469"/>
      <c r="Z30" s="469"/>
      <c r="AA30" s="469"/>
      <c r="AB30" s="42"/>
      <c r="AC30" s="469" t="str">
        <f aca="false">IF(TITLE_IST_PUB_CHANGE="",IF(TITLE_IST_PUB="","",TITLE_IST_PUB),TITLE_IST_PUB_CHANGE)</f>
        <v/>
      </c>
      <c r="AD30" s="469"/>
      <c r="AE30" s="469"/>
      <c r="AF30" s="469"/>
      <c r="AG30" s="469"/>
      <c r="AH30" s="469"/>
      <c r="AI30" s="42"/>
      <c r="AJ30" s="42"/>
      <c r="AK30" s="470"/>
      <c r="AL30" s="118"/>
      <c r="AM30" s="118"/>
      <c r="AN30" s="118"/>
      <c r="AO30" s="118"/>
      <c r="AP30" s="118"/>
      <c r="AQ30" s="175" t="n">
        <v>0</v>
      </c>
    </row>
    <row r="31" customFormat="false" ht="14.25" hidden="true" customHeight="true" outlineLevel="0" collapsed="false">
      <c r="Q31" s="464"/>
      <c r="R31" s="464"/>
      <c r="S31" s="465"/>
      <c r="T31" s="80"/>
      <c r="U31" s="80"/>
      <c r="V31" s="466"/>
      <c r="W31" s="466"/>
      <c r="X31" s="466"/>
      <c r="Y31" s="466"/>
      <c r="Z31" s="466"/>
      <c r="AA31" s="466"/>
      <c r="AB31" s="466"/>
      <c r="AC31" s="466"/>
      <c r="AD31" s="466"/>
      <c r="AE31" s="466"/>
      <c r="AF31" s="466"/>
      <c r="AG31" s="466"/>
      <c r="AH31" s="466"/>
      <c r="AI31" s="466"/>
      <c r="AQ31" s="42" t="n">
        <v>0</v>
      </c>
    </row>
    <row r="32" s="175" customFormat="true" ht="18.75" hidden="true" customHeight="true" outlineLevel="0" collapsed="false">
      <c r="A32" s="140"/>
      <c r="B32" s="140"/>
      <c r="C32" s="140"/>
      <c r="D32" s="140"/>
      <c r="E32" s="140"/>
      <c r="F32" s="140"/>
      <c r="G32" s="140"/>
      <c r="H32" s="140"/>
      <c r="I32" s="140"/>
      <c r="J32" s="140"/>
      <c r="K32" s="140"/>
      <c r="L32" s="414"/>
      <c r="M32" s="140"/>
      <c r="N32" s="140"/>
      <c r="O32" s="140"/>
      <c r="S32" s="467" t="s">
        <v>438</v>
      </c>
      <c r="T32" s="467"/>
      <c r="U32" s="468"/>
      <c r="V32" s="471" t="str">
        <f aca="false">IF(TITLE_DATE_PR_CHANGE="",IF(TITLE_DATE_PR="","",TITLE_DATE_PR),TITLE_DATE_PR_CHANGE)</f>
        <v/>
      </c>
      <c r="W32" s="471"/>
      <c r="X32" s="471"/>
      <c r="Y32" s="471"/>
      <c r="Z32" s="471"/>
      <c r="AA32" s="471"/>
      <c r="AB32" s="42"/>
      <c r="AC32" s="471" t="str">
        <f aca="false">IF(TITLE_DATE_PR_CHANGE="",IF(TITLE_DATE_PR="","",TITLE_DATE_PR),TITLE_DATE_PR_CHANGE)</f>
        <v/>
      </c>
      <c r="AD32" s="471"/>
      <c r="AE32" s="471"/>
      <c r="AF32" s="471"/>
      <c r="AG32" s="471"/>
      <c r="AH32" s="471"/>
      <c r="AI32" s="42"/>
      <c r="AJ32" s="42"/>
      <c r="AK32" s="470"/>
      <c r="AL32" s="118"/>
      <c r="AM32" s="118"/>
      <c r="AN32" s="118"/>
      <c r="AO32" s="118"/>
      <c r="AP32" s="118"/>
      <c r="AQ32" s="175" t="n">
        <v>0</v>
      </c>
    </row>
    <row r="33" s="175" customFormat="true" ht="18.75" hidden="true" customHeight="true" outlineLevel="0" collapsed="false">
      <c r="A33" s="140"/>
      <c r="B33" s="140"/>
      <c r="C33" s="140"/>
      <c r="D33" s="140"/>
      <c r="E33" s="140"/>
      <c r="F33" s="140"/>
      <c r="G33" s="140"/>
      <c r="H33" s="140"/>
      <c r="I33" s="140"/>
      <c r="J33" s="140"/>
      <c r="K33" s="140"/>
      <c r="L33" s="414"/>
      <c r="M33" s="140"/>
      <c r="N33" s="140"/>
      <c r="O33" s="140"/>
      <c r="S33" s="467" t="s">
        <v>439</v>
      </c>
      <c r="T33" s="467"/>
      <c r="U33" s="468"/>
      <c r="V33" s="469" t="str">
        <f aca="false">IF(TITLE_NUMBER_PR_CHANGE="",IF(TITLE_NUMBER_PR="","",TITLE_NUMBER_PR),TITLE_NUMBER_PR_CHANGE)</f>
        <v/>
      </c>
      <c r="W33" s="469"/>
      <c r="X33" s="469"/>
      <c r="Y33" s="469"/>
      <c r="Z33" s="469"/>
      <c r="AA33" s="469"/>
      <c r="AB33" s="42"/>
      <c r="AC33" s="469" t="str">
        <f aca="false">IF(TITLE_NUMBER_PR_CHANGE="",IF(TITLE_NUMBER_PR="","",TITLE_NUMBER_PR),TITLE_NUMBER_PR_CHANGE)</f>
        <v/>
      </c>
      <c r="AD33" s="469"/>
      <c r="AE33" s="469"/>
      <c r="AF33" s="469"/>
      <c r="AG33" s="469"/>
      <c r="AH33" s="469"/>
      <c r="AI33" s="42"/>
      <c r="AJ33" s="42"/>
      <c r="AK33" s="470"/>
      <c r="AL33" s="118"/>
      <c r="AM33" s="118"/>
      <c r="AN33" s="118"/>
      <c r="AO33" s="118"/>
      <c r="AP33" s="118"/>
      <c r="AQ33" s="175" t="n">
        <v>0</v>
      </c>
    </row>
    <row r="34" s="175" customFormat="true" ht="0.75" hidden="false" customHeight="true" outlineLevel="0" collapsed="false">
      <c r="A34" s="140"/>
      <c r="B34" s="140"/>
      <c r="C34" s="140"/>
      <c r="D34" s="140"/>
      <c r="E34" s="140"/>
      <c r="F34" s="140"/>
      <c r="G34" s="140"/>
      <c r="H34" s="140"/>
      <c r="I34" s="140"/>
      <c r="J34" s="140"/>
      <c r="K34" s="140"/>
      <c r="L34" s="414"/>
      <c r="M34" s="140"/>
      <c r="N34" s="140"/>
      <c r="O34" s="140"/>
      <c r="S34" s="42"/>
      <c r="T34" s="42"/>
      <c r="U34" s="128"/>
      <c r="V34" s="42"/>
      <c r="W34" s="42"/>
      <c r="X34" s="42"/>
      <c r="Y34" s="42"/>
      <c r="Z34" s="42"/>
      <c r="AA34" s="42"/>
      <c r="AB34" s="47" t="s">
        <v>440</v>
      </c>
      <c r="AC34" s="42"/>
      <c r="AD34" s="42"/>
      <c r="AE34" s="42"/>
      <c r="AF34" s="42"/>
      <c r="AG34" s="42"/>
      <c r="AH34" s="42"/>
      <c r="AI34" s="47" t="s">
        <v>440</v>
      </c>
      <c r="AL34" s="118"/>
      <c r="AM34" s="118"/>
      <c r="AN34" s="118"/>
      <c r="AO34" s="118"/>
      <c r="AP34" s="118"/>
      <c r="AQ34" s="175" t="n">
        <v>1</v>
      </c>
    </row>
    <row r="35" customFormat="false" ht="14.25" hidden="false" customHeight="true" outlineLevel="0" collapsed="false">
      <c r="Q35" s="464"/>
      <c r="R35" s="464"/>
      <c r="S35" s="465"/>
      <c r="T35" s="80"/>
      <c r="U35" s="472"/>
      <c r="V35" s="473"/>
      <c r="W35" s="473"/>
      <c r="X35" s="473"/>
      <c r="Y35" s="473"/>
      <c r="Z35" s="473"/>
      <c r="AA35" s="473"/>
      <c r="AB35" s="473"/>
      <c r="AC35" s="473"/>
      <c r="AD35" s="473"/>
      <c r="AE35" s="473"/>
      <c r="AF35" s="473"/>
      <c r="AG35" s="473"/>
      <c r="AH35" s="473"/>
      <c r="AI35" s="473"/>
      <c r="AQ35" s="42" t="n">
        <v>14</v>
      </c>
    </row>
    <row r="36" customFormat="false" ht="14.25" hidden="false" customHeight="true" outlineLevel="0" collapsed="false">
      <c r="Q36" s="464"/>
      <c r="R36" s="464"/>
      <c r="S36" s="134" t="s">
        <v>313</v>
      </c>
      <c r="T36" s="134"/>
      <c r="U36" s="134"/>
      <c r="V36" s="134"/>
      <c r="W36" s="134"/>
      <c r="X36" s="134"/>
      <c r="Y36" s="134"/>
      <c r="Z36" s="134"/>
      <c r="AA36" s="134"/>
      <c r="AB36" s="134"/>
      <c r="AC36" s="134"/>
      <c r="AD36" s="134"/>
      <c r="AE36" s="134"/>
      <c r="AF36" s="134"/>
      <c r="AG36" s="134"/>
      <c r="AH36" s="134"/>
      <c r="AI36" s="134"/>
      <c r="AJ36" s="134"/>
      <c r="AK36" s="134" t="s">
        <v>314</v>
      </c>
      <c r="AQ36" s="42" t="n">
        <v>14</v>
      </c>
    </row>
    <row r="37" customFormat="false" ht="14.25" hidden="false" customHeight="true" outlineLevel="0" collapsed="false">
      <c r="Q37" s="464"/>
      <c r="R37" s="464"/>
      <c r="S37" s="474" t="s">
        <v>87</v>
      </c>
      <c r="T37" s="391" t="s">
        <v>441</v>
      </c>
      <c r="U37" s="475"/>
      <c r="V37" s="296" t="s">
        <v>442</v>
      </c>
      <c r="W37" s="296"/>
      <c r="X37" s="296"/>
      <c r="Y37" s="296"/>
      <c r="Z37" s="296"/>
      <c r="AA37" s="296"/>
      <c r="AB37" s="391" t="s">
        <v>443</v>
      </c>
      <c r="AC37" s="296" t="s">
        <v>442</v>
      </c>
      <c r="AD37" s="296"/>
      <c r="AE37" s="296"/>
      <c r="AF37" s="296"/>
      <c r="AG37" s="296"/>
      <c r="AH37" s="296"/>
      <c r="AI37" s="391" t="s">
        <v>444</v>
      </c>
      <c r="AJ37" s="476" t="s">
        <v>445</v>
      </c>
      <c r="AK37" s="134"/>
      <c r="AQ37" s="42" t="n">
        <v>14</v>
      </c>
    </row>
    <row r="38" customFormat="false" ht="35.25" hidden="false" customHeight="true" outlineLevel="0" collapsed="false">
      <c r="Q38" s="464"/>
      <c r="R38" s="464"/>
      <c r="S38" s="474"/>
      <c r="T38" s="391"/>
      <c r="U38" s="477"/>
      <c r="V38" s="262" t="s">
        <v>502</v>
      </c>
      <c r="W38" s="134" t="s">
        <v>448</v>
      </c>
      <c r="X38" s="134"/>
      <c r="Y38" s="134" t="s">
        <v>449</v>
      </c>
      <c r="Z38" s="134"/>
      <c r="AA38" s="134"/>
      <c r="AB38" s="391"/>
      <c r="AC38" s="262" t="s">
        <v>502</v>
      </c>
      <c r="AD38" s="134" t="s">
        <v>448</v>
      </c>
      <c r="AE38" s="134"/>
      <c r="AF38" s="134" t="s">
        <v>449</v>
      </c>
      <c r="AG38" s="134"/>
      <c r="AH38" s="134"/>
      <c r="AI38" s="391"/>
      <c r="AJ38" s="476"/>
      <c r="AK38" s="134"/>
      <c r="AQ38" s="42" t="n">
        <v>34</v>
      </c>
    </row>
    <row r="39" customFormat="false" ht="90" hidden="false" customHeight="true" outlineLevel="0" collapsed="false">
      <c r="A39" s="140"/>
      <c r="B39" s="140" t="s">
        <v>150</v>
      </c>
      <c r="C39" s="140" t="s">
        <v>151</v>
      </c>
      <c r="D39" s="140" t="s">
        <v>152</v>
      </c>
      <c r="E39" s="414" t="s">
        <v>450</v>
      </c>
      <c r="F39" s="414" t="s">
        <v>451</v>
      </c>
      <c r="G39" s="414" t="s">
        <v>452</v>
      </c>
      <c r="H39" s="414"/>
      <c r="I39" s="414" t="s">
        <v>503</v>
      </c>
      <c r="J39" s="414" t="s">
        <v>455</v>
      </c>
      <c r="K39" s="414" t="s">
        <v>504</v>
      </c>
      <c r="L39" s="414" t="s">
        <v>431</v>
      </c>
      <c r="Q39" s="464"/>
      <c r="R39" s="464"/>
      <c r="S39" s="474"/>
      <c r="T39" s="391"/>
      <c r="U39" s="478"/>
      <c r="V39" s="262" t="s">
        <v>531</v>
      </c>
      <c r="W39" s="185" t="s">
        <v>532</v>
      </c>
      <c r="X39" s="185" t="s">
        <v>507</v>
      </c>
      <c r="Y39" s="185" t="s">
        <v>459</v>
      </c>
      <c r="Z39" s="185" t="s">
        <v>460</v>
      </c>
      <c r="AA39" s="185"/>
      <c r="AB39" s="391"/>
      <c r="AC39" s="262" t="s">
        <v>531</v>
      </c>
      <c r="AD39" s="185" t="s">
        <v>532</v>
      </c>
      <c r="AE39" s="185" t="s">
        <v>507</v>
      </c>
      <c r="AF39" s="185" t="s">
        <v>459</v>
      </c>
      <c r="AG39" s="185" t="s">
        <v>460</v>
      </c>
      <c r="AH39" s="185"/>
      <c r="AI39" s="391"/>
      <c r="AJ39" s="476"/>
      <c r="AK39" s="134"/>
      <c r="AQ39" s="42" t="n">
        <v>86</v>
      </c>
    </row>
    <row r="40" s="120" customFormat="true" ht="12.8" hidden="false" customHeight="false" outlineLevel="0" collapsed="false">
      <c r="A40" s="140"/>
      <c r="B40" s="140"/>
      <c r="C40" s="140"/>
      <c r="D40" s="140"/>
      <c r="E40" s="140"/>
      <c r="F40" s="140"/>
      <c r="G40" s="140"/>
      <c r="H40" s="140"/>
      <c r="I40" s="140"/>
      <c r="J40" s="140"/>
      <c r="K40" s="140"/>
      <c r="L40" s="414"/>
      <c r="M40" s="51"/>
      <c r="N40" s="51"/>
      <c r="O40" s="51"/>
      <c r="P40" s="479"/>
      <c r="Q40" s="480"/>
      <c r="R40" s="481" t="n">
        <v>1</v>
      </c>
      <c r="S40" s="482" t="s">
        <v>120</v>
      </c>
      <c r="T40" s="483" t="s">
        <v>102</v>
      </c>
      <c r="U40" s="484" t="str">
        <f aca="true">OFFSET(U40,0,-1)</f>
        <v>2</v>
      </c>
      <c r="V40" s="485" t="n">
        <f aca="true">OFFSET(V40,0,-1)+1</f>
        <v>3</v>
      </c>
      <c r="W40" s="485" t="n">
        <f aca="true">OFFSET(W40,0,-1)+1</f>
        <v>4</v>
      </c>
      <c r="X40" s="485" t="n">
        <f aca="true">OFFSET(X40,0,-1)+1</f>
        <v>5</v>
      </c>
      <c r="Y40" s="485" t="n">
        <f aca="true">OFFSET(Y40,0,-1)+1</f>
        <v>6</v>
      </c>
      <c r="Z40" s="485" t="n">
        <f aca="true">OFFSET(Z40,0,-1)+1</f>
        <v>7</v>
      </c>
      <c r="AA40" s="485"/>
      <c r="AB40" s="485" t="n">
        <f aca="true">OFFSET(AB40,0,-2)+1</f>
        <v>8</v>
      </c>
      <c r="AC40" s="485" t="n">
        <f aca="true">OFFSET(AC40,0,-1)+1</f>
        <v>9</v>
      </c>
      <c r="AD40" s="485" t="n">
        <f aca="true">OFFSET(AD40,0,-1)+1</f>
        <v>10</v>
      </c>
      <c r="AE40" s="485" t="n">
        <f aca="true">OFFSET(AE40,0,-1)+1</f>
        <v>11</v>
      </c>
      <c r="AF40" s="485" t="n">
        <f aca="true">OFFSET(AF40,0,-1)+1</f>
        <v>12</v>
      </c>
      <c r="AG40" s="485" t="n">
        <f aca="true">OFFSET(AG40,0,-1)+1</f>
        <v>13</v>
      </c>
      <c r="AH40" s="485"/>
      <c r="AI40" s="485" t="n">
        <f aca="true">OFFSET(AI40,0,-2)+1</f>
        <v>14</v>
      </c>
      <c r="AJ40" s="484" t="n">
        <f aca="true">OFFSET(AJ40,0,-1)</f>
        <v>14</v>
      </c>
      <c r="AK40" s="485" t="n">
        <f aca="true">OFFSET(AK40,0,-1)+1</f>
        <v>15</v>
      </c>
      <c r="AL40" s="47"/>
      <c r="AM40" s="47"/>
      <c r="AN40" s="47"/>
      <c r="AO40" s="47"/>
      <c r="AP40" s="47"/>
      <c r="AQ40" s="120" t="n">
        <v>0</v>
      </c>
    </row>
    <row r="41" customFormat="false" ht="24" hidden="false" customHeight="true" outlineLevel="0" collapsed="false">
      <c r="A41" s="412" t="s">
        <v>284</v>
      </c>
      <c r="B41" s="412"/>
      <c r="C41" s="412"/>
      <c r="D41" s="412"/>
      <c r="E41" s="413" t="n">
        <v>1</v>
      </c>
      <c r="F41" s="412"/>
      <c r="G41" s="412"/>
      <c r="H41" s="412"/>
      <c r="I41" s="412"/>
      <c r="J41" s="412"/>
      <c r="K41" s="412"/>
      <c r="L41" s="414"/>
      <c r="M41" s="40"/>
      <c r="N41" s="40"/>
      <c r="O41" s="40"/>
      <c r="Q41" s="132"/>
      <c r="R41" s="415"/>
      <c r="S41" s="416" t="n">
        <f aca="false">INDEX(PT_DIFFERENTIATION_NUM_NTAR,MATCH(A41,PT_DIFFERENTIATION_NTAR_ID,0))</f>
        <v>0</v>
      </c>
      <c r="T41" s="417" t="s">
        <v>138</v>
      </c>
      <c r="U41" s="418"/>
      <c r="V41" s="419"/>
      <c r="W41" s="419"/>
      <c r="X41" s="419"/>
      <c r="Y41" s="419"/>
      <c r="Z41" s="419"/>
      <c r="AA41" s="419"/>
      <c r="AB41" s="419"/>
      <c r="AC41" s="419" t="str">
        <f aca="false">INDEX(PT_DIFFERENTIATION_NTAR,MATCH(A41,PT_DIFFERENTIATION_NTAR_ID,0))</f>
        <v/>
      </c>
      <c r="AD41" s="419"/>
      <c r="AE41" s="419"/>
      <c r="AF41" s="419"/>
      <c r="AG41" s="419"/>
      <c r="AH41" s="419"/>
      <c r="AI41" s="419"/>
      <c r="AJ41" s="419"/>
      <c r="AK41" s="42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8"/>
      <c r="AN41" s="118" t="str">
        <f aca="false">IF(T41="","",T41)</f>
        <v>Наименование тарифа</v>
      </c>
      <c r="AO41" s="118"/>
      <c r="AP41" s="118"/>
      <c r="AQ41" s="42" t="n">
        <v>23</v>
      </c>
    </row>
    <row r="42" customFormat="false" ht="24" hidden="false" customHeight="true" outlineLevel="0" collapsed="false">
      <c r="A42" s="412" t="s">
        <v>284</v>
      </c>
      <c r="B42" s="412" t="s">
        <v>285</v>
      </c>
      <c r="C42" s="412"/>
      <c r="D42" s="412"/>
      <c r="E42" s="413"/>
      <c r="F42" s="413" t="n">
        <v>1</v>
      </c>
      <c r="G42" s="412"/>
      <c r="H42" s="412"/>
      <c r="I42" s="412"/>
      <c r="J42" s="412"/>
      <c r="K42" s="412"/>
      <c r="L42" s="414"/>
      <c r="M42" s="40"/>
      <c r="N42" s="40"/>
      <c r="O42" s="40"/>
      <c r="P42" s="43"/>
      <c r="Q42" s="422"/>
      <c r="R42" s="423"/>
      <c r="S42" s="416" t="str">
        <f aca="false">INDEX(PT_DIFFERENTIATION_NUM_TER,MATCH(B42,PT_DIFFERENTIATION_TER_ID,0))</f>
        <v>.</v>
      </c>
      <c r="T42" s="424" t="s">
        <v>410</v>
      </c>
      <c r="U42" s="418"/>
      <c r="V42" s="419"/>
      <c r="W42" s="419"/>
      <c r="X42" s="419"/>
      <c r="Y42" s="419"/>
      <c r="Z42" s="419"/>
      <c r="AA42" s="419"/>
      <c r="AB42" s="419"/>
      <c r="AC42" s="419" t="str">
        <f aca="false">INDEX(PT_DIFFERENTIATION_TER,MATCH(B42,PT_DIFFERENTIATION_TER_ID,0))</f>
        <v/>
      </c>
      <c r="AD42" s="419"/>
      <c r="AE42" s="419"/>
      <c r="AF42" s="419"/>
      <c r="AG42" s="419"/>
      <c r="AH42" s="419"/>
      <c r="AI42" s="419"/>
      <c r="AJ42" s="419"/>
      <c r="AK42" s="421" t="s">
        <v>411</v>
      </c>
      <c r="AM42" s="118"/>
      <c r="AN42" s="118" t="str">
        <f aca="false">IF(T42="","",T42)</f>
        <v>Территория действия тарифа</v>
      </c>
      <c r="AO42" s="118"/>
      <c r="AP42" s="118"/>
      <c r="AQ42" s="42" t="n">
        <v>23</v>
      </c>
    </row>
    <row r="43" customFormat="false" ht="24" hidden="false" customHeight="true" outlineLevel="0" collapsed="false">
      <c r="A43" s="412" t="s">
        <v>284</v>
      </c>
      <c r="B43" s="412" t="s">
        <v>285</v>
      </c>
      <c r="C43" s="412" t="s">
        <v>286</v>
      </c>
      <c r="D43" s="412"/>
      <c r="E43" s="413"/>
      <c r="F43" s="413"/>
      <c r="G43" s="413" t="n">
        <v>1</v>
      </c>
      <c r="H43" s="412"/>
      <c r="I43" s="412"/>
      <c r="J43" s="412"/>
      <c r="K43" s="412"/>
      <c r="L43" s="414"/>
      <c r="M43" s="40"/>
      <c r="N43" s="40"/>
      <c r="O43" s="40"/>
      <c r="P43" s="425"/>
      <c r="Q43" s="422"/>
      <c r="R43" s="423"/>
      <c r="S43" s="416" t="str">
        <f aca="false">INDEX(PT_DIFFERENTIATION_NUM_CS,MATCH(C43,PT_DIFFERENTIATION_CS_ID,0))</f>
        <v>..</v>
      </c>
      <c r="T43" s="426" t="s">
        <v>529</v>
      </c>
      <c r="U43" s="418"/>
      <c r="V43" s="419"/>
      <c r="W43" s="419"/>
      <c r="X43" s="419"/>
      <c r="Y43" s="419"/>
      <c r="Z43" s="419"/>
      <c r="AA43" s="419"/>
      <c r="AB43" s="419"/>
      <c r="AC43" s="419" t="str">
        <f aca="false">INDEX(PT_DIFFERENTIATION_CS,MATCH(C43,PT_DIFFERENTIATION_CS_ID,0))</f>
        <v/>
      </c>
      <c r="AD43" s="419"/>
      <c r="AE43" s="419"/>
      <c r="AF43" s="419"/>
      <c r="AG43" s="419"/>
      <c r="AH43" s="419"/>
      <c r="AI43" s="419"/>
      <c r="AJ43" s="419"/>
      <c r="AK43" s="421" t="s">
        <v>530</v>
      </c>
      <c r="AM43" s="118"/>
      <c r="AN43" s="118" t="str">
        <f aca="false">IF(T43="","",T43)</f>
        <v>Наименование централизованной системы водоотведения</v>
      </c>
      <c r="AO43" s="118"/>
      <c r="AP43" s="118"/>
      <c r="AQ43" s="42" t="n">
        <v>23</v>
      </c>
    </row>
    <row r="44" customFormat="false" ht="24" hidden="false" customHeight="true" outlineLevel="0" collapsed="false">
      <c r="A44" s="412" t="s">
        <v>284</v>
      </c>
      <c r="B44" s="412" t="s">
        <v>285</v>
      </c>
      <c r="C44" s="412" t="s">
        <v>286</v>
      </c>
      <c r="D44" s="412" t="s">
        <v>534</v>
      </c>
      <c r="E44" s="413"/>
      <c r="F44" s="413"/>
      <c r="G44" s="413"/>
      <c r="H44" s="571"/>
      <c r="I44" s="428" t="str">
        <f aca="false">S43&amp;".1"</f>
        <v>...1</v>
      </c>
      <c r="J44" s="412"/>
      <c r="K44" s="412"/>
      <c r="L44" s="414"/>
      <c r="P44" s="121" t="n">
        <v>1</v>
      </c>
      <c r="Q44" s="121"/>
      <c r="R44" s="429"/>
      <c r="S44" s="416" t="str">
        <f aca="false">$I44</f>
        <v>...1</v>
      </c>
      <c r="T44" s="430" t="s">
        <v>496</v>
      </c>
      <c r="U44" s="418"/>
      <c r="V44" s="572"/>
      <c r="W44" s="572"/>
      <c r="X44" s="572"/>
      <c r="Y44" s="572"/>
      <c r="Z44" s="572"/>
      <c r="AA44" s="572"/>
      <c r="AB44" s="572"/>
      <c r="AC44" s="334"/>
      <c r="AD44" s="334"/>
      <c r="AE44" s="334"/>
      <c r="AF44" s="334"/>
      <c r="AG44" s="334"/>
      <c r="AH44" s="334"/>
      <c r="AI44" s="334"/>
      <c r="AJ44" s="334"/>
      <c r="AK44" s="421" t="s">
        <v>497</v>
      </c>
      <c r="AM44" s="118"/>
      <c r="AN44" s="118" t="str">
        <f aca="false">IF(T44="","",T44)</f>
        <v>Наименование признака дифференциации</v>
      </c>
      <c r="AO44" s="118"/>
      <c r="AP44" s="118"/>
      <c r="AQ44" s="42" t="n">
        <v>23</v>
      </c>
    </row>
    <row r="45" customFormat="false" ht="24" hidden="false" customHeight="true" outlineLevel="0" collapsed="false">
      <c r="A45" s="412" t="s">
        <v>284</v>
      </c>
      <c r="B45" s="412" t="s">
        <v>285</v>
      </c>
      <c r="C45" s="412" t="s">
        <v>286</v>
      </c>
      <c r="D45" s="412" t="s">
        <v>534</v>
      </c>
      <c r="E45" s="413"/>
      <c r="F45" s="413"/>
      <c r="G45" s="413"/>
      <c r="H45" s="413"/>
      <c r="I45" s="428"/>
      <c r="J45" s="428" t="str">
        <f aca="false">I44&amp;".1"</f>
        <v>...1.1</v>
      </c>
      <c r="K45" s="412"/>
      <c r="L45" s="414" t="s">
        <v>419</v>
      </c>
      <c r="P45" s="121"/>
      <c r="Q45" s="121" t="n">
        <v>1</v>
      </c>
      <c r="R45" s="432"/>
      <c r="S45" s="416" t="str">
        <f aca="false">$J45</f>
        <v>...1.1</v>
      </c>
      <c r="T45" s="433" t="s">
        <v>420</v>
      </c>
      <c r="U45" s="418"/>
      <c r="V45" s="431"/>
      <c r="W45" s="431"/>
      <c r="X45" s="431"/>
      <c r="Y45" s="431"/>
      <c r="Z45" s="431"/>
      <c r="AA45" s="431"/>
      <c r="AB45" s="431"/>
      <c r="AC45" s="431"/>
      <c r="AD45" s="431"/>
      <c r="AE45" s="431"/>
      <c r="AF45" s="431"/>
      <c r="AG45" s="431"/>
      <c r="AH45" s="431"/>
      <c r="AI45" s="431"/>
      <c r="AJ45" s="431"/>
      <c r="AK45" s="523" t="s">
        <v>498</v>
      </c>
      <c r="AM45" s="118"/>
      <c r="AN45" s="118" t="str">
        <f aca="false">IF(T45="","",T45)</f>
        <v>Группа потребителей</v>
      </c>
      <c r="AO45" s="118"/>
      <c r="AP45" s="118"/>
      <c r="AQ45" s="42" t="n">
        <v>23</v>
      </c>
    </row>
    <row r="46" customFormat="false" ht="24" hidden="false" customHeight="true" outlineLevel="0" collapsed="false">
      <c r="A46" s="412" t="s">
        <v>284</v>
      </c>
      <c r="B46" s="412" t="s">
        <v>285</v>
      </c>
      <c r="C46" s="412" t="s">
        <v>286</v>
      </c>
      <c r="D46" s="412" t="s">
        <v>534</v>
      </c>
      <c r="E46" s="413"/>
      <c r="F46" s="413"/>
      <c r="G46" s="413"/>
      <c r="H46" s="413"/>
      <c r="I46" s="428"/>
      <c r="J46" s="428"/>
      <c r="K46" s="428" t="str">
        <f aca="false">J45&amp;".1"</f>
        <v>...1.1.1</v>
      </c>
      <c r="L46" s="414"/>
      <c r="P46" s="121"/>
      <c r="Q46" s="121"/>
      <c r="R46" s="432" t="n">
        <v>1</v>
      </c>
      <c r="S46" s="416" t="str">
        <f aca="false">$K46</f>
        <v>...1.1.1</v>
      </c>
      <c r="T46" s="573"/>
      <c r="U46" s="418"/>
      <c r="V46" s="458"/>
      <c r="W46" s="458"/>
      <c r="X46" s="459"/>
      <c r="Y46" s="460"/>
      <c r="Z46" s="461" t="s">
        <v>61</v>
      </c>
      <c r="AA46" s="460"/>
      <c r="AB46" s="461" t="s">
        <v>61</v>
      </c>
      <c r="AC46" s="435"/>
      <c r="AD46" s="435"/>
      <c r="AE46" s="437"/>
      <c r="AF46" s="438"/>
      <c r="AG46" s="204" t="s">
        <v>61</v>
      </c>
      <c r="AH46" s="438"/>
      <c r="AI46" s="204" t="s">
        <v>19</v>
      </c>
      <c r="AJ46" s="574"/>
      <c r="AK46" s="57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7" t="e">
        <f aca="false">strcheckdate(V47:AJ47)</f>
        <v>#NAME?</v>
      </c>
      <c r="AM46" s="118"/>
      <c r="AN46" s="118" t="str">
        <f aca="false">IF(T46="","",T46)</f>
        <v/>
      </c>
      <c r="AO46" s="118"/>
      <c r="AP46" s="118"/>
      <c r="AQ46" s="42" t="n">
        <v>23</v>
      </c>
    </row>
    <row r="47" customFormat="false" ht="12.8" hidden="false" customHeight="false" outlineLevel="0" collapsed="false">
      <c r="A47" s="412" t="s">
        <v>284</v>
      </c>
      <c r="B47" s="412" t="s">
        <v>285</v>
      </c>
      <c r="C47" s="412" t="s">
        <v>286</v>
      </c>
      <c r="D47" s="412" t="s">
        <v>534</v>
      </c>
      <c r="E47" s="413"/>
      <c r="F47" s="413"/>
      <c r="G47" s="413"/>
      <c r="H47" s="413"/>
      <c r="I47" s="428"/>
      <c r="J47" s="428"/>
      <c r="K47" s="428"/>
      <c r="L47" s="414"/>
      <c r="P47" s="121"/>
      <c r="Q47" s="121"/>
      <c r="R47" s="432"/>
      <c r="S47" s="393"/>
      <c r="T47" s="418"/>
      <c r="U47" s="418"/>
      <c r="V47" s="458"/>
      <c r="W47" s="458"/>
      <c r="X47" s="440" t="str">
        <f aca="false">Y46&amp;"-"&amp;AA46</f>
        <v>-</v>
      </c>
      <c r="Y47" s="460"/>
      <c r="Z47" s="460"/>
      <c r="AA47" s="460"/>
      <c r="AB47" s="460"/>
      <c r="AC47" s="436"/>
      <c r="AD47" s="436"/>
      <c r="AE47" s="440" t="str">
        <f aca="false">AF46&amp;"-"&amp;AH46</f>
        <v>-</v>
      </c>
      <c r="AF47" s="438"/>
      <c r="AG47" s="204"/>
      <c r="AH47" s="438"/>
      <c r="AI47" s="204"/>
      <c r="AJ47" s="576"/>
      <c r="AK47" s="575"/>
      <c r="AM47" s="118"/>
      <c r="AN47" s="118" t="str">
        <f aca="false">IF(T47="","",T47)</f>
        <v/>
      </c>
      <c r="AO47" s="118"/>
      <c r="AP47" s="118"/>
      <c r="AQ47" s="42" t="n">
        <v>0</v>
      </c>
    </row>
    <row r="48" customFormat="false" ht="21" hidden="false" customHeight="true" outlineLevel="0" collapsed="false">
      <c r="A48" s="412" t="s">
        <v>284</v>
      </c>
      <c r="B48" s="412" t="s">
        <v>285</v>
      </c>
      <c r="C48" s="412" t="s">
        <v>286</v>
      </c>
      <c r="D48" s="412" t="s">
        <v>534</v>
      </c>
      <c r="E48" s="413"/>
      <c r="F48" s="413"/>
      <c r="G48" s="413"/>
      <c r="H48" s="413"/>
      <c r="I48" s="428"/>
      <c r="J48" s="428"/>
      <c r="K48" s="412"/>
      <c r="L48" s="414"/>
      <c r="P48" s="121"/>
      <c r="Q48" s="121"/>
      <c r="R48" s="429"/>
      <c r="S48" s="441"/>
      <c r="T48" s="444" t="s">
        <v>499</v>
      </c>
      <c r="U48" s="194"/>
      <c r="V48" s="194"/>
      <c r="W48" s="194"/>
      <c r="X48" s="194"/>
      <c r="Y48" s="194"/>
      <c r="Z48" s="194"/>
      <c r="AA48" s="194"/>
      <c r="AB48" s="194"/>
      <c r="AC48" s="194"/>
      <c r="AD48" s="194"/>
      <c r="AE48" s="194"/>
      <c r="AF48" s="194"/>
      <c r="AG48" s="194"/>
      <c r="AH48" s="194"/>
      <c r="AI48" s="194"/>
      <c r="AJ48" s="194"/>
      <c r="AK48" s="421" t="s">
        <v>500</v>
      </c>
      <c r="AM48" s="118"/>
      <c r="AN48" s="118" t="str">
        <f aca="false">IF(T48="","",T48)</f>
        <v>Добавить значение признака дифференциации</v>
      </c>
      <c r="AO48" s="118"/>
      <c r="AP48" s="118"/>
      <c r="AQ48" s="42" t="n">
        <v>20</v>
      </c>
    </row>
    <row r="49" customFormat="false" ht="21.75" hidden="false" customHeight="true" outlineLevel="0" collapsed="false">
      <c r="A49" s="412" t="s">
        <v>284</v>
      </c>
      <c r="B49" s="412" t="s">
        <v>285</v>
      </c>
      <c r="C49" s="412" t="s">
        <v>286</v>
      </c>
      <c r="D49" s="412" t="s">
        <v>534</v>
      </c>
      <c r="E49" s="413"/>
      <c r="F49" s="413"/>
      <c r="G49" s="413"/>
      <c r="H49" s="413"/>
      <c r="I49" s="428"/>
      <c r="J49" s="412"/>
      <c r="K49" s="412"/>
      <c r="L49" s="414"/>
      <c r="P49" s="121"/>
      <c r="Q49" s="121"/>
      <c r="R49" s="429"/>
      <c r="S49" s="441"/>
      <c r="T49" s="448" t="s">
        <v>425</v>
      </c>
      <c r="U49" s="194"/>
      <c r="V49" s="194"/>
      <c r="W49" s="194"/>
      <c r="X49" s="194"/>
      <c r="Y49" s="194"/>
      <c r="Z49" s="194"/>
      <c r="AA49" s="194"/>
      <c r="AB49" s="445"/>
      <c r="AC49" s="194"/>
      <c r="AD49" s="194"/>
      <c r="AE49" s="194"/>
      <c r="AF49" s="194"/>
      <c r="AG49" s="194"/>
      <c r="AH49" s="194"/>
      <c r="AI49" s="445"/>
      <c r="AJ49" s="194"/>
      <c r="AK49" s="577"/>
      <c r="AM49" s="118"/>
      <c r="AN49" s="118" t="str">
        <f aca="false">IF(T49="","",T49)</f>
        <v>Добавить группу потребителей</v>
      </c>
      <c r="AO49" s="118"/>
      <c r="AP49" s="118"/>
      <c r="AQ49" s="42" t="n">
        <v>21</v>
      </c>
    </row>
    <row r="50" customFormat="false" ht="21.75" hidden="false" customHeight="true" outlineLevel="0" collapsed="false">
      <c r="A50" s="412" t="s">
        <v>284</v>
      </c>
      <c r="B50" s="412" t="s">
        <v>285</v>
      </c>
      <c r="C50" s="412" t="s">
        <v>286</v>
      </c>
      <c r="D50" s="412" t="s">
        <v>534</v>
      </c>
      <c r="E50" s="413"/>
      <c r="F50" s="413"/>
      <c r="G50" s="413"/>
      <c r="H50" s="571"/>
      <c r="I50" s="412"/>
      <c r="J50" s="412"/>
      <c r="K50" s="412"/>
      <c r="L50" s="414"/>
      <c r="M50" s="40"/>
      <c r="N50" s="40"/>
      <c r="O50" s="45"/>
      <c r="P50" s="132"/>
      <c r="Q50" s="447"/>
      <c r="R50" s="415"/>
      <c r="S50" s="441"/>
      <c r="T50" s="578" t="s">
        <v>501</v>
      </c>
      <c r="U50" s="194"/>
      <c r="V50" s="194"/>
      <c r="W50" s="194"/>
      <c r="X50" s="194"/>
      <c r="Y50" s="194"/>
      <c r="Z50" s="194"/>
      <c r="AA50" s="194"/>
      <c r="AB50" s="445"/>
      <c r="AC50" s="194"/>
      <c r="AD50" s="194"/>
      <c r="AE50" s="194"/>
      <c r="AF50" s="194"/>
      <c r="AG50" s="194"/>
      <c r="AH50" s="194"/>
      <c r="AI50" s="445"/>
      <c r="AJ50" s="194"/>
      <c r="AK50" s="446"/>
      <c r="AM50" s="118"/>
      <c r="AN50" s="118" t="str">
        <f aca="false">IF(T50="","",T50)</f>
        <v>Добавить наименование признака дифференциации</v>
      </c>
      <c r="AO50" s="118"/>
      <c r="AP50" s="118"/>
      <c r="AQ50" s="42" t="n">
        <v>21</v>
      </c>
    </row>
    <row r="51" s="47" customFormat="true" ht="12.8" hidden="false" customHeight="false" outlineLevel="0" collapsed="false">
      <c r="A51" s="122" t="s">
        <v>284</v>
      </c>
      <c r="B51" s="122" t="s">
        <v>285</v>
      </c>
      <c r="C51" s="122"/>
      <c r="D51" s="122"/>
      <c r="E51" s="413"/>
      <c r="F51" s="413"/>
      <c r="G51" s="122"/>
      <c r="H51" s="122"/>
      <c r="I51" s="122"/>
      <c r="J51" s="122"/>
      <c r="K51" s="122"/>
      <c r="L51" s="192"/>
      <c r="M51" s="453"/>
      <c r="N51" s="453"/>
      <c r="P51" s="156"/>
      <c r="Q51" s="449"/>
      <c r="R51" s="156"/>
      <c r="S51" s="454"/>
      <c r="T51" s="457" t="s">
        <v>428</v>
      </c>
      <c r="U51" s="456"/>
      <c r="V51" s="456"/>
      <c r="W51" s="456"/>
      <c r="X51" s="456"/>
      <c r="Y51" s="456"/>
      <c r="Z51" s="456"/>
      <c r="AA51" s="456"/>
      <c r="AB51" s="456"/>
      <c r="AC51" s="456"/>
      <c r="AD51" s="456"/>
      <c r="AE51" s="456"/>
      <c r="AF51" s="456"/>
      <c r="AG51" s="456"/>
      <c r="AH51" s="456"/>
      <c r="AI51" s="456"/>
      <c r="AJ51" s="456"/>
      <c r="AK51" s="456"/>
      <c r="AM51" s="118"/>
      <c r="AN51" s="118" t="str">
        <f aca="false">IF(T51="","",T51)</f>
        <v>Добавить централизованную систему для дифференциации</v>
      </c>
      <c r="AO51" s="118"/>
      <c r="AP51" s="118"/>
      <c r="AQ51" s="47" t="n">
        <v>0</v>
      </c>
    </row>
    <row r="52" s="47" customFormat="true" ht="12.8" hidden="false" customHeight="false" outlineLevel="0" collapsed="false">
      <c r="A52" s="122" t="s">
        <v>284</v>
      </c>
      <c r="B52" s="122"/>
      <c r="C52" s="122"/>
      <c r="D52" s="122"/>
      <c r="E52" s="413"/>
      <c r="F52" s="122"/>
      <c r="G52" s="122"/>
      <c r="H52" s="122"/>
      <c r="I52" s="122"/>
      <c r="J52" s="122"/>
      <c r="K52" s="122"/>
      <c r="L52" s="192"/>
      <c r="M52" s="453"/>
      <c r="N52" s="453"/>
      <c r="P52" s="156"/>
      <c r="Q52" s="449"/>
      <c r="R52" s="156"/>
      <c r="S52" s="454"/>
      <c r="T52" s="457" t="s">
        <v>429</v>
      </c>
      <c r="U52" s="456"/>
      <c r="V52" s="456"/>
      <c r="W52" s="456"/>
      <c r="X52" s="456"/>
      <c r="Y52" s="456"/>
      <c r="Z52" s="456"/>
      <c r="AA52" s="456"/>
      <c r="AB52" s="456"/>
      <c r="AC52" s="456"/>
      <c r="AD52" s="456"/>
      <c r="AE52" s="456"/>
      <c r="AF52" s="456"/>
      <c r="AG52" s="456"/>
      <c r="AH52" s="456"/>
      <c r="AI52" s="456"/>
      <c r="AJ52" s="456"/>
      <c r="AK52" s="456"/>
      <c r="AM52" s="118"/>
      <c r="AN52" s="118" t="str">
        <f aca="false">IF(T52="","",T52)</f>
        <v>Добавить территорию для дифференциации</v>
      </c>
      <c r="AO52" s="118"/>
      <c r="AP52" s="118"/>
      <c r="AQ52" s="47" t="n">
        <v>0</v>
      </c>
    </row>
    <row r="53" s="47" customFormat="true" ht="12.8" hidden="false" customHeight="false" outlineLevel="0" collapsed="false">
      <c r="A53" s="122"/>
      <c r="B53" s="122"/>
      <c r="C53" s="122"/>
      <c r="D53" s="122"/>
      <c r="E53" s="122"/>
      <c r="F53" s="122"/>
      <c r="G53" s="122"/>
      <c r="H53" s="122"/>
      <c r="I53" s="122"/>
      <c r="J53" s="122"/>
      <c r="K53" s="122"/>
      <c r="L53" s="192"/>
      <c r="M53" s="453"/>
      <c r="N53" s="453"/>
      <c r="P53" s="156"/>
      <c r="Q53" s="449"/>
      <c r="R53" s="156"/>
      <c r="S53" s="454"/>
      <c r="T53" s="457" t="s">
        <v>461</v>
      </c>
      <c r="U53" s="456"/>
      <c r="V53" s="456"/>
      <c r="W53" s="456"/>
      <c r="X53" s="456"/>
      <c r="Y53" s="456"/>
      <c r="Z53" s="456"/>
      <c r="AA53" s="456"/>
      <c r="AB53" s="456"/>
      <c r="AC53" s="456"/>
      <c r="AD53" s="456"/>
      <c r="AE53" s="456"/>
      <c r="AF53" s="456"/>
      <c r="AG53" s="456"/>
      <c r="AH53" s="456"/>
      <c r="AI53" s="456"/>
      <c r="AJ53" s="456"/>
      <c r="AK53" s="456"/>
      <c r="AM53" s="118"/>
      <c r="AN53" s="118" t="str">
        <f aca="false">IF(T53="","",T53)</f>
        <v>Добавить наименование тарифа</v>
      </c>
      <c r="AO53" s="118"/>
      <c r="AP53" s="118"/>
      <c r="AQ53" s="47"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09"/>
      <c r="T55" s="488"/>
      <c r="U55" s="488"/>
      <c r="V55" s="488"/>
      <c r="W55" s="488"/>
      <c r="X55" s="488"/>
      <c r="Y55" s="488"/>
      <c r="Z55" s="488"/>
      <c r="AA55" s="488"/>
      <c r="AB55" s="488"/>
      <c r="AC55" s="488"/>
      <c r="AD55" s="488"/>
      <c r="AE55" s="488"/>
      <c r="AF55" s="488"/>
      <c r="AG55" s="488"/>
      <c r="AH55" s="488"/>
      <c r="AI55" s="488"/>
      <c r="AJ55" s="488"/>
      <c r="AK55" s="488"/>
      <c r="AQ55" s="42" t="n">
        <v>14</v>
      </c>
    </row>
    <row r="56" customFormat="false" ht="14.25" hidden="false" customHeight="true" outlineLevel="0" collapsed="false">
      <c r="O56" s="45"/>
      <c r="AQ56" s="42" t="n">
        <v>14</v>
      </c>
    </row>
    <row r="57" customFormat="false" ht="14.25" hidden="false" customHeight="true" outlineLevel="0" collapsed="false">
      <c r="O57" s="45"/>
      <c r="S57" s="409"/>
      <c r="T57" s="488"/>
      <c r="U57" s="488"/>
      <c r="V57" s="488"/>
      <c r="W57" s="488"/>
      <c r="X57" s="488"/>
      <c r="Y57" s="488"/>
      <c r="Z57" s="488"/>
      <c r="AA57" s="488"/>
      <c r="AB57" s="488"/>
      <c r="AC57" s="488"/>
      <c r="AD57" s="488"/>
      <c r="AE57" s="488"/>
      <c r="AF57" s="488"/>
      <c r="AG57" s="488"/>
      <c r="AH57" s="488"/>
      <c r="AI57" s="488"/>
      <c r="AJ57" s="488"/>
      <c r="AK57" s="488"/>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44" t="n">
        <v>0</v>
      </c>
      <c r="M58" s="51" t="n">
        <v>0</v>
      </c>
      <c r="N58" s="51" t="n">
        <v>0</v>
      </c>
      <c r="O58" s="51" t="n">
        <v>0</v>
      </c>
      <c r="P58" s="50" t="n">
        <v>3</v>
      </c>
      <c r="Q58" s="411" t="n">
        <v>3</v>
      </c>
      <c r="R58" s="411" t="n">
        <v>3</v>
      </c>
      <c r="S58" s="75"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7" t="n">
        <v>10</v>
      </c>
      <c r="AM58" s="47" t="n">
        <v>10</v>
      </c>
      <c r="AN58" s="47" t="n">
        <v>10</v>
      </c>
      <c r="AO58" s="47" t="n">
        <v>10</v>
      </c>
      <c r="AP58" s="47"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true" outlineLevel="0" max="16" min="16" style="51" width="3.71"/>
    <col collapsed="false" customWidth="true" hidden="true" outlineLevel="0" max="17" min="17" style="463" width="3.71"/>
    <col collapsed="false" customWidth="true" hidden="false" outlineLevel="0" max="18" min="18" style="411" width="3"/>
    <col collapsed="false" customWidth="true" hidden="false" outlineLevel="0" max="19" min="19" style="75" width="12"/>
    <col collapsed="false" customWidth="true" hidden="false" outlineLevel="0" max="20" min="20" style="42" width="31"/>
    <col collapsed="false" customWidth="true" hidden="false" outlineLevel="0" max="21" min="21" style="42" width="0.14"/>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7"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12"/>
      <c r="B2" s="412"/>
      <c r="C2" s="412"/>
      <c r="D2" s="412"/>
      <c r="E2" s="413" t="n">
        <v>1</v>
      </c>
      <c r="F2" s="412"/>
      <c r="G2" s="412"/>
      <c r="H2" s="412"/>
      <c r="I2" s="412"/>
      <c r="J2" s="412"/>
      <c r="K2" s="412"/>
      <c r="L2" s="414"/>
      <c r="M2" s="40"/>
      <c r="N2" s="40"/>
      <c r="O2" s="40"/>
      <c r="Q2" s="54"/>
      <c r="R2" s="415"/>
      <c r="S2" s="416" t="e">
        <f aca="false">INDEX(PT_DIFFERENTIATION_NUM_NTAR,MATCH(A2,PT_DIFFERENTIATION_NTAR_ID,0))</f>
        <v>#N/A</v>
      </c>
      <c r="T2" s="417" t="s">
        <v>138</v>
      </c>
      <c r="U2" s="418"/>
      <c r="V2" s="581"/>
      <c r="W2" s="581"/>
      <c r="X2" s="581"/>
      <c r="Y2" s="581"/>
      <c r="Z2" s="581"/>
      <c r="AA2" s="581"/>
      <c r="AB2" s="581"/>
      <c r="AC2" s="581"/>
      <c r="AD2" s="420" t="e">
        <f aca="false">INDEX(PT_DIFFERENTIATION_NTAR,MATCH(A2,PT_DIFFERENTIATION_NTAR_ID,0))</f>
        <v>#N/A</v>
      </c>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18"/>
      <c r="BF2" s="118" t="str">
        <f aca="false">IF(T2="","",T2)</f>
        <v>Наименование тарифа</v>
      </c>
      <c r="BG2" s="118"/>
      <c r="BH2" s="118"/>
      <c r="BI2" s="42" t="n">
        <v>0</v>
      </c>
    </row>
    <row r="3" customFormat="false" ht="21" hidden="true" customHeight="true" outlineLevel="0" collapsed="false">
      <c r="A3" s="412"/>
      <c r="B3" s="412"/>
      <c r="C3" s="412"/>
      <c r="D3" s="412"/>
      <c r="E3" s="413"/>
      <c r="F3" s="413" t="n">
        <v>1</v>
      </c>
      <c r="G3" s="412"/>
      <c r="H3" s="412"/>
      <c r="I3" s="412"/>
      <c r="J3" s="412"/>
      <c r="K3" s="412"/>
      <c r="L3" s="414"/>
      <c r="M3" s="40"/>
      <c r="N3" s="40"/>
      <c r="O3" s="40"/>
      <c r="P3" s="44"/>
      <c r="Q3" s="533"/>
      <c r="R3" s="423"/>
      <c r="S3" s="416" t="e">
        <f aca="false">INDEX(PT_DIFFERENTIATION_NUM_TER,MATCH(B3,PT_DIFFERENTIATION_TER_ID,0))</f>
        <v>#N/A</v>
      </c>
      <c r="T3" s="424" t="s">
        <v>410</v>
      </c>
      <c r="U3" s="418"/>
      <c r="V3" s="581"/>
      <c r="W3" s="581"/>
      <c r="X3" s="581"/>
      <c r="Y3" s="581"/>
      <c r="Z3" s="581"/>
      <c r="AA3" s="581"/>
      <c r="AB3" s="581"/>
      <c r="AC3" s="581"/>
      <c r="AD3" s="420" t="e">
        <f aca="false">INDEX(PT_DIFFERENTIATION_TER,MATCH(B3,PT_DIFFERENTIATION_TER_ID,0))</f>
        <v>#N/A</v>
      </c>
      <c r="AE3" s="420"/>
      <c r="AF3" s="420"/>
      <c r="AG3" s="420"/>
      <c r="AH3" s="420"/>
      <c r="AI3" s="420"/>
      <c r="AJ3" s="420"/>
      <c r="AK3" s="420"/>
      <c r="AL3" s="420"/>
      <c r="AM3" s="420"/>
      <c r="AN3" s="420"/>
      <c r="AO3" s="420"/>
      <c r="AP3" s="420"/>
      <c r="AQ3" s="420"/>
      <c r="AR3" s="420"/>
      <c r="AS3" s="420"/>
      <c r="AT3" s="420"/>
      <c r="AU3" s="420"/>
      <c r="AV3" s="420"/>
      <c r="AW3" s="420"/>
      <c r="AX3" s="420"/>
      <c r="AY3" s="420"/>
      <c r="AZ3" s="420"/>
      <c r="BA3" s="420"/>
      <c r="BB3" s="420"/>
      <c r="BC3" s="421" t="s">
        <v>411</v>
      </c>
      <c r="BE3" s="118"/>
      <c r="BF3" s="118" t="str">
        <f aca="false">IF(T3="","",T3)</f>
        <v>Территория действия тарифа</v>
      </c>
      <c r="BG3" s="118"/>
      <c r="BH3" s="118"/>
      <c r="BI3" s="42" t="n">
        <v>0</v>
      </c>
    </row>
    <row r="4" customFormat="false" ht="33.75" hidden="true" customHeight="true" outlineLevel="0" collapsed="false">
      <c r="A4" s="412"/>
      <c r="B4" s="412"/>
      <c r="C4" s="412"/>
      <c r="D4" s="412"/>
      <c r="E4" s="413"/>
      <c r="F4" s="413"/>
      <c r="G4" s="413" t="n">
        <v>1</v>
      </c>
      <c r="H4" s="412"/>
      <c r="I4" s="412"/>
      <c r="J4" s="412"/>
      <c r="K4" s="412"/>
      <c r="L4" s="414"/>
      <c r="M4" s="40"/>
      <c r="N4" s="40"/>
      <c r="O4" s="40"/>
      <c r="P4" s="127"/>
      <c r="Q4" s="533"/>
      <c r="R4" s="423"/>
      <c r="S4" s="416" t="e">
        <f aca="false">INDEX(PT_DIFFERENTIATION_NUM_CS,MATCH(C4,PT_DIFFERENTIATION_CS_ID,0))</f>
        <v>#N/A</v>
      </c>
      <c r="T4" s="426" t="s">
        <v>529</v>
      </c>
      <c r="U4" s="418"/>
      <c r="V4" s="581"/>
      <c r="W4" s="581"/>
      <c r="X4" s="581"/>
      <c r="Y4" s="581"/>
      <c r="Z4" s="581"/>
      <c r="AA4" s="581"/>
      <c r="AB4" s="581"/>
      <c r="AC4" s="581"/>
      <c r="AD4" s="420" t="e">
        <f aca="false">INDEX(PT_DIFFERENTIATION_CS,MATCH(C4,PT_DIFFERENTIATION_CS_ID,0))</f>
        <v>#N/A</v>
      </c>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1" t="s">
        <v>530</v>
      </c>
      <c r="BE4" s="118"/>
      <c r="BF4" s="118" t="str">
        <f aca="false">IF(T4="","",T4)</f>
        <v>Наименование централизованной системы водоотведения</v>
      </c>
      <c r="BG4" s="118"/>
      <c r="BH4" s="118"/>
      <c r="BI4" s="42" t="n">
        <v>0</v>
      </c>
    </row>
    <row r="5" s="47" customFormat="true" ht="14.25" hidden="true" customHeight="true" outlineLevel="0" collapsed="false">
      <c r="A5" s="122"/>
      <c r="B5" s="122"/>
      <c r="C5" s="122"/>
      <c r="D5" s="122"/>
      <c r="E5" s="413"/>
      <c r="F5" s="413"/>
      <c r="G5" s="413"/>
      <c r="H5" s="413" t="n">
        <v>1</v>
      </c>
      <c r="I5" s="122"/>
      <c r="J5" s="122"/>
      <c r="K5" s="122"/>
      <c r="L5" s="192"/>
      <c r="M5" s="46"/>
      <c r="N5" s="46"/>
      <c r="O5" s="46"/>
      <c r="P5" s="591"/>
      <c r="Q5" s="592"/>
      <c r="R5" s="432"/>
      <c r="S5" s="301"/>
      <c r="T5" s="593"/>
      <c r="U5" s="499"/>
      <c r="V5" s="534"/>
      <c r="W5" s="534"/>
      <c r="X5" s="534"/>
      <c r="Y5" s="534"/>
      <c r="Z5" s="534"/>
      <c r="AA5" s="534"/>
      <c r="AB5" s="534"/>
      <c r="AC5" s="534"/>
      <c r="AD5" s="500"/>
      <c r="AE5" s="500"/>
      <c r="AF5" s="500"/>
      <c r="AG5" s="500"/>
      <c r="AH5" s="500"/>
      <c r="AI5" s="500"/>
      <c r="AJ5" s="500"/>
      <c r="AK5" s="500"/>
      <c r="AL5" s="500"/>
      <c r="AM5" s="500"/>
      <c r="AN5" s="500"/>
      <c r="AO5" s="500"/>
      <c r="AP5" s="500"/>
      <c r="AQ5" s="500"/>
      <c r="AR5" s="500"/>
      <c r="AS5" s="500"/>
      <c r="AT5" s="500"/>
      <c r="AU5" s="500"/>
      <c r="AV5" s="500"/>
      <c r="AW5" s="500"/>
      <c r="AX5" s="500"/>
      <c r="AY5" s="500"/>
      <c r="AZ5" s="500"/>
      <c r="BA5" s="500"/>
      <c r="BB5" s="500"/>
      <c r="BC5" s="501" t="s">
        <v>415</v>
      </c>
      <c r="BE5" s="118"/>
      <c r="BF5" s="118" t="str">
        <f aca="false">IF(T5="","",T5)</f>
        <v/>
      </c>
      <c r="BG5" s="118"/>
      <c r="BH5" s="118"/>
      <c r="BI5" s="47" t="n">
        <v>0</v>
      </c>
    </row>
    <row r="6" s="47" customFormat="true" ht="14.25" hidden="true" customHeight="true" outlineLevel="0" collapsed="false">
      <c r="A6" s="122"/>
      <c r="B6" s="122"/>
      <c r="C6" s="122"/>
      <c r="D6" s="122"/>
      <c r="E6" s="413"/>
      <c r="F6" s="413"/>
      <c r="G6" s="413"/>
      <c r="H6" s="413"/>
      <c r="I6" s="428" t="str">
        <f aca="false">S5&amp;".1"</f>
        <v>.1</v>
      </c>
      <c r="J6" s="122"/>
      <c r="K6" s="122"/>
      <c r="L6" s="192" t="s">
        <v>416</v>
      </c>
      <c r="M6" s="506"/>
      <c r="N6" s="506"/>
      <c r="O6" s="506"/>
      <c r="P6" s="121" t="n">
        <v>1</v>
      </c>
      <c r="Q6" s="121"/>
      <c r="R6" s="429"/>
      <c r="S6" s="301"/>
      <c r="T6" s="498"/>
      <c r="U6" s="499"/>
      <c r="V6" s="534"/>
      <c r="W6" s="534"/>
      <c r="X6" s="534"/>
      <c r="Y6" s="534"/>
      <c r="Z6" s="534"/>
      <c r="AA6" s="534"/>
      <c r="AB6" s="534"/>
      <c r="AC6" s="534"/>
      <c r="AD6" s="500"/>
      <c r="AE6" s="500"/>
      <c r="AF6" s="500"/>
      <c r="AG6" s="500"/>
      <c r="AH6" s="500"/>
      <c r="AI6" s="500"/>
      <c r="AJ6" s="500"/>
      <c r="AK6" s="500"/>
      <c r="AL6" s="500"/>
      <c r="AM6" s="500"/>
      <c r="AN6" s="500"/>
      <c r="AO6" s="500"/>
      <c r="AP6" s="500"/>
      <c r="AQ6" s="500"/>
      <c r="AR6" s="500"/>
      <c r="AS6" s="500"/>
      <c r="AT6" s="500"/>
      <c r="AU6" s="500"/>
      <c r="AV6" s="500"/>
      <c r="AW6" s="500"/>
      <c r="AX6" s="500"/>
      <c r="AY6" s="500"/>
      <c r="AZ6" s="500"/>
      <c r="BA6" s="500"/>
      <c r="BB6" s="500"/>
      <c r="BC6" s="501"/>
      <c r="BE6" s="118"/>
      <c r="BF6" s="118" t="str">
        <f aca="false">IF(T6="","",T6)</f>
        <v/>
      </c>
      <c r="BG6" s="118"/>
      <c r="BH6" s="118"/>
      <c r="BI6" s="47" t="n">
        <v>0</v>
      </c>
    </row>
    <row r="7" s="47" customFormat="true" ht="14.25" hidden="true" customHeight="true" outlineLevel="0" collapsed="false">
      <c r="A7" s="122"/>
      <c r="B7" s="122"/>
      <c r="C7" s="122"/>
      <c r="D7" s="122"/>
      <c r="E7" s="413"/>
      <c r="F7" s="413"/>
      <c r="G7" s="413"/>
      <c r="H7" s="413"/>
      <c r="I7" s="428"/>
      <c r="J7" s="428" t="str">
        <f aca="false">S5&amp;".1"</f>
        <v>.1</v>
      </c>
      <c r="K7" s="122"/>
      <c r="L7" s="192"/>
      <c r="M7" s="506"/>
      <c r="N7" s="506"/>
      <c r="O7" s="506"/>
      <c r="P7" s="121"/>
      <c r="Q7" s="121" t="n">
        <v>1</v>
      </c>
      <c r="R7" s="432"/>
      <c r="S7" s="301"/>
      <c r="T7" s="535"/>
      <c r="U7" s="499"/>
      <c r="V7" s="534"/>
      <c r="W7" s="534"/>
      <c r="X7" s="534"/>
      <c r="Y7" s="534"/>
      <c r="Z7" s="534"/>
      <c r="AA7" s="534"/>
      <c r="AB7" s="534"/>
      <c r="AC7" s="534"/>
      <c r="AD7" s="500"/>
      <c r="AE7" s="500"/>
      <c r="AF7" s="500"/>
      <c r="AG7" s="500"/>
      <c r="AH7" s="500"/>
      <c r="AI7" s="500"/>
      <c r="AJ7" s="500"/>
      <c r="AK7" s="500"/>
      <c r="AL7" s="500"/>
      <c r="AM7" s="500"/>
      <c r="AN7" s="500"/>
      <c r="AO7" s="500"/>
      <c r="AP7" s="500"/>
      <c r="AQ7" s="500"/>
      <c r="AR7" s="500"/>
      <c r="AS7" s="500"/>
      <c r="AT7" s="500"/>
      <c r="AU7" s="500"/>
      <c r="AV7" s="500"/>
      <c r="AW7" s="500"/>
      <c r="AX7" s="500"/>
      <c r="AY7" s="500"/>
      <c r="AZ7" s="500"/>
      <c r="BA7" s="500"/>
      <c r="BB7" s="500"/>
      <c r="BC7" s="501"/>
      <c r="BE7" s="118"/>
      <c r="BF7" s="118" t="str">
        <f aca="false">IF(T7="","",T7)</f>
        <v/>
      </c>
      <c r="BG7" s="118"/>
      <c r="BH7" s="118"/>
      <c r="BI7" s="47" t="n">
        <v>0</v>
      </c>
    </row>
    <row r="8" customFormat="false" ht="11.25" hidden="true" customHeight="true" outlineLevel="0" collapsed="false">
      <c r="A8" s="412"/>
      <c r="B8" s="412"/>
      <c r="C8" s="412"/>
      <c r="D8" s="412"/>
      <c r="E8" s="413"/>
      <c r="F8" s="413"/>
      <c r="G8" s="413"/>
      <c r="H8" s="413"/>
      <c r="I8" s="428"/>
      <c r="J8" s="428"/>
      <c r="K8" s="428" t="e">
        <f aca="false">S4&amp;".1"</f>
        <v>#N/A</v>
      </c>
      <c r="L8" s="414"/>
      <c r="P8" s="121"/>
      <c r="Q8" s="121"/>
      <c r="R8" s="536" t="n">
        <v>1</v>
      </c>
      <c r="S8" s="474" t="e">
        <f aca="false">$K8</f>
        <v>#N/A</v>
      </c>
      <c r="T8" s="573"/>
      <c r="U8" s="418"/>
      <c r="V8" s="435"/>
      <c r="W8" s="437"/>
      <c r="X8" s="435"/>
      <c r="Y8" s="437"/>
      <c r="Z8" s="438"/>
      <c r="AA8" s="204" t="s">
        <v>61</v>
      </c>
      <c r="AB8" s="438"/>
      <c r="AC8" s="204" t="s">
        <v>61</v>
      </c>
      <c r="AD8" s="204" t="s">
        <v>61</v>
      </c>
      <c r="AE8" s="538"/>
      <c r="AF8" s="297" t="n">
        <v>1</v>
      </c>
      <c r="AG8" s="585"/>
      <c r="AH8" s="204" t="s">
        <v>61</v>
      </c>
      <c r="AI8" s="538"/>
      <c r="AJ8" s="297" t="n">
        <v>1</v>
      </c>
      <c r="AK8" s="76"/>
      <c r="AL8" s="204" t="s">
        <v>61</v>
      </c>
      <c r="AM8" s="265"/>
      <c r="AN8" s="297" t="n">
        <v>1</v>
      </c>
      <c r="AO8" s="594"/>
      <c r="AP8" s="595" t="s">
        <v>61</v>
      </c>
      <c r="AQ8" s="539"/>
      <c r="AR8" s="297" t="n">
        <v>1</v>
      </c>
      <c r="AS8" s="84"/>
      <c r="AT8" s="435"/>
      <c r="AU8" s="437"/>
      <c r="AV8" s="435"/>
      <c r="AW8" s="437"/>
      <c r="AX8" s="438"/>
      <c r="AY8" s="204" t="s">
        <v>61</v>
      </c>
      <c r="AZ8" s="438"/>
      <c r="BA8" s="204" t="s">
        <v>61</v>
      </c>
      <c r="BB8" s="486"/>
      <c r="BC8" s="439" t="s">
        <v>514</v>
      </c>
      <c r="BE8" s="118"/>
      <c r="BF8" s="118" t="str">
        <f aca="false">IF(T8="","",T8)</f>
        <v/>
      </c>
      <c r="BG8" s="118"/>
      <c r="BH8" s="118"/>
      <c r="BI8" s="42" t="n">
        <v>0</v>
      </c>
    </row>
    <row r="9" customFormat="false" ht="11.25" hidden="true" customHeight="true" outlineLevel="0" collapsed="false">
      <c r="A9" s="412"/>
      <c r="B9" s="412"/>
      <c r="C9" s="412"/>
      <c r="D9" s="412"/>
      <c r="E9" s="413"/>
      <c r="F9" s="413"/>
      <c r="G9" s="413"/>
      <c r="H9" s="413"/>
      <c r="I9" s="428"/>
      <c r="J9" s="428"/>
      <c r="K9" s="428"/>
      <c r="L9" s="414"/>
      <c r="P9" s="121"/>
      <c r="Q9" s="121"/>
      <c r="R9" s="536"/>
      <c r="S9" s="474"/>
      <c r="T9" s="573"/>
      <c r="U9" s="418"/>
      <c r="V9" s="528"/>
      <c r="W9" s="542"/>
      <c r="X9" s="528"/>
      <c r="Y9" s="542"/>
      <c r="Z9" s="528"/>
      <c r="AA9" s="528"/>
      <c r="AB9" s="528"/>
      <c r="AC9" s="528"/>
      <c r="AD9" s="204"/>
      <c r="AE9" s="538"/>
      <c r="AF9" s="297"/>
      <c r="AG9" s="585"/>
      <c r="AH9" s="204"/>
      <c r="AI9" s="538"/>
      <c r="AJ9" s="297"/>
      <c r="AK9" s="76"/>
      <c r="AL9" s="204"/>
      <c r="AM9" s="265"/>
      <c r="AN9" s="297"/>
      <c r="AO9" s="594"/>
      <c r="AP9" s="595"/>
      <c r="AQ9" s="541"/>
      <c r="AR9" s="168"/>
      <c r="AS9" s="168" t="s">
        <v>515</v>
      </c>
      <c r="AT9" s="528"/>
      <c r="AU9" s="542"/>
      <c r="AV9" s="528"/>
      <c r="AW9" s="542"/>
      <c r="AX9" s="528"/>
      <c r="AY9" s="528"/>
      <c r="AZ9" s="528"/>
      <c r="BA9" s="528"/>
      <c r="BB9" s="540"/>
      <c r="BC9" s="439"/>
      <c r="BE9" s="118"/>
      <c r="BF9" s="118"/>
      <c r="BG9" s="118"/>
      <c r="BH9" s="118"/>
      <c r="BI9" s="42" t="n">
        <v>0</v>
      </c>
    </row>
    <row r="10" customFormat="false" ht="11.25" hidden="true" customHeight="true" outlineLevel="0" collapsed="false">
      <c r="A10" s="412"/>
      <c r="B10" s="412"/>
      <c r="C10" s="412"/>
      <c r="D10" s="412"/>
      <c r="E10" s="413"/>
      <c r="F10" s="413"/>
      <c r="G10" s="413"/>
      <c r="H10" s="413"/>
      <c r="I10" s="428"/>
      <c r="J10" s="428"/>
      <c r="K10" s="428"/>
      <c r="L10" s="414"/>
      <c r="P10" s="121"/>
      <c r="Q10" s="121"/>
      <c r="R10" s="536"/>
      <c r="S10" s="474"/>
      <c r="T10" s="573"/>
      <c r="U10" s="418"/>
      <c r="V10" s="528"/>
      <c r="W10" s="542"/>
      <c r="X10" s="528"/>
      <c r="Y10" s="542"/>
      <c r="Z10" s="528"/>
      <c r="AA10" s="528"/>
      <c r="AB10" s="528"/>
      <c r="AC10" s="528"/>
      <c r="AD10" s="204"/>
      <c r="AE10" s="538"/>
      <c r="AF10" s="297"/>
      <c r="AG10" s="585"/>
      <c r="AH10" s="204"/>
      <c r="AI10" s="538"/>
      <c r="AJ10" s="297"/>
      <c r="AK10" s="76"/>
      <c r="AL10" s="204"/>
      <c r="AM10" s="541"/>
      <c r="AN10" s="596"/>
      <c r="AO10" s="596" t="s">
        <v>535</v>
      </c>
      <c r="AP10" s="168"/>
      <c r="AQ10" s="168"/>
      <c r="AR10" s="168"/>
      <c r="AS10" s="528"/>
      <c r="AT10" s="528"/>
      <c r="AU10" s="542"/>
      <c r="AV10" s="528"/>
      <c r="AW10" s="542"/>
      <c r="AX10" s="528"/>
      <c r="AY10" s="528"/>
      <c r="AZ10" s="528"/>
      <c r="BA10" s="528"/>
      <c r="BB10" s="540"/>
      <c r="BC10" s="439"/>
      <c r="BE10" s="118"/>
      <c r="BF10" s="118"/>
      <c r="BG10" s="118"/>
      <c r="BH10" s="118"/>
      <c r="BI10" s="42" t="n">
        <v>0</v>
      </c>
    </row>
    <row r="11" customFormat="false" ht="11.25" hidden="true" customHeight="true" outlineLevel="0" collapsed="false">
      <c r="A11" s="412"/>
      <c r="B11" s="412"/>
      <c r="C11" s="412"/>
      <c r="D11" s="412"/>
      <c r="E11" s="413"/>
      <c r="F11" s="413"/>
      <c r="G11" s="413"/>
      <c r="H11" s="413"/>
      <c r="I11" s="428"/>
      <c r="J11" s="428"/>
      <c r="K11" s="428"/>
      <c r="L11" s="414"/>
      <c r="P11" s="121"/>
      <c r="Q11" s="121"/>
      <c r="R11" s="536"/>
      <c r="S11" s="474"/>
      <c r="T11" s="573"/>
      <c r="U11" s="418"/>
      <c r="V11" s="528"/>
      <c r="W11" s="542"/>
      <c r="X11" s="528"/>
      <c r="Y11" s="542"/>
      <c r="Z11" s="528"/>
      <c r="AA11" s="528"/>
      <c r="AB11" s="528"/>
      <c r="AC11" s="528"/>
      <c r="AD11" s="204"/>
      <c r="AE11" s="538"/>
      <c r="AF11" s="297"/>
      <c r="AG11" s="585"/>
      <c r="AH11" s="204"/>
      <c r="AI11" s="544"/>
      <c r="AJ11" s="161"/>
      <c r="AK11" s="379" t="s">
        <v>536</v>
      </c>
      <c r="AL11" s="528"/>
      <c r="AM11" s="528"/>
      <c r="AN11" s="528"/>
      <c r="AO11" s="528"/>
      <c r="AP11" s="528"/>
      <c r="AQ11" s="528"/>
      <c r="AR11" s="528"/>
      <c r="AS11" s="528"/>
      <c r="AT11" s="528"/>
      <c r="AU11" s="542"/>
      <c r="AV11" s="528"/>
      <c r="AW11" s="542"/>
      <c r="AX11" s="528"/>
      <c r="AY11" s="528"/>
      <c r="AZ11" s="528"/>
      <c r="BA11" s="528"/>
      <c r="BB11" s="540"/>
      <c r="BC11" s="439"/>
      <c r="BE11" s="118"/>
      <c r="BF11" s="118"/>
      <c r="BG11" s="118"/>
      <c r="BH11" s="118"/>
      <c r="BI11" s="42" t="n">
        <v>0</v>
      </c>
    </row>
    <row r="12" customFormat="false" ht="11.25" hidden="true" customHeight="true" outlineLevel="0" collapsed="false">
      <c r="A12" s="412"/>
      <c r="B12" s="412"/>
      <c r="C12" s="412"/>
      <c r="D12" s="412"/>
      <c r="E12" s="413"/>
      <c r="F12" s="413"/>
      <c r="G12" s="413"/>
      <c r="H12" s="413"/>
      <c r="I12" s="428"/>
      <c r="J12" s="428"/>
      <c r="K12" s="428"/>
      <c r="L12" s="414"/>
      <c r="P12" s="121"/>
      <c r="Q12" s="121"/>
      <c r="R12" s="536"/>
      <c r="S12" s="474"/>
      <c r="T12" s="573"/>
      <c r="U12" s="418"/>
      <c r="V12" s="528"/>
      <c r="W12" s="529" t="str">
        <f aca="false">Z8&amp;"-"&amp;AB8</f>
        <v>-</v>
      </c>
      <c r="X12" s="528"/>
      <c r="Y12" s="529" t="str">
        <f aca="false">AB8&amp;"-"&amp;AD8</f>
        <v>-да</v>
      </c>
      <c r="Z12" s="528"/>
      <c r="AA12" s="528"/>
      <c r="AB12" s="528"/>
      <c r="AC12" s="528"/>
      <c r="AD12" s="204"/>
      <c r="AE12" s="546"/>
      <c r="AF12" s="547"/>
      <c r="AG12" s="168" t="s">
        <v>518</v>
      </c>
      <c r="AH12" s="528"/>
      <c r="AI12" s="528"/>
      <c r="AJ12" s="528"/>
      <c r="AK12" s="528"/>
      <c r="AL12" s="528"/>
      <c r="AM12" s="528"/>
      <c r="AN12" s="528"/>
      <c r="AO12" s="528"/>
      <c r="AP12" s="528"/>
      <c r="AQ12" s="528"/>
      <c r="AR12" s="528"/>
      <c r="AS12" s="528"/>
      <c r="AT12" s="528"/>
      <c r="AU12" s="529" t="str">
        <f aca="false">AX8&amp;"-"&amp;AZ8</f>
        <v>-</v>
      </c>
      <c r="AV12" s="528"/>
      <c r="AW12" s="529" t="str">
        <f aca="false">AZ8&amp;"-"&amp;BB8</f>
        <v>-</v>
      </c>
      <c r="AX12" s="528"/>
      <c r="AY12" s="528"/>
      <c r="AZ12" s="528"/>
      <c r="BA12" s="528"/>
      <c r="BB12" s="545" t="str">
        <f aca="false">BE8&amp;"-"&amp;BG8</f>
        <v>-</v>
      </c>
      <c r="BC12" s="439"/>
      <c r="BE12" s="118"/>
      <c r="BF12" s="118" t="str">
        <f aca="false">IF(T12="","",T12)</f>
        <v/>
      </c>
      <c r="BG12" s="118"/>
      <c r="BH12" s="118"/>
      <c r="BI12" s="42" t="n">
        <v>0</v>
      </c>
    </row>
    <row r="13" customFormat="false" ht="11.25" hidden="true" customHeight="true" outlineLevel="0" collapsed="false">
      <c r="A13" s="412"/>
      <c r="B13" s="412"/>
      <c r="C13" s="412"/>
      <c r="D13" s="412"/>
      <c r="E13" s="413"/>
      <c r="F13" s="413"/>
      <c r="G13" s="413"/>
      <c r="H13" s="413"/>
      <c r="I13" s="428"/>
      <c r="J13" s="428"/>
      <c r="K13" s="412"/>
      <c r="L13" s="414"/>
      <c r="P13" s="121"/>
      <c r="Q13" s="121"/>
      <c r="R13" s="429"/>
      <c r="S13" s="441"/>
      <c r="T13" s="444" t="s">
        <v>481</v>
      </c>
      <c r="U13" s="194"/>
      <c r="V13" s="194"/>
      <c r="W13" s="194"/>
      <c r="X13" s="194"/>
      <c r="Y13" s="194"/>
      <c r="Z13" s="194"/>
      <c r="AA13" s="194"/>
      <c r="AB13" s="194"/>
      <c r="AC13" s="194"/>
      <c r="AD13" s="569"/>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443"/>
      <c r="BC13" s="439"/>
      <c r="BE13" s="118"/>
      <c r="BF13" s="118" t="str">
        <f aca="false">IF(T13="","",T13)</f>
        <v>Добавить строку</v>
      </c>
      <c r="BG13" s="118"/>
      <c r="BH13" s="118"/>
      <c r="BI13" s="42" t="n">
        <v>0</v>
      </c>
    </row>
    <row r="14" s="47" customFormat="true" ht="14.25" hidden="true" customHeight="true" outlineLevel="0" collapsed="false">
      <c r="A14" s="122"/>
      <c r="B14" s="122"/>
      <c r="C14" s="122"/>
      <c r="D14" s="122"/>
      <c r="E14" s="413"/>
      <c r="F14" s="413"/>
      <c r="G14" s="413"/>
      <c r="H14" s="413"/>
      <c r="I14" s="428"/>
      <c r="J14" s="122"/>
      <c r="K14" s="122"/>
      <c r="L14" s="192"/>
      <c r="M14" s="506"/>
      <c r="N14" s="506"/>
      <c r="O14" s="506"/>
      <c r="P14" s="121"/>
      <c r="Q14" s="121"/>
      <c r="R14" s="429"/>
      <c r="S14" s="502"/>
      <c r="T14" s="503"/>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4"/>
      <c r="BC14" s="505"/>
      <c r="BE14" s="118"/>
      <c r="BF14" s="118" t="str">
        <f aca="false">IF(T14="","",T14)</f>
        <v/>
      </c>
      <c r="BG14" s="118"/>
      <c r="BH14" s="118"/>
      <c r="BI14" s="47" t="n">
        <v>0</v>
      </c>
    </row>
    <row r="15" s="47" customFormat="true" ht="14.25" hidden="true" customHeight="true" outlineLevel="0" collapsed="false">
      <c r="A15" s="122"/>
      <c r="B15" s="122"/>
      <c r="C15" s="122"/>
      <c r="D15" s="122"/>
      <c r="E15" s="413"/>
      <c r="F15" s="413"/>
      <c r="G15" s="413"/>
      <c r="H15" s="413"/>
      <c r="I15" s="122"/>
      <c r="J15" s="122"/>
      <c r="K15" s="122"/>
      <c r="L15" s="192"/>
      <c r="M15" s="46"/>
      <c r="N15" s="46"/>
      <c r="P15" s="156"/>
      <c r="Q15" s="449"/>
      <c r="R15" s="548"/>
      <c r="S15" s="502"/>
      <c r="T15" s="503"/>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4"/>
      <c r="AY15" s="504"/>
      <c r="AZ15" s="504"/>
      <c r="BA15" s="504"/>
      <c r="BB15" s="504"/>
      <c r="BC15" s="505"/>
      <c r="BE15" s="118"/>
      <c r="BF15" s="118" t="str">
        <f aca="false">IF(T15="","",T15)</f>
        <v/>
      </c>
      <c r="BG15" s="118"/>
      <c r="BH15" s="118"/>
      <c r="BI15" s="47" t="n">
        <v>0</v>
      </c>
    </row>
    <row r="16" s="47" customFormat="true" ht="14.25" hidden="true" customHeight="true" outlineLevel="0" collapsed="false">
      <c r="A16" s="122"/>
      <c r="B16" s="122"/>
      <c r="C16" s="122"/>
      <c r="D16" s="122"/>
      <c r="E16" s="413"/>
      <c r="F16" s="413"/>
      <c r="G16" s="413"/>
      <c r="H16" s="122"/>
      <c r="I16" s="122"/>
      <c r="J16" s="122"/>
      <c r="K16" s="122"/>
      <c r="L16" s="192"/>
      <c r="M16" s="46"/>
      <c r="N16" s="46"/>
      <c r="P16" s="156"/>
      <c r="Q16" s="449"/>
      <c r="R16" s="156"/>
      <c r="S16" s="454"/>
      <c r="T16" s="457"/>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6"/>
      <c r="AR16" s="456"/>
      <c r="AS16" s="456"/>
      <c r="AT16" s="456"/>
      <c r="AU16" s="456"/>
      <c r="AV16" s="456"/>
      <c r="AW16" s="456"/>
      <c r="AX16" s="456"/>
      <c r="AY16" s="456"/>
      <c r="AZ16" s="456"/>
      <c r="BA16" s="456"/>
      <c r="BB16" s="456"/>
      <c r="BC16" s="456"/>
      <c r="BE16" s="118"/>
      <c r="BF16" s="118" t="str">
        <f aca="false">IF(T16="","",T16)</f>
        <v/>
      </c>
      <c r="BG16" s="118"/>
      <c r="BH16" s="118"/>
      <c r="BI16" s="47" t="n">
        <v>0</v>
      </c>
    </row>
    <row r="17" s="47" customFormat="true" ht="14.25" hidden="true" customHeight="true" outlineLevel="0" collapsed="false">
      <c r="A17" s="122"/>
      <c r="B17" s="122"/>
      <c r="C17" s="122"/>
      <c r="D17" s="122"/>
      <c r="E17" s="413"/>
      <c r="F17" s="413"/>
      <c r="G17" s="122"/>
      <c r="H17" s="122"/>
      <c r="I17" s="122"/>
      <c r="J17" s="122"/>
      <c r="K17" s="122"/>
      <c r="L17" s="192"/>
      <c r="M17" s="453"/>
      <c r="N17" s="453"/>
      <c r="P17" s="156"/>
      <c r="Q17" s="449"/>
      <c r="R17" s="156"/>
      <c r="S17" s="454"/>
      <c r="T17" s="457" t="s">
        <v>428</v>
      </c>
      <c r="U17" s="456"/>
      <c r="V17" s="456"/>
      <c r="W17" s="456"/>
      <c r="X17" s="456"/>
      <c r="Y17" s="456"/>
      <c r="Z17" s="456"/>
      <c r="AA17" s="456"/>
      <c r="AB17" s="456"/>
      <c r="AC17" s="456"/>
      <c r="AD17" s="456"/>
      <c r="AE17" s="456"/>
      <c r="AF17" s="456"/>
      <c r="AG17" s="456"/>
      <c r="AH17" s="456"/>
      <c r="AI17" s="456"/>
      <c r="AJ17" s="456"/>
      <c r="AK17" s="456"/>
      <c r="AL17" s="456"/>
      <c r="AM17" s="456"/>
      <c r="AN17" s="456"/>
      <c r="AO17" s="456"/>
      <c r="AP17" s="456"/>
      <c r="AQ17" s="456"/>
      <c r="AR17" s="456"/>
      <c r="AS17" s="456"/>
      <c r="AT17" s="456"/>
      <c r="AU17" s="456"/>
      <c r="AV17" s="456"/>
      <c r="AW17" s="456"/>
      <c r="AX17" s="456"/>
      <c r="AY17" s="456"/>
      <c r="AZ17" s="456"/>
      <c r="BA17" s="456"/>
      <c r="BB17" s="456"/>
      <c r="BC17" s="456"/>
      <c r="BE17" s="118"/>
      <c r="BF17" s="118" t="str">
        <f aca="false">IF(T17="","",T17)</f>
        <v>Добавить централизованную систему для дифференциации</v>
      </c>
      <c r="BG17" s="118"/>
      <c r="BH17" s="118"/>
      <c r="BI17" s="47" t="n">
        <v>0</v>
      </c>
    </row>
    <row r="18" s="47" customFormat="true" ht="14.25" hidden="true" customHeight="true" outlineLevel="0" collapsed="false">
      <c r="A18" s="122"/>
      <c r="B18" s="122"/>
      <c r="C18" s="122"/>
      <c r="D18" s="122"/>
      <c r="E18" s="413"/>
      <c r="F18" s="122"/>
      <c r="G18" s="122"/>
      <c r="H18" s="122"/>
      <c r="I18" s="122"/>
      <c r="J18" s="122"/>
      <c r="K18" s="122"/>
      <c r="L18" s="192"/>
      <c r="M18" s="453"/>
      <c r="N18" s="453"/>
      <c r="P18" s="156"/>
      <c r="Q18" s="449"/>
      <c r="R18" s="156"/>
      <c r="S18" s="454"/>
      <c r="T18" s="457" t="s">
        <v>429</v>
      </c>
      <c r="U18" s="456"/>
      <c r="V18" s="456"/>
      <c r="W18" s="456"/>
      <c r="X18" s="456"/>
      <c r="Y18" s="456"/>
      <c r="Z18" s="456"/>
      <c r="AA18" s="456"/>
      <c r="AB18" s="456"/>
      <c r="AC18" s="456"/>
      <c r="AD18" s="456"/>
      <c r="AE18" s="456"/>
      <c r="AF18" s="456"/>
      <c r="AG18" s="456"/>
      <c r="AH18" s="456"/>
      <c r="AI18" s="456"/>
      <c r="AJ18" s="456"/>
      <c r="AK18" s="456"/>
      <c r="AL18" s="456"/>
      <c r="AM18" s="456"/>
      <c r="AN18" s="456"/>
      <c r="AO18" s="456"/>
      <c r="AP18" s="456"/>
      <c r="AQ18" s="456"/>
      <c r="AR18" s="456"/>
      <c r="AS18" s="456"/>
      <c r="AT18" s="456"/>
      <c r="AU18" s="456"/>
      <c r="AV18" s="456"/>
      <c r="AW18" s="456"/>
      <c r="AX18" s="456"/>
      <c r="AY18" s="456"/>
      <c r="AZ18" s="456"/>
      <c r="BA18" s="456"/>
      <c r="BB18" s="456"/>
      <c r="BC18" s="456"/>
      <c r="BE18" s="118"/>
      <c r="BF18" s="118" t="str">
        <f aca="false">IF(T18="","",T18)</f>
        <v>Добавить территорию для дифференциации</v>
      </c>
      <c r="BG18" s="118"/>
      <c r="BH18" s="118"/>
      <c r="BI18" s="47" t="n">
        <v>0</v>
      </c>
    </row>
    <row r="19" customFormat="false" ht="14.25" hidden="true" customHeight="true" outlineLevel="0" collapsed="false">
      <c r="BI19" s="42" t="n">
        <v>0</v>
      </c>
    </row>
    <row r="20" customFormat="false" ht="14.25" hidden="true" customHeight="true" outlineLevel="0" collapsed="false">
      <c r="AD20" s="456" t="s">
        <v>19</v>
      </c>
      <c r="AE20" s="549"/>
      <c r="AF20" s="456" t="n">
        <v>1</v>
      </c>
      <c r="AG20" s="550"/>
      <c r="AH20" s="456" t="s">
        <v>19</v>
      </c>
      <c r="AI20" s="549"/>
      <c r="AJ20" s="456" t="n">
        <v>1</v>
      </c>
      <c r="AK20" s="550"/>
      <c r="AL20" s="456" t="s">
        <v>19</v>
      </c>
      <c r="AM20" s="551"/>
      <c r="AN20" s="456" t="n">
        <v>1</v>
      </c>
      <c r="AO20" s="123"/>
      <c r="AP20" s="456" t="s">
        <v>19</v>
      </c>
      <c r="AQ20" s="551"/>
      <c r="AR20" s="456" t="n">
        <v>1</v>
      </c>
      <c r="AS20" s="123"/>
      <c r="AT20" s="436"/>
      <c r="AU20" s="497"/>
      <c r="AV20" s="436"/>
      <c r="AW20" s="497"/>
      <c r="AX20" s="555"/>
      <c r="AY20" s="556" t="s">
        <v>61</v>
      </c>
      <c r="AZ20" s="555"/>
      <c r="BA20" s="556" t="s">
        <v>61</v>
      </c>
      <c r="BI20" s="42" t="n">
        <v>0</v>
      </c>
    </row>
    <row r="21" customFormat="false" ht="14.25" hidden="true" customHeight="true" outlineLevel="0" collapsed="false">
      <c r="BD21" s="120"/>
      <c r="BE21" s="120"/>
      <c r="BF21" s="120"/>
      <c r="BG21" s="120"/>
      <c r="BH21" s="120"/>
      <c r="BI21" s="42" t="n">
        <v>0</v>
      </c>
    </row>
    <row r="22" customFormat="false" ht="14.25" hidden="true" customHeight="true" outlineLevel="0" collapsed="false">
      <c r="O22" s="462" t="s">
        <v>430</v>
      </c>
      <c r="Z22" s="495"/>
      <c r="AB22" s="495"/>
      <c r="AX22" s="495"/>
      <c r="AZ22" s="495"/>
      <c r="BD22" s="120"/>
      <c r="BE22" s="120"/>
      <c r="BF22" s="120"/>
      <c r="BG22" s="120"/>
      <c r="BH22" s="120"/>
      <c r="BI22" s="42" t="n">
        <v>0</v>
      </c>
    </row>
    <row r="23" customFormat="false" ht="14.25" hidden="true" customHeight="true" outlineLevel="0" collapsed="false">
      <c r="BD23" s="120"/>
      <c r="BE23" s="120"/>
      <c r="BF23" s="120"/>
      <c r="BG23" s="120"/>
      <c r="BH23" s="120"/>
      <c r="BI23" s="42" t="n">
        <v>0</v>
      </c>
    </row>
    <row r="24" s="557" customFormat="true" ht="14.25" hidden="true" customHeight="true" outlineLevel="0" collapsed="false">
      <c r="M24" s="558"/>
      <c r="N24" s="558"/>
      <c r="O24" s="557" t="s">
        <v>431</v>
      </c>
      <c r="P24" s="558"/>
      <c r="Q24" s="559"/>
      <c r="R24" s="559"/>
      <c r="AA24" s="557" t="s">
        <v>433</v>
      </c>
      <c r="AC24" s="557" t="s">
        <v>434</v>
      </c>
      <c r="AD24" s="557" t="s">
        <v>482</v>
      </c>
      <c r="AH24" s="557" t="s">
        <v>482</v>
      </c>
      <c r="AK24" s="557" t="s">
        <v>519</v>
      </c>
      <c r="AL24" s="557" t="s">
        <v>482</v>
      </c>
      <c r="AP24" s="557" t="s">
        <v>482</v>
      </c>
      <c r="AY24" s="557" t="s">
        <v>433</v>
      </c>
      <c r="BA24" s="557" t="s">
        <v>434</v>
      </c>
      <c r="BD24" s="560"/>
      <c r="BE24" s="560"/>
      <c r="BF24" s="560"/>
      <c r="BG24" s="560"/>
      <c r="BH24" s="560"/>
      <c r="BI24" s="557" t="n">
        <v>0</v>
      </c>
    </row>
    <row r="25" customFormat="false" ht="14.25" hidden="true" customHeight="true" outlineLevel="0" collapsed="false">
      <c r="O25" s="414"/>
      <c r="BD25" s="120"/>
      <c r="BE25" s="120"/>
      <c r="BF25" s="120"/>
      <c r="BG25" s="120"/>
      <c r="BH25" s="120"/>
      <c r="BI25" s="42" t="n">
        <v>0</v>
      </c>
    </row>
    <row r="26" customFormat="false" ht="14.25" hidden="true" customHeight="true" outlineLevel="0" collapsed="false">
      <c r="O26" s="414"/>
      <c r="BD26" s="120"/>
      <c r="BE26" s="120"/>
      <c r="BF26" s="120"/>
      <c r="BG26" s="120"/>
      <c r="BH26" s="120"/>
      <c r="BI26" s="42" t="n">
        <v>0</v>
      </c>
    </row>
    <row r="27" customFormat="false" ht="14.25" hidden="false" customHeight="true" outlineLevel="0" collapsed="false">
      <c r="Q27" s="561"/>
      <c r="R27" s="464"/>
      <c r="S27" s="465"/>
      <c r="T27" s="80"/>
      <c r="U27" s="80"/>
      <c r="BI27" s="42" t="n">
        <v>14</v>
      </c>
    </row>
    <row r="28" customFormat="false" ht="14.25" hidden="false" customHeight="true" outlineLevel="0" collapsed="false">
      <c r="Q28" s="561"/>
      <c r="R28" s="464"/>
      <c r="S28" s="220" t="str">
        <f aca="false">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c r="BI28" s="42" t="n">
        <v>14</v>
      </c>
    </row>
    <row r="29" customFormat="false" ht="14.25" hidden="false" customHeight="true" outlineLevel="0" collapsed="false">
      <c r="Q29" s="561"/>
      <c r="R29" s="464"/>
      <c r="S29" s="261" t="str">
        <f aca="false">IF(org=0,"Не определено",org)</f>
        <v>ООО "Газпром теплоэнерго Ярославль"</v>
      </c>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22"/>
      <c r="BI29" s="42" t="n">
        <v>14</v>
      </c>
    </row>
    <row r="30" customFormat="false" ht="14.25" hidden="true" customHeight="true" outlineLevel="0" collapsed="false">
      <c r="Q30" s="561"/>
      <c r="R30" s="464"/>
      <c r="S30" s="465"/>
      <c r="T30" s="80"/>
      <c r="U30" s="80"/>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466"/>
      <c r="AY30" s="466"/>
      <c r="AZ30" s="466"/>
      <c r="BA30" s="466"/>
      <c r="BI30" s="42" t="n">
        <v>0</v>
      </c>
    </row>
    <row r="31" s="175" customFormat="true" ht="25.5" hidden="true" customHeight="true" outlineLevel="0" collapsed="false">
      <c r="A31" s="140"/>
      <c r="B31" s="140"/>
      <c r="C31" s="140"/>
      <c r="D31" s="140"/>
      <c r="E31" s="140"/>
      <c r="F31" s="140"/>
      <c r="G31" s="140"/>
      <c r="H31" s="140"/>
      <c r="I31" s="140"/>
      <c r="J31" s="140"/>
      <c r="K31" s="140"/>
      <c r="L31" s="414"/>
      <c r="M31" s="140"/>
      <c r="N31" s="140"/>
      <c r="O31" s="140"/>
      <c r="P31" s="140"/>
      <c r="Q31" s="140"/>
      <c r="S31" s="467" t="s">
        <v>40</v>
      </c>
      <c r="T31" s="467"/>
      <c r="U31" s="468"/>
      <c r="V31" s="469" t="str">
        <f aca="false">IF(TITLE_NAME_OR_PR_CHANGE="",IF(TITLE_NAME_OR_PR="","",TITLE_NAME_OR_PR),TITLE_NAME_OR_PR_CHANGE)</f>
        <v/>
      </c>
      <c r="W31" s="469"/>
      <c r="X31" s="469"/>
      <c r="Y31" s="469"/>
      <c r="Z31" s="469"/>
      <c r="AA31" s="469"/>
      <c r="AB31" s="469"/>
      <c r="AC31" s="42"/>
      <c r="AD31" s="469" t="str">
        <f aca="false">IF(TITLE_NAME_OR_PR_CHANGE="",IF(TITLE_NAME_OR_PR="","",TITLE_NAME_OR_PR),TITLE_NAME_OR_PR_CHANGE)</f>
        <v/>
      </c>
      <c r="AE31" s="469"/>
      <c r="AF31" s="469"/>
      <c r="AG31" s="469"/>
      <c r="AH31" s="469"/>
      <c r="AI31" s="469"/>
      <c r="AJ31" s="469"/>
      <c r="AK31" s="469"/>
      <c r="AL31" s="469"/>
      <c r="AM31" s="469"/>
      <c r="AN31" s="469"/>
      <c r="AO31" s="469"/>
      <c r="AP31" s="469"/>
      <c r="AQ31" s="469"/>
      <c r="AR31" s="469"/>
      <c r="AS31" s="469"/>
      <c r="AT31" s="469"/>
      <c r="AU31" s="469"/>
      <c r="AV31" s="469"/>
      <c r="AW31" s="469"/>
      <c r="AX31" s="469"/>
      <c r="AY31" s="469"/>
      <c r="AZ31" s="469"/>
      <c r="BA31" s="42"/>
      <c r="BB31" s="42"/>
      <c r="BC31" s="470"/>
      <c r="BD31" s="118"/>
      <c r="BE31" s="118"/>
      <c r="BF31" s="118"/>
      <c r="BG31" s="118"/>
      <c r="BH31" s="118"/>
      <c r="BI31" s="175" t="n">
        <v>0</v>
      </c>
    </row>
    <row r="32" s="175" customFormat="true" ht="18.75" hidden="true" customHeight="true" outlineLevel="0" collapsed="false">
      <c r="A32" s="140"/>
      <c r="B32" s="140"/>
      <c r="C32" s="140"/>
      <c r="D32" s="140"/>
      <c r="E32" s="140"/>
      <c r="F32" s="140"/>
      <c r="G32" s="140"/>
      <c r="H32" s="140"/>
      <c r="I32" s="140"/>
      <c r="J32" s="140"/>
      <c r="K32" s="140"/>
      <c r="L32" s="414"/>
      <c r="M32" s="140"/>
      <c r="N32" s="140"/>
      <c r="O32" s="140"/>
      <c r="P32" s="140"/>
      <c r="Q32" s="140"/>
      <c r="S32" s="467" t="s">
        <v>436</v>
      </c>
      <c r="T32" s="467"/>
      <c r="U32" s="468"/>
      <c r="V32" s="471" t="str">
        <f aca="false">IF(TITLE_DATE_PR_CHANGE="",IF(TITLE_DATE_PR="","",TITLE_DATE_PR),TITLE_DATE_PR_CHANGE)</f>
        <v/>
      </c>
      <c r="W32" s="471"/>
      <c r="X32" s="471"/>
      <c r="Y32" s="471"/>
      <c r="Z32" s="471"/>
      <c r="AA32" s="471"/>
      <c r="AB32" s="471"/>
      <c r="AC32" s="42"/>
      <c r="AD32" s="471" t="str">
        <f aca="false">IF(TITLE_DATE_PR_CHANGE="",IF(TITLE_DATE_PR="","",TITLE_DATE_PR),TITLE_DATE_PR_CHANGE)</f>
        <v/>
      </c>
      <c r="AE32" s="471"/>
      <c r="AF32" s="471"/>
      <c r="AG32" s="471"/>
      <c r="AH32" s="471"/>
      <c r="AI32" s="471"/>
      <c r="AJ32" s="471"/>
      <c r="AK32" s="471"/>
      <c r="AL32" s="471"/>
      <c r="AM32" s="471"/>
      <c r="AN32" s="471"/>
      <c r="AO32" s="471"/>
      <c r="AP32" s="471"/>
      <c r="AQ32" s="471"/>
      <c r="AR32" s="471"/>
      <c r="AS32" s="471"/>
      <c r="AT32" s="471"/>
      <c r="AU32" s="471"/>
      <c r="AV32" s="471"/>
      <c r="AW32" s="471"/>
      <c r="AX32" s="471"/>
      <c r="AY32" s="471"/>
      <c r="AZ32" s="471"/>
      <c r="BA32" s="42"/>
      <c r="BB32" s="42"/>
      <c r="BC32" s="470"/>
      <c r="BD32" s="118"/>
      <c r="BE32" s="118"/>
      <c r="BF32" s="118"/>
      <c r="BG32" s="118"/>
      <c r="BH32" s="118"/>
      <c r="BI32" s="175" t="n">
        <v>0</v>
      </c>
    </row>
    <row r="33" s="175" customFormat="true" ht="18.75" hidden="true" customHeight="true" outlineLevel="0" collapsed="false">
      <c r="A33" s="140"/>
      <c r="B33" s="140"/>
      <c r="C33" s="140"/>
      <c r="D33" s="140"/>
      <c r="E33" s="140"/>
      <c r="F33" s="140"/>
      <c r="G33" s="140"/>
      <c r="H33" s="140"/>
      <c r="I33" s="140"/>
      <c r="J33" s="140"/>
      <c r="K33" s="140"/>
      <c r="L33" s="414"/>
      <c r="M33" s="140"/>
      <c r="N33" s="140"/>
      <c r="O33" s="140"/>
      <c r="P33" s="140"/>
      <c r="Q33" s="140"/>
      <c r="S33" s="467" t="s">
        <v>437</v>
      </c>
      <c r="T33" s="467"/>
      <c r="U33" s="468"/>
      <c r="V33" s="469" t="str">
        <f aca="false">IF(TITLE_NUMBER_PR_CHANGE="",IF(TITLE_NUMBER_PR="","",TITLE_NUMBER_PR),TITLE_NUMBER_PR_CHANGE)</f>
        <v/>
      </c>
      <c r="W33" s="469"/>
      <c r="X33" s="469"/>
      <c r="Y33" s="469"/>
      <c r="Z33" s="469"/>
      <c r="AA33" s="469"/>
      <c r="AB33" s="469"/>
      <c r="AC33" s="42"/>
      <c r="AD33" s="469" t="str">
        <f aca="false">IF(TITLE_NUMBER_PR_CHANGE="",IF(TITLE_NUMBER_PR="","",TITLE_NUMBER_PR),TITLE_NUMBER_PR_CHANGE)</f>
        <v/>
      </c>
      <c r="AE33" s="469"/>
      <c r="AF33" s="469"/>
      <c r="AG33" s="469"/>
      <c r="AH33" s="469"/>
      <c r="AI33" s="469"/>
      <c r="AJ33" s="469"/>
      <c r="AK33" s="469"/>
      <c r="AL33" s="469"/>
      <c r="AM33" s="469"/>
      <c r="AN33" s="469"/>
      <c r="AO33" s="469"/>
      <c r="AP33" s="469"/>
      <c r="AQ33" s="469"/>
      <c r="AR33" s="469"/>
      <c r="AS33" s="469"/>
      <c r="AT33" s="469"/>
      <c r="AU33" s="469"/>
      <c r="AV33" s="469"/>
      <c r="AW33" s="469"/>
      <c r="AX33" s="469"/>
      <c r="AY33" s="469"/>
      <c r="AZ33" s="469"/>
      <c r="BA33" s="42"/>
      <c r="BB33" s="42"/>
      <c r="BC33" s="470"/>
      <c r="BD33" s="118"/>
      <c r="BE33" s="118"/>
      <c r="BF33" s="118"/>
      <c r="BG33" s="118"/>
      <c r="BH33" s="118"/>
      <c r="BI33" s="175" t="n">
        <v>0</v>
      </c>
    </row>
    <row r="34" s="175" customFormat="true" ht="18.75" hidden="true" customHeight="true" outlineLevel="0" collapsed="false">
      <c r="A34" s="140"/>
      <c r="B34" s="140"/>
      <c r="C34" s="140"/>
      <c r="D34" s="140"/>
      <c r="E34" s="140"/>
      <c r="F34" s="140"/>
      <c r="G34" s="140"/>
      <c r="H34" s="140"/>
      <c r="I34" s="140"/>
      <c r="J34" s="140"/>
      <c r="K34" s="140"/>
      <c r="L34" s="414"/>
      <c r="M34" s="140"/>
      <c r="N34" s="140"/>
      <c r="O34" s="140"/>
      <c r="P34" s="140"/>
      <c r="Q34" s="140"/>
      <c r="S34" s="467" t="s">
        <v>41</v>
      </c>
      <c r="T34" s="467"/>
      <c r="U34" s="468"/>
      <c r="V34" s="469" t="str">
        <f aca="false">IF(TITLE_IST_PUB_CHANGE="",IF(TITLE_IST_PUB="","",TITLE_IST_PUB),TITLE_IST_PUB_CHANGE)</f>
        <v/>
      </c>
      <c r="W34" s="469"/>
      <c r="X34" s="469"/>
      <c r="Y34" s="469"/>
      <c r="Z34" s="469"/>
      <c r="AA34" s="469"/>
      <c r="AB34" s="469"/>
      <c r="AC34" s="42"/>
      <c r="AD34" s="469" t="str">
        <f aca="false">IF(TITLE_IST_PUB_CHANGE="",IF(TITLE_IST_PUB="","",TITLE_IST_PUB),TITLE_IST_PUB_CHANGE)</f>
        <v/>
      </c>
      <c r="AE34" s="469"/>
      <c r="AF34" s="469"/>
      <c r="AG34" s="469"/>
      <c r="AH34" s="469"/>
      <c r="AI34" s="469"/>
      <c r="AJ34" s="469"/>
      <c r="AK34" s="469"/>
      <c r="AL34" s="469"/>
      <c r="AM34" s="469"/>
      <c r="AN34" s="469"/>
      <c r="AO34" s="469"/>
      <c r="AP34" s="469"/>
      <c r="AQ34" s="469"/>
      <c r="AR34" s="469"/>
      <c r="AS34" s="469"/>
      <c r="AT34" s="469"/>
      <c r="AU34" s="469"/>
      <c r="AV34" s="469"/>
      <c r="AW34" s="469"/>
      <c r="AX34" s="469"/>
      <c r="AY34" s="469"/>
      <c r="AZ34" s="469"/>
      <c r="BA34" s="42"/>
      <c r="BB34" s="42"/>
      <c r="BC34" s="470"/>
      <c r="BD34" s="118"/>
      <c r="BE34" s="118"/>
      <c r="BF34" s="118"/>
      <c r="BG34" s="118"/>
      <c r="BH34" s="118"/>
      <c r="BI34" s="175" t="n">
        <v>0</v>
      </c>
    </row>
    <row r="35" customFormat="false" ht="14.25" hidden="true" customHeight="true" outlineLevel="0" collapsed="false">
      <c r="Q35" s="561"/>
      <c r="R35" s="464"/>
      <c r="S35" s="465"/>
      <c r="T35" s="80"/>
      <c r="U35" s="80"/>
      <c r="V35" s="466"/>
      <c r="W35" s="466"/>
      <c r="X35" s="466"/>
      <c r="Y35" s="466"/>
      <c r="Z35" s="466"/>
      <c r="AA35" s="466"/>
      <c r="AB35" s="466"/>
      <c r="AC35" s="466"/>
      <c r="AD35" s="466"/>
      <c r="AE35" s="466"/>
      <c r="AF35" s="466"/>
      <c r="AG35" s="466"/>
      <c r="AH35" s="466"/>
      <c r="AI35" s="466"/>
      <c r="AJ35" s="466"/>
      <c r="AK35" s="466"/>
      <c r="AL35" s="466"/>
      <c r="AM35" s="466"/>
      <c r="AN35" s="466"/>
      <c r="AO35" s="466"/>
      <c r="AP35" s="466"/>
      <c r="AQ35" s="466"/>
      <c r="AR35" s="466"/>
      <c r="AS35" s="466"/>
      <c r="AT35" s="466"/>
      <c r="AU35" s="466"/>
      <c r="AV35" s="466"/>
      <c r="AW35" s="466"/>
      <c r="AX35" s="466"/>
      <c r="AY35" s="466"/>
      <c r="AZ35" s="466"/>
      <c r="BA35" s="466"/>
      <c r="BI35" s="42" t="n">
        <v>0</v>
      </c>
    </row>
    <row r="36" s="175" customFormat="true" ht="18.75" hidden="true" customHeight="true" outlineLevel="0" collapsed="false">
      <c r="A36" s="140"/>
      <c r="B36" s="140"/>
      <c r="C36" s="140"/>
      <c r="D36" s="140"/>
      <c r="E36" s="140"/>
      <c r="F36" s="140"/>
      <c r="G36" s="140"/>
      <c r="H36" s="140"/>
      <c r="I36" s="140"/>
      <c r="J36" s="140"/>
      <c r="K36" s="140"/>
      <c r="L36" s="414"/>
      <c r="M36" s="140"/>
      <c r="N36" s="140"/>
      <c r="O36" s="140"/>
      <c r="P36" s="140"/>
      <c r="Q36" s="140"/>
      <c r="S36" s="467" t="s">
        <v>436</v>
      </c>
      <c r="T36" s="467"/>
      <c r="U36" s="468"/>
      <c r="V36" s="471" t="str">
        <f aca="false">IF(TITLE_DATE_PR_CHANGE="",IF(TITLE_DATE_PR="","",TITLE_DATE_PR),TITLE_DATE_PR_CHANGE)</f>
        <v/>
      </c>
      <c r="W36" s="471"/>
      <c r="X36" s="471"/>
      <c r="Y36" s="471"/>
      <c r="Z36" s="471"/>
      <c r="AA36" s="471"/>
      <c r="AB36" s="471"/>
      <c r="AC36" s="42"/>
      <c r="AD36" s="471" t="str">
        <f aca="false">IF(TITLE_DATE_PR_CHANGE="",IF(TITLE_DATE_PR="","",TITLE_DATE_PR),TITLE_DATE_PR_CHANGE)</f>
        <v/>
      </c>
      <c r="AE36" s="471"/>
      <c r="AF36" s="471"/>
      <c r="AG36" s="471"/>
      <c r="AH36" s="471"/>
      <c r="AI36" s="471"/>
      <c r="AJ36" s="471"/>
      <c r="AK36" s="471"/>
      <c r="AL36" s="471"/>
      <c r="AM36" s="471"/>
      <c r="AN36" s="471"/>
      <c r="AO36" s="471"/>
      <c r="AP36" s="471"/>
      <c r="AQ36" s="471"/>
      <c r="AR36" s="471"/>
      <c r="AS36" s="471"/>
      <c r="AT36" s="471"/>
      <c r="AU36" s="471"/>
      <c r="AV36" s="471"/>
      <c r="AW36" s="471"/>
      <c r="AX36" s="471"/>
      <c r="AY36" s="471"/>
      <c r="AZ36" s="471"/>
      <c r="BA36" s="42"/>
      <c r="BB36" s="42"/>
      <c r="BC36" s="470"/>
      <c r="BD36" s="118"/>
      <c r="BE36" s="118"/>
      <c r="BF36" s="118"/>
      <c r="BG36" s="118"/>
      <c r="BH36" s="118"/>
      <c r="BI36" s="175" t="n">
        <v>0</v>
      </c>
    </row>
    <row r="37" s="175" customFormat="true" ht="18.75" hidden="true" customHeight="true" outlineLevel="0" collapsed="false">
      <c r="A37" s="140"/>
      <c r="B37" s="140"/>
      <c r="C37" s="140"/>
      <c r="D37" s="140"/>
      <c r="E37" s="140"/>
      <c r="F37" s="140"/>
      <c r="G37" s="140"/>
      <c r="H37" s="140"/>
      <c r="I37" s="140"/>
      <c r="J37" s="140"/>
      <c r="K37" s="140"/>
      <c r="L37" s="414"/>
      <c r="M37" s="140"/>
      <c r="N37" s="140"/>
      <c r="O37" s="140"/>
      <c r="P37" s="140"/>
      <c r="Q37" s="140"/>
      <c r="S37" s="467" t="s">
        <v>437</v>
      </c>
      <c r="T37" s="467"/>
      <c r="U37" s="468"/>
      <c r="V37" s="469" t="str">
        <f aca="false">IF(TITLE_NUMBER_PR_CHANGE="",IF(TITLE_NUMBER_PR="","",TITLE_NUMBER_PR),TITLE_NUMBER_PR_CHANGE)</f>
        <v/>
      </c>
      <c r="W37" s="469"/>
      <c r="X37" s="469"/>
      <c r="Y37" s="469"/>
      <c r="Z37" s="469"/>
      <c r="AA37" s="469"/>
      <c r="AB37" s="469"/>
      <c r="AC37" s="42"/>
      <c r="AD37" s="469" t="str">
        <f aca="false">IF(TITLE_NUMBER_PR_CHANGE="",IF(TITLE_NUMBER_PR="","",TITLE_NUMBER_PR),TITLE_NUMBER_PR_CHANGE)</f>
        <v/>
      </c>
      <c r="AE37" s="469"/>
      <c r="AF37" s="469"/>
      <c r="AG37" s="469"/>
      <c r="AH37" s="469"/>
      <c r="AI37" s="469"/>
      <c r="AJ37" s="469"/>
      <c r="AK37" s="469"/>
      <c r="AL37" s="469"/>
      <c r="AM37" s="469"/>
      <c r="AN37" s="469"/>
      <c r="AO37" s="469"/>
      <c r="AP37" s="469"/>
      <c r="AQ37" s="469"/>
      <c r="AR37" s="469"/>
      <c r="AS37" s="469"/>
      <c r="AT37" s="469"/>
      <c r="AU37" s="469"/>
      <c r="AV37" s="469"/>
      <c r="AW37" s="469"/>
      <c r="AX37" s="469"/>
      <c r="AY37" s="469"/>
      <c r="AZ37" s="469"/>
      <c r="BA37" s="42"/>
      <c r="BB37" s="42"/>
      <c r="BC37" s="470"/>
      <c r="BD37" s="118"/>
      <c r="BE37" s="118"/>
      <c r="BF37" s="118"/>
      <c r="BG37" s="118"/>
      <c r="BH37" s="118"/>
      <c r="BI37" s="175" t="n">
        <v>0</v>
      </c>
    </row>
    <row r="38" s="175" customFormat="true" ht="12.8" hidden="false" customHeight="false" outlineLevel="0" collapsed="false">
      <c r="A38" s="140"/>
      <c r="B38" s="140"/>
      <c r="C38" s="140"/>
      <c r="D38" s="140"/>
      <c r="E38" s="140"/>
      <c r="F38" s="140"/>
      <c r="G38" s="140"/>
      <c r="H38" s="140"/>
      <c r="I38" s="140"/>
      <c r="J38" s="140"/>
      <c r="K38" s="140"/>
      <c r="L38" s="414"/>
      <c r="M38" s="140"/>
      <c r="N38" s="140"/>
      <c r="O38" s="140"/>
      <c r="P38" s="140"/>
      <c r="Q38" s="140"/>
      <c r="S38" s="42"/>
      <c r="T38" s="42"/>
      <c r="U38" s="128"/>
      <c r="V38" s="42"/>
      <c r="W38" s="42"/>
      <c r="X38" s="42"/>
      <c r="Y38" s="42"/>
      <c r="Z38" s="42"/>
      <c r="AA38" s="42"/>
      <c r="AB38" s="42"/>
      <c r="AC38" s="47" t="s">
        <v>440</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7" t="s">
        <v>440</v>
      </c>
      <c r="BD38" s="118"/>
      <c r="BE38" s="118"/>
      <c r="BF38" s="118"/>
      <c r="BG38" s="118"/>
      <c r="BH38" s="118"/>
      <c r="BI38" s="175" t="n">
        <v>0</v>
      </c>
    </row>
    <row r="39" customFormat="false" ht="14.25" hidden="false" customHeight="true" outlineLevel="0" collapsed="false">
      <c r="Q39" s="561"/>
      <c r="R39" s="464"/>
      <c r="S39" s="465"/>
      <c r="T39" s="80"/>
      <c r="U39" s="472"/>
      <c r="V39" s="473"/>
      <c r="W39" s="473"/>
      <c r="X39" s="473"/>
      <c r="Y39" s="473"/>
      <c r="Z39" s="473"/>
      <c r="AA39" s="473"/>
      <c r="AB39" s="473"/>
      <c r="AC39" s="473"/>
      <c r="AD39" s="473"/>
      <c r="AE39" s="473"/>
      <c r="AF39" s="473"/>
      <c r="AG39" s="473"/>
      <c r="AH39" s="473"/>
      <c r="AI39" s="473"/>
      <c r="AJ39" s="473"/>
      <c r="AK39" s="473"/>
      <c r="AL39" s="473"/>
      <c r="AM39" s="473"/>
      <c r="AN39" s="473"/>
      <c r="AO39" s="473"/>
      <c r="AP39" s="473"/>
      <c r="AQ39" s="473"/>
      <c r="AR39" s="473"/>
      <c r="AS39" s="473"/>
      <c r="AT39" s="473"/>
      <c r="AU39" s="473"/>
      <c r="AV39" s="473"/>
      <c r="AW39" s="473"/>
      <c r="AX39" s="473"/>
      <c r="AY39" s="473"/>
      <c r="AZ39" s="473"/>
      <c r="BA39" s="473"/>
      <c r="BI39" s="42" t="n">
        <v>14</v>
      </c>
    </row>
    <row r="40" customFormat="false" ht="14.25" hidden="false" customHeight="true" outlineLevel="0" collapsed="false">
      <c r="Q40" s="561"/>
      <c r="R40" s="464"/>
      <c r="S40" s="134" t="s">
        <v>313</v>
      </c>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t="s">
        <v>314</v>
      </c>
      <c r="BI40" s="42" t="n">
        <v>14</v>
      </c>
    </row>
    <row r="41" customFormat="false" ht="14.25" hidden="false" customHeight="true" outlineLevel="0" collapsed="false">
      <c r="Q41" s="561"/>
      <c r="R41" s="464"/>
      <c r="S41" s="416" t="s">
        <v>87</v>
      </c>
      <c r="T41" s="391" t="s">
        <v>520</v>
      </c>
      <c r="U41" s="475"/>
      <c r="V41" s="296" t="s">
        <v>442</v>
      </c>
      <c r="W41" s="296"/>
      <c r="X41" s="296"/>
      <c r="Y41" s="296"/>
      <c r="Z41" s="296"/>
      <c r="AA41" s="296"/>
      <c r="AB41" s="296"/>
      <c r="AC41" s="391" t="s">
        <v>443</v>
      </c>
      <c r="AD41" s="296" t="s">
        <v>537</v>
      </c>
      <c r="AE41" s="296"/>
      <c r="AF41" s="296"/>
      <c r="AG41" s="296"/>
      <c r="AH41" s="296" t="s">
        <v>538</v>
      </c>
      <c r="AI41" s="296"/>
      <c r="AJ41" s="296"/>
      <c r="AK41" s="296"/>
      <c r="AL41" s="296" t="s">
        <v>539</v>
      </c>
      <c r="AM41" s="296"/>
      <c r="AN41" s="296"/>
      <c r="AO41" s="296"/>
      <c r="AP41" s="296" t="s">
        <v>524</v>
      </c>
      <c r="AQ41" s="296"/>
      <c r="AR41" s="296"/>
      <c r="AS41" s="296"/>
      <c r="AT41" s="296" t="s">
        <v>442</v>
      </c>
      <c r="AU41" s="296"/>
      <c r="AV41" s="296"/>
      <c r="AW41" s="296"/>
      <c r="AX41" s="296"/>
      <c r="AY41" s="296"/>
      <c r="AZ41" s="296"/>
      <c r="BA41" s="391" t="s">
        <v>443</v>
      </c>
      <c r="BB41" s="476" t="s">
        <v>445</v>
      </c>
      <c r="BC41" s="134"/>
      <c r="BI41" s="42" t="n">
        <v>14</v>
      </c>
    </row>
    <row r="42" customFormat="false" ht="35.25" hidden="false" customHeight="true" outlineLevel="0" collapsed="false">
      <c r="Q42" s="561"/>
      <c r="R42" s="464"/>
      <c r="S42" s="416"/>
      <c r="T42" s="391"/>
      <c r="U42" s="477"/>
      <c r="V42" s="134" t="s">
        <v>525</v>
      </c>
      <c r="W42" s="134"/>
      <c r="X42" s="134" t="s">
        <v>526</v>
      </c>
      <c r="Y42" s="134"/>
      <c r="Z42" s="134" t="s">
        <v>527</v>
      </c>
      <c r="AA42" s="134"/>
      <c r="AB42" s="134"/>
      <c r="AC42" s="391"/>
      <c r="AD42" s="296"/>
      <c r="AE42" s="296"/>
      <c r="AF42" s="296"/>
      <c r="AG42" s="296"/>
      <c r="AH42" s="296"/>
      <c r="AI42" s="296"/>
      <c r="AJ42" s="296"/>
      <c r="AK42" s="296"/>
      <c r="AL42" s="296"/>
      <c r="AM42" s="296"/>
      <c r="AN42" s="296"/>
      <c r="AO42" s="296"/>
      <c r="AP42" s="296"/>
      <c r="AQ42" s="296"/>
      <c r="AR42" s="296"/>
      <c r="AS42" s="296"/>
      <c r="AT42" s="134" t="s">
        <v>540</v>
      </c>
      <c r="AU42" s="134"/>
      <c r="AV42" s="134" t="s">
        <v>541</v>
      </c>
      <c r="AW42" s="134"/>
      <c r="AX42" s="134" t="s">
        <v>527</v>
      </c>
      <c r="AY42" s="134"/>
      <c r="AZ42" s="134"/>
      <c r="BA42" s="391"/>
      <c r="BB42" s="476"/>
      <c r="BC42" s="134"/>
      <c r="BI42" s="42" t="n">
        <v>34</v>
      </c>
    </row>
    <row r="43" customFormat="false" ht="14.25" hidden="false" customHeight="true" outlineLevel="0" collapsed="false">
      <c r="Q43" s="561"/>
      <c r="R43" s="464"/>
      <c r="S43" s="416"/>
      <c r="T43" s="391"/>
      <c r="U43" s="477"/>
      <c r="V43" s="134"/>
      <c r="W43" s="134"/>
      <c r="X43" s="134"/>
      <c r="Y43" s="134"/>
      <c r="Z43" s="134"/>
      <c r="AA43" s="134"/>
      <c r="AB43" s="134"/>
      <c r="AC43" s="391"/>
      <c r="AD43" s="296"/>
      <c r="AE43" s="296"/>
      <c r="AF43" s="296"/>
      <c r="AG43" s="296"/>
      <c r="AH43" s="296"/>
      <c r="AI43" s="296"/>
      <c r="AJ43" s="296"/>
      <c r="AK43" s="296"/>
      <c r="AL43" s="296"/>
      <c r="AM43" s="296"/>
      <c r="AN43" s="296"/>
      <c r="AO43" s="296"/>
      <c r="AP43" s="296"/>
      <c r="AQ43" s="296"/>
      <c r="AR43" s="296"/>
      <c r="AS43" s="296"/>
      <c r="AT43" s="134"/>
      <c r="AU43" s="134"/>
      <c r="AV43" s="134"/>
      <c r="AW43" s="134"/>
      <c r="AX43" s="134"/>
      <c r="AY43" s="134"/>
      <c r="AZ43" s="134"/>
      <c r="BA43" s="391"/>
      <c r="BB43" s="476"/>
      <c r="BC43" s="134"/>
      <c r="BI43" s="42" t="n">
        <v>14</v>
      </c>
    </row>
    <row r="44" customFormat="false" ht="14.25" hidden="false" customHeight="true" outlineLevel="0" collapsed="false">
      <c r="A44" s="140"/>
      <c r="B44" s="140" t="s">
        <v>150</v>
      </c>
      <c r="C44" s="140" t="s">
        <v>151</v>
      </c>
      <c r="D44" s="140" t="s">
        <v>152</v>
      </c>
      <c r="E44" s="414" t="s">
        <v>450</v>
      </c>
      <c r="F44" s="414" t="s">
        <v>451</v>
      </c>
      <c r="G44" s="414" t="s">
        <v>452</v>
      </c>
      <c r="H44" s="414" t="s">
        <v>453</v>
      </c>
      <c r="I44" s="414" t="s">
        <v>454</v>
      </c>
      <c r="J44" s="414" t="s">
        <v>455</v>
      </c>
      <c r="K44" s="414" t="s">
        <v>456</v>
      </c>
      <c r="L44" s="414" t="s">
        <v>431</v>
      </c>
      <c r="Q44" s="561"/>
      <c r="R44" s="464"/>
      <c r="S44" s="416"/>
      <c r="T44" s="391"/>
      <c r="U44" s="478"/>
      <c r="V44" s="391" t="s">
        <v>491</v>
      </c>
      <c r="W44" s="391" t="s">
        <v>492</v>
      </c>
      <c r="X44" s="391" t="s">
        <v>491</v>
      </c>
      <c r="Y44" s="391" t="s">
        <v>492</v>
      </c>
      <c r="Z44" s="185" t="s">
        <v>459</v>
      </c>
      <c r="AA44" s="185" t="s">
        <v>460</v>
      </c>
      <c r="AB44" s="185"/>
      <c r="AC44" s="391"/>
      <c r="AD44" s="296"/>
      <c r="AE44" s="296"/>
      <c r="AF44" s="296"/>
      <c r="AG44" s="296"/>
      <c r="AH44" s="296"/>
      <c r="AI44" s="296"/>
      <c r="AJ44" s="296"/>
      <c r="AK44" s="296"/>
      <c r="AL44" s="296"/>
      <c r="AM44" s="296"/>
      <c r="AN44" s="296"/>
      <c r="AO44" s="296"/>
      <c r="AP44" s="296"/>
      <c r="AQ44" s="296"/>
      <c r="AR44" s="296"/>
      <c r="AS44" s="296"/>
      <c r="AT44" s="391" t="s">
        <v>491</v>
      </c>
      <c r="AU44" s="391" t="s">
        <v>492</v>
      </c>
      <c r="AV44" s="391" t="s">
        <v>491</v>
      </c>
      <c r="AW44" s="391" t="s">
        <v>492</v>
      </c>
      <c r="AX44" s="185" t="s">
        <v>459</v>
      </c>
      <c r="AY44" s="185" t="s">
        <v>460</v>
      </c>
      <c r="AZ44" s="185"/>
      <c r="BA44" s="391"/>
      <c r="BB44" s="476"/>
      <c r="BC44" s="134"/>
      <c r="BI44" s="42" t="n">
        <v>14</v>
      </c>
    </row>
    <row r="45" s="120" customFormat="true" ht="11.25" hidden="true" customHeight="true" outlineLevel="0" collapsed="false">
      <c r="A45" s="140"/>
      <c r="B45" s="140"/>
      <c r="C45" s="140"/>
      <c r="D45" s="140"/>
      <c r="E45" s="140"/>
      <c r="F45" s="140"/>
      <c r="G45" s="140"/>
      <c r="H45" s="140"/>
      <c r="I45" s="140"/>
      <c r="J45" s="140"/>
      <c r="K45" s="140"/>
      <c r="L45" s="414"/>
      <c r="M45" s="51"/>
      <c r="N45" s="51"/>
      <c r="O45" s="51"/>
      <c r="P45" s="506"/>
      <c r="Q45" s="481"/>
      <c r="R45" s="481" t="n">
        <v>1</v>
      </c>
      <c r="S45" s="482" t="s">
        <v>120</v>
      </c>
      <c r="T45" s="483" t="s">
        <v>102</v>
      </c>
      <c r="U45" s="484" t="str">
        <f aca="true">OFFSET(U45,0,-1)</f>
        <v>2</v>
      </c>
      <c r="V45" s="485" t="n">
        <f aca="true">OFFSET(V45,0,-1)+1</f>
        <v>3</v>
      </c>
      <c r="W45" s="485" t="n">
        <f aca="true">OFFSET(W45,0,-1)+1</f>
        <v>4</v>
      </c>
      <c r="X45" s="485" t="n">
        <f aca="true">OFFSET(X45,0,-1)+1</f>
        <v>5</v>
      </c>
      <c r="Y45" s="485" t="n">
        <f aca="true">OFFSET(Y45,0,-1)+1</f>
        <v>6</v>
      </c>
      <c r="Z45" s="485" t="n">
        <f aca="true">OFFSET(Z45,0,-1)+1</f>
        <v>7</v>
      </c>
      <c r="AA45" s="485" t="n">
        <f aca="true">OFFSET(AA45,0,-1)+1</f>
        <v>8</v>
      </c>
      <c r="AB45" s="485"/>
      <c r="AC45" s="485" t="n">
        <f aca="true">OFFSET(AC45,0,-2)+1</f>
        <v>9</v>
      </c>
      <c r="AD45" s="485" t="n">
        <f aca="true">OFFSET(AD45,0,-1)+1</f>
        <v>10</v>
      </c>
      <c r="AE45" s="485"/>
      <c r="AF45" s="485"/>
      <c r="AG45" s="485"/>
      <c r="AH45" s="485"/>
      <c r="AI45" s="485"/>
      <c r="AJ45" s="485"/>
      <c r="AK45" s="485"/>
      <c r="AL45" s="485"/>
      <c r="AM45" s="485"/>
      <c r="AN45" s="485"/>
      <c r="AO45" s="485"/>
      <c r="AP45" s="485"/>
      <c r="AQ45" s="485"/>
      <c r="AR45" s="485"/>
      <c r="AS45" s="485"/>
      <c r="AT45" s="485"/>
      <c r="AU45" s="485"/>
      <c r="AV45" s="485"/>
      <c r="AW45" s="485" t="n">
        <f aca="true">OFFSET(AW45,0,-1)+1</f>
        <v>1</v>
      </c>
      <c r="AX45" s="485" t="n">
        <f aca="true">OFFSET(AX45,0,-1)+1</f>
        <v>2</v>
      </c>
      <c r="AY45" s="485" t="n">
        <f aca="true">OFFSET(AY45,0,-1)+1</f>
        <v>3</v>
      </c>
      <c r="AZ45" s="485"/>
      <c r="BA45" s="485" t="n">
        <f aca="true">OFFSET(BA45,0,-2)+1</f>
        <v>4</v>
      </c>
      <c r="BB45" s="484" t="n">
        <f aca="true">OFFSET(BB45,0,-1)</f>
        <v>4</v>
      </c>
      <c r="BC45" s="485" t="n">
        <f aca="true">OFFSET(BC45,0,-1)+1</f>
        <v>5</v>
      </c>
      <c r="BD45" s="47"/>
      <c r="BE45" s="47"/>
      <c r="BF45" s="47"/>
      <c r="BG45" s="47"/>
      <c r="BH45" s="47"/>
      <c r="BI45" s="120" t="n">
        <v>0</v>
      </c>
    </row>
    <row r="46" customFormat="false" ht="21.75" hidden="false" customHeight="true" outlineLevel="0" collapsed="false">
      <c r="A46" s="412" t="s">
        <v>289</v>
      </c>
      <c r="B46" s="412"/>
      <c r="C46" s="412"/>
      <c r="D46" s="412"/>
      <c r="E46" s="413" t="n">
        <v>1</v>
      </c>
      <c r="F46" s="412"/>
      <c r="G46" s="412"/>
      <c r="H46" s="412"/>
      <c r="I46" s="412"/>
      <c r="J46" s="412"/>
      <c r="K46" s="412"/>
      <c r="L46" s="414"/>
      <c r="M46" s="40"/>
      <c r="N46" s="40"/>
      <c r="O46" s="40"/>
      <c r="Q46" s="54"/>
      <c r="R46" s="415"/>
      <c r="S46" s="416" t="n">
        <f aca="false">INDEX(PT_DIFFERENTIATION_NUM_NTAR,MATCH(A46,PT_DIFFERENTIATION_NTAR_ID,0))</f>
        <v>0</v>
      </c>
      <c r="T46" s="417" t="s">
        <v>138</v>
      </c>
      <c r="U46" s="418"/>
      <c r="V46" s="581"/>
      <c r="W46" s="581"/>
      <c r="X46" s="581"/>
      <c r="Y46" s="581"/>
      <c r="Z46" s="581"/>
      <c r="AA46" s="581"/>
      <c r="AB46" s="581"/>
      <c r="AC46" s="581"/>
      <c r="AD46" s="420" t="str">
        <f aca="false">INDEX(PT_DIFFERENTIATION_NTAR,MATCH(A46,PT_DIFFERENTIATION_NTAR_ID,0))</f>
        <v/>
      </c>
      <c r="AE46" s="420"/>
      <c r="AF46" s="420"/>
      <c r="AG46" s="420"/>
      <c r="AH46" s="420"/>
      <c r="AI46" s="420"/>
      <c r="AJ46" s="420"/>
      <c r="AK46" s="420"/>
      <c r="AL46" s="420"/>
      <c r="AM46" s="420"/>
      <c r="AN46" s="420"/>
      <c r="AO46" s="420"/>
      <c r="AP46" s="420"/>
      <c r="AQ46" s="420"/>
      <c r="AR46" s="420"/>
      <c r="AS46" s="420"/>
      <c r="AT46" s="420"/>
      <c r="AU46" s="420"/>
      <c r="AV46" s="420"/>
      <c r="AW46" s="420"/>
      <c r="AX46" s="420"/>
      <c r="AY46" s="420"/>
      <c r="AZ46" s="420"/>
      <c r="BA46" s="420"/>
      <c r="BB46" s="420"/>
      <c r="BC46" s="42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18"/>
      <c r="BF46" s="118" t="str">
        <f aca="false">IF(T46="","",T46)</f>
        <v>Наименование тарифа</v>
      </c>
      <c r="BG46" s="118"/>
      <c r="BH46" s="118"/>
      <c r="BI46" s="42" t="n">
        <v>21</v>
      </c>
    </row>
    <row r="47" customFormat="false" ht="21.75" hidden="false" customHeight="true" outlineLevel="0" collapsed="false">
      <c r="A47" s="412" t="s">
        <v>289</v>
      </c>
      <c r="B47" s="412" t="s">
        <v>290</v>
      </c>
      <c r="C47" s="412"/>
      <c r="D47" s="412"/>
      <c r="E47" s="413"/>
      <c r="F47" s="413" t="n">
        <v>1</v>
      </c>
      <c r="G47" s="412"/>
      <c r="H47" s="412"/>
      <c r="I47" s="412"/>
      <c r="J47" s="412"/>
      <c r="K47" s="412"/>
      <c r="L47" s="414"/>
      <c r="M47" s="40"/>
      <c r="N47" s="40"/>
      <c r="O47" s="40"/>
      <c r="P47" s="44"/>
      <c r="Q47" s="533"/>
      <c r="R47" s="423"/>
      <c r="S47" s="416" t="str">
        <f aca="false">INDEX(PT_DIFFERENTIATION_NUM_TER,MATCH(B47,PT_DIFFERENTIATION_TER_ID,0))</f>
        <v>.</v>
      </c>
      <c r="T47" s="424" t="s">
        <v>410</v>
      </c>
      <c r="U47" s="418"/>
      <c r="V47" s="581"/>
      <c r="W47" s="581"/>
      <c r="X47" s="581"/>
      <c r="Y47" s="581"/>
      <c r="Z47" s="581"/>
      <c r="AA47" s="581"/>
      <c r="AB47" s="581"/>
      <c r="AC47" s="581"/>
      <c r="AD47" s="420" t="str">
        <f aca="false">INDEX(PT_DIFFERENTIATION_TER,MATCH(B47,PT_DIFFERENTIATION_TER_ID,0))</f>
        <v/>
      </c>
      <c r="AE47" s="420"/>
      <c r="AF47" s="420"/>
      <c r="AG47" s="420"/>
      <c r="AH47" s="420"/>
      <c r="AI47" s="420"/>
      <c r="AJ47" s="420"/>
      <c r="AK47" s="420"/>
      <c r="AL47" s="420"/>
      <c r="AM47" s="420"/>
      <c r="AN47" s="420"/>
      <c r="AO47" s="420"/>
      <c r="AP47" s="420"/>
      <c r="AQ47" s="420"/>
      <c r="AR47" s="420"/>
      <c r="AS47" s="420"/>
      <c r="AT47" s="420"/>
      <c r="AU47" s="420"/>
      <c r="AV47" s="420"/>
      <c r="AW47" s="420"/>
      <c r="AX47" s="420"/>
      <c r="AY47" s="420"/>
      <c r="AZ47" s="420"/>
      <c r="BA47" s="420"/>
      <c r="BB47" s="420"/>
      <c r="BC47" s="421" t="s">
        <v>411</v>
      </c>
      <c r="BE47" s="118"/>
      <c r="BF47" s="118" t="str">
        <f aca="false">IF(T47="","",T47)</f>
        <v>Территория действия тарифа</v>
      </c>
      <c r="BG47" s="118"/>
      <c r="BH47" s="118"/>
      <c r="BI47" s="42" t="n">
        <v>21</v>
      </c>
    </row>
    <row r="48" customFormat="false" ht="35.25" hidden="false" customHeight="true" outlineLevel="0" collapsed="false">
      <c r="A48" s="412" t="s">
        <v>289</v>
      </c>
      <c r="B48" s="412" t="s">
        <v>290</v>
      </c>
      <c r="C48" s="412" t="s">
        <v>291</v>
      </c>
      <c r="D48" s="412"/>
      <c r="E48" s="413"/>
      <c r="F48" s="413"/>
      <c r="G48" s="413" t="n">
        <v>1</v>
      </c>
      <c r="H48" s="412"/>
      <c r="I48" s="412"/>
      <c r="J48" s="412"/>
      <c r="K48" s="412"/>
      <c r="L48" s="414"/>
      <c r="M48" s="40"/>
      <c r="N48" s="40"/>
      <c r="O48" s="40"/>
      <c r="P48" s="127"/>
      <c r="Q48" s="533"/>
      <c r="R48" s="423"/>
      <c r="S48" s="416" t="str">
        <f aca="false">INDEX(PT_DIFFERENTIATION_NUM_CS,MATCH(C48,PT_DIFFERENTIATION_CS_ID,0))</f>
        <v>..</v>
      </c>
      <c r="T48" s="426" t="s">
        <v>529</v>
      </c>
      <c r="U48" s="418"/>
      <c r="V48" s="581"/>
      <c r="W48" s="581"/>
      <c r="X48" s="581"/>
      <c r="Y48" s="581"/>
      <c r="Z48" s="581"/>
      <c r="AA48" s="581"/>
      <c r="AB48" s="581"/>
      <c r="AC48" s="581"/>
      <c r="AD48" s="420" t="str">
        <f aca="false">INDEX(PT_DIFFERENTIATION_CS,MATCH(C48,PT_DIFFERENTIATION_CS_ID,0))</f>
        <v/>
      </c>
      <c r="AE48" s="420"/>
      <c r="AF48" s="420"/>
      <c r="AG48" s="420"/>
      <c r="AH48" s="420"/>
      <c r="AI48" s="420"/>
      <c r="AJ48" s="420"/>
      <c r="AK48" s="420"/>
      <c r="AL48" s="420"/>
      <c r="AM48" s="420"/>
      <c r="AN48" s="420"/>
      <c r="AO48" s="420"/>
      <c r="AP48" s="420"/>
      <c r="AQ48" s="420"/>
      <c r="AR48" s="420"/>
      <c r="AS48" s="420"/>
      <c r="AT48" s="420"/>
      <c r="AU48" s="420"/>
      <c r="AV48" s="420"/>
      <c r="AW48" s="420"/>
      <c r="AX48" s="420"/>
      <c r="AY48" s="420"/>
      <c r="AZ48" s="420"/>
      <c r="BA48" s="420"/>
      <c r="BB48" s="420"/>
      <c r="BC48" s="421" t="s">
        <v>530</v>
      </c>
      <c r="BE48" s="118"/>
      <c r="BF48" s="118" t="str">
        <f aca="false">IF(T48="","",T48)</f>
        <v>Наименование централизованной системы водоотведения</v>
      </c>
      <c r="BG48" s="118"/>
      <c r="BH48" s="118"/>
      <c r="BI48" s="42" t="n">
        <v>34</v>
      </c>
    </row>
    <row r="49" s="47" customFormat="true" ht="12.8" hidden="false" customHeight="false" outlineLevel="0" collapsed="false">
      <c r="A49" s="122" t="s">
        <v>289</v>
      </c>
      <c r="B49" s="122" t="s">
        <v>290</v>
      </c>
      <c r="C49" s="122" t="s">
        <v>291</v>
      </c>
      <c r="D49" s="122" t="s">
        <v>542</v>
      </c>
      <c r="E49" s="413"/>
      <c r="F49" s="413"/>
      <c r="G49" s="413"/>
      <c r="H49" s="413" t="n">
        <v>1</v>
      </c>
      <c r="I49" s="122"/>
      <c r="J49" s="122"/>
      <c r="K49" s="122"/>
      <c r="L49" s="192"/>
      <c r="M49" s="46"/>
      <c r="N49" s="46"/>
      <c r="O49" s="46"/>
      <c r="P49" s="591"/>
      <c r="Q49" s="592"/>
      <c r="R49" s="432"/>
      <c r="S49" s="301"/>
      <c r="T49" s="593"/>
      <c r="U49" s="499"/>
      <c r="V49" s="534"/>
      <c r="W49" s="534"/>
      <c r="X49" s="534"/>
      <c r="Y49" s="534"/>
      <c r="Z49" s="534"/>
      <c r="AA49" s="534"/>
      <c r="AB49" s="534"/>
      <c r="AC49" s="534"/>
      <c r="AD49" s="500"/>
      <c r="AE49" s="500"/>
      <c r="AF49" s="500"/>
      <c r="AG49" s="500"/>
      <c r="AH49" s="500"/>
      <c r="AI49" s="500"/>
      <c r="AJ49" s="500"/>
      <c r="AK49" s="500"/>
      <c r="AL49" s="500"/>
      <c r="AM49" s="500"/>
      <c r="AN49" s="500"/>
      <c r="AO49" s="500"/>
      <c r="AP49" s="500"/>
      <c r="AQ49" s="500"/>
      <c r="AR49" s="500"/>
      <c r="AS49" s="500"/>
      <c r="AT49" s="500"/>
      <c r="AU49" s="500"/>
      <c r="AV49" s="500"/>
      <c r="AW49" s="500"/>
      <c r="AX49" s="500"/>
      <c r="AY49" s="500"/>
      <c r="AZ49" s="500"/>
      <c r="BA49" s="500"/>
      <c r="BB49" s="500"/>
      <c r="BC49" s="501" t="s">
        <v>415</v>
      </c>
      <c r="BE49" s="118"/>
      <c r="BF49" s="118" t="str">
        <f aca="false">IF(T49="","",T49)</f>
        <v/>
      </c>
      <c r="BG49" s="118"/>
      <c r="BH49" s="118"/>
      <c r="BI49" s="47" t="n">
        <v>0</v>
      </c>
    </row>
    <row r="50" s="47" customFormat="true" ht="12.8" hidden="false" customHeight="false" outlineLevel="0" collapsed="false">
      <c r="A50" s="122" t="s">
        <v>289</v>
      </c>
      <c r="B50" s="122" t="s">
        <v>290</v>
      </c>
      <c r="C50" s="122" t="s">
        <v>291</v>
      </c>
      <c r="D50" s="122" t="s">
        <v>542</v>
      </c>
      <c r="E50" s="413"/>
      <c r="F50" s="413"/>
      <c r="G50" s="413"/>
      <c r="H50" s="413"/>
      <c r="I50" s="428" t="str">
        <f aca="false">S49&amp;".1"</f>
        <v>.1</v>
      </c>
      <c r="J50" s="122"/>
      <c r="K50" s="122"/>
      <c r="L50" s="192" t="s">
        <v>416</v>
      </c>
      <c r="M50" s="506"/>
      <c r="N50" s="506"/>
      <c r="O50" s="506"/>
      <c r="P50" s="121" t="n">
        <v>1</v>
      </c>
      <c r="Q50" s="121"/>
      <c r="R50" s="429"/>
      <c r="S50" s="301"/>
      <c r="T50" s="498"/>
      <c r="U50" s="499"/>
      <c r="V50" s="534"/>
      <c r="W50" s="534"/>
      <c r="X50" s="534"/>
      <c r="Y50" s="534"/>
      <c r="Z50" s="534"/>
      <c r="AA50" s="534"/>
      <c r="AB50" s="534"/>
      <c r="AC50" s="534"/>
      <c r="AD50" s="500"/>
      <c r="AE50" s="500"/>
      <c r="AF50" s="500"/>
      <c r="AG50" s="500"/>
      <c r="AH50" s="500"/>
      <c r="AI50" s="500"/>
      <c r="AJ50" s="500"/>
      <c r="AK50" s="500"/>
      <c r="AL50" s="500"/>
      <c r="AM50" s="500"/>
      <c r="AN50" s="500"/>
      <c r="AO50" s="500"/>
      <c r="AP50" s="500"/>
      <c r="AQ50" s="500"/>
      <c r="AR50" s="500"/>
      <c r="AS50" s="500"/>
      <c r="AT50" s="500"/>
      <c r="AU50" s="500"/>
      <c r="AV50" s="500"/>
      <c r="AW50" s="500"/>
      <c r="AX50" s="500"/>
      <c r="AY50" s="500"/>
      <c r="AZ50" s="500"/>
      <c r="BA50" s="500"/>
      <c r="BB50" s="500"/>
      <c r="BC50" s="501"/>
      <c r="BE50" s="118"/>
      <c r="BF50" s="118" t="str">
        <f aca="false">IF(T50="","",T50)</f>
        <v/>
      </c>
      <c r="BG50" s="118"/>
      <c r="BH50" s="118"/>
      <c r="BI50" s="47" t="n">
        <v>0</v>
      </c>
    </row>
    <row r="51" s="47" customFormat="true" ht="12.8" hidden="false" customHeight="false" outlineLevel="0" collapsed="false">
      <c r="A51" s="122" t="s">
        <v>289</v>
      </c>
      <c r="B51" s="122" t="s">
        <v>290</v>
      </c>
      <c r="C51" s="122" t="s">
        <v>291</v>
      </c>
      <c r="D51" s="122" t="s">
        <v>542</v>
      </c>
      <c r="E51" s="413"/>
      <c r="F51" s="413"/>
      <c r="G51" s="413"/>
      <c r="H51" s="413"/>
      <c r="I51" s="428"/>
      <c r="J51" s="428" t="str">
        <f aca="false">S49&amp;".1"</f>
        <v>.1</v>
      </c>
      <c r="K51" s="122"/>
      <c r="L51" s="192"/>
      <c r="M51" s="506"/>
      <c r="N51" s="506"/>
      <c r="O51" s="506"/>
      <c r="P51" s="121"/>
      <c r="Q51" s="121" t="n">
        <v>1</v>
      </c>
      <c r="R51" s="432"/>
      <c r="S51" s="301"/>
      <c r="T51" s="535"/>
      <c r="U51" s="499"/>
      <c r="V51" s="534"/>
      <c r="W51" s="534"/>
      <c r="X51" s="534"/>
      <c r="Y51" s="534"/>
      <c r="Z51" s="534"/>
      <c r="AA51" s="534"/>
      <c r="AB51" s="534"/>
      <c r="AC51" s="534"/>
      <c r="AD51" s="500"/>
      <c r="AE51" s="500"/>
      <c r="AF51" s="500"/>
      <c r="AG51" s="500"/>
      <c r="AH51" s="500"/>
      <c r="AI51" s="500"/>
      <c r="AJ51" s="500"/>
      <c r="AK51" s="500"/>
      <c r="AL51" s="500"/>
      <c r="AM51" s="500"/>
      <c r="AN51" s="500"/>
      <c r="AO51" s="500"/>
      <c r="AP51" s="500"/>
      <c r="AQ51" s="500"/>
      <c r="AR51" s="500"/>
      <c r="AS51" s="500"/>
      <c r="AT51" s="500"/>
      <c r="AU51" s="500"/>
      <c r="AV51" s="500"/>
      <c r="AW51" s="500"/>
      <c r="AX51" s="500"/>
      <c r="AY51" s="500"/>
      <c r="AZ51" s="500"/>
      <c r="BA51" s="500"/>
      <c r="BB51" s="500"/>
      <c r="BC51" s="501"/>
      <c r="BE51" s="118"/>
      <c r="BF51" s="118" t="str">
        <f aca="false">IF(T51="","",T51)</f>
        <v/>
      </c>
      <c r="BG51" s="118"/>
      <c r="BH51" s="118"/>
      <c r="BI51" s="47" t="n">
        <v>0</v>
      </c>
    </row>
    <row r="52" customFormat="false" ht="11.25" hidden="false" customHeight="true" outlineLevel="0" collapsed="false">
      <c r="A52" s="412" t="s">
        <v>289</v>
      </c>
      <c r="B52" s="412" t="s">
        <v>290</v>
      </c>
      <c r="C52" s="412" t="s">
        <v>291</v>
      </c>
      <c r="D52" s="412" t="s">
        <v>542</v>
      </c>
      <c r="E52" s="413"/>
      <c r="F52" s="413"/>
      <c r="G52" s="413"/>
      <c r="H52" s="413"/>
      <c r="I52" s="428"/>
      <c r="J52" s="428"/>
      <c r="K52" s="428" t="str">
        <f aca="false">S48&amp;".1"</f>
        <v>...1</v>
      </c>
      <c r="L52" s="414"/>
      <c r="P52" s="121"/>
      <c r="Q52" s="121"/>
      <c r="R52" s="432" t="n">
        <v>1</v>
      </c>
      <c r="S52" s="474" t="str">
        <f aca="false">$K52</f>
        <v>...1</v>
      </c>
      <c r="T52" s="573"/>
      <c r="U52" s="418"/>
      <c r="V52" s="435"/>
      <c r="W52" s="437"/>
      <c r="X52" s="435"/>
      <c r="Y52" s="437"/>
      <c r="Z52" s="438"/>
      <c r="AA52" s="204" t="s">
        <v>61</v>
      </c>
      <c r="AB52" s="438"/>
      <c r="AC52" s="204" t="s">
        <v>61</v>
      </c>
      <c r="AD52" s="204" t="s">
        <v>61</v>
      </c>
      <c r="AE52" s="538"/>
      <c r="AF52" s="297" t="n">
        <v>1</v>
      </c>
      <c r="AG52" s="585"/>
      <c r="AH52" s="204" t="s">
        <v>61</v>
      </c>
      <c r="AI52" s="538"/>
      <c r="AJ52" s="297" t="n">
        <v>1</v>
      </c>
      <c r="AK52" s="76"/>
      <c r="AL52" s="204" t="s">
        <v>61</v>
      </c>
      <c r="AM52" s="265"/>
      <c r="AN52" s="297" t="n">
        <v>1</v>
      </c>
      <c r="AO52" s="594"/>
      <c r="AP52" s="595" t="s">
        <v>61</v>
      </c>
      <c r="AQ52" s="539"/>
      <c r="AR52" s="297" t="n">
        <v>1</v>
      </c>
      <c r="AS52" s="84"/>
      <c r="AT52" s="435"/>
      <c r="AU52" s="437"/>
      <c r="AV52" s="435"/>
      <c r="AW52" s="437"/>
      <c r="AX52" s="438"/>
      <c r="AY52" s="204" t="s">
        <v>61</v>
      </c>
      <c r="AZ52" s="438"/>
      <c r="BA52" s="204" t="s">
        <v>61</v>
      </c>
      <c r="BB52" s="486"/>
      <c r="BC52" s="439" t="s">
        <v>514</v>
      </c>
      <c r="BE52" s="118"/>
      <c r="BF52" s="118" t="str">
        <f aca="false">IF(T52="","",T52)</f>
        <v/>
      </c>
      <c r="BG52" s="118"/>
      <c r="BH52" s="118"/>
      <c r="BI52" s="42" t="n">
        <v>11</v>
      </c>
    </row>
    <row r="53" customFormat="false" ht="11.25" hidden="false" customHeight="true" outlineLevel="0" collapsed="false">
      <c r="A53" s="412"/>
      <c r="B53" s="412"/>
      <c r="C53" s="412"/>
      <c r="D53" s="412"/>
      <c r="E53" s="413"/>
      <c r="F53" s="413"/>
      <c r="G53" s="413"/>
      <c r="H53" s="413"/>
      <c r="I53" s="428"/>
      <c r="J53" s="428"/>
      <c r="K53" s="428"/>
      <c r="L53" s="414"/>
      <c r="P53" s="121"/>
      <c r="Q53" s="121"/>
      <c r="R53" s="432"/>
      <c r="S53" s="474"/>
      <c r="T53" s="573"/>
      <c r="U53" s="418"/>
      <c r="V53" s="528"/>
      <c r="W53" s="542"/>
      <c r="X53" s="528"/>
      <c r="Y53" s="542"/>
      <c r="Z53" s="528"/>
      <c r="AA53" s="528"/>
      <c r="AB53" s="528"/>
      <c r="AC53" s="528"/>
      <c r="AD53" s="204"/>
      <c r="AE53" s="538"/>
      <c r="AF53" s="297"/>
      <c r="AG53" s="585"/>
      <c r="AH53" s="204"/>
      <c r="AI53" s="538"/>
      <c r="AJ53" s="297"/>
      <c r="AK53" s="76"/>
      <c r="AL53" s="204"/>
      <c r="AM53" s="265"/>
      <c r="AN53" s="297"/>
      <c r="AO53" s="594"/>
      <c r="AP53" s="595"/>
      <c r="AQ53" s="541"/>
      <c r="AR53" s="168"/>
      <c r="AS53" s="168" t="s">
        <v>515</v>
      </c>
      <c r="AT53" s="528"/>
      <c r="AU53" s="542"/>
      <c r="AV53" s="528"/>
      <c r="AW53" s="542"/>
      <c r="AX53" s="528"/>
      <c r="AY53" s="528"/>
      <c r="AZ53" s="528"/>
      <c r="BA53" s="528"/>
      <c r="BB53" s="540"/>
      <c r="BC53" s="439"/>
      <c r="BE53" s="118"/>
      <c r="BF53" s="118"/>
      <c r="BG53" s="118"/>
      <c r="BH53" s="118"/>
      <c r="BI53" s="42" t="n">
        <v>11</v>
      </c>
    </row>
    <row r="54" customFormat="false" ht="11.25" hidden="false" customHeight="true" outlineLevel="0" collapsed="false">
      <c r="A54" s="412" t="s">
        <v>289</v>
      </c>
      <c r="B54" s="412"/>
      <c r="C54" s="412"/>
      <c r="D54" s="412"/>
      <c r="E54" s="413"/>
      <c r="F54" s="413"/>
      <c r="G54" s="413"/>
      <c r="H54" s="413"/>
      <c r="I54" s="428"/>
      <c r="J54" s="428"/>
      <c r="K54" s="428"/>
      <c r="L54" s="414"/>
      <c r="P54" s="121"/>
      <c r="Q54" s="121"/>
      <c r="R54" s="432"/>
      <c r="S54" s="474"/>
      <c r="T54" s="573"/>
      <c r="U54" s="418"/>
      <c r="V54" s="528"/>
      <c r="W54" s="542"/>
      <c r="X54" s="528"/>
      <c r="Y54" s="542"/>
      <c r="Z54" s="528"/>
      <c r="AA54" s="528"/>
      <c r="AB54" s="528"/>
      <c r="AC54" s="528"/>
      <c r="AD54" s="204"/>
      <c r="AE54" s="538"/>
      <c r="AF54" s="297"/>
      <c r="AG54" s="585"/>
      <c r="AH54" s="204"/>
      <c r="AI54" s="538"/>
      <c r="AJ54" s="297"/>
      <c r="AK54" s="76"/>
      <c r="AL54" s="204"/>
      <c r="AM54" s="541"/>
      <c r="AN54" s="596"/>
      <c r="AO54" s="596" t="s">
        <v>535</v>
      </c>
      <c r="AP54" s="168"/>
      <c r="AQ54" s="168"/>
      <c r="AR54" s="168"/>
      <c r="AS54" s="528"/>
      <c r="AT54" s="528"/>
      <c r="AU54" s="542"/>
      <c r="AV54" s="528"/>
      <c r="AW54" s="542"/>
      <c r="AX54" s="528"/>
      <c r="AY54" s="528"/>
      <c r="AZ54" s="528"/>
      <c r="BA54" s="528"/>
      <c r="BB54" s="540"/>
      <c r="BC54" s="439"/>
      <c r="BE54" s="118"/>
      <c r="BF54" s="118"/>
      <c r="BG54" s="118"/>
      <c r="BH54" s="118"/>
      <c r="BI54" s="42" t="n">
        <v>11</v>
      </c>
    </row>
    <row r="55" customFormat="false" ht="11.25" hidden="false" customHeight="true" outlineLevel="0" collapsed="false">
      <c r="A55" s="412" t="s">
        <v>289</v>
      </c>
      <c r="B55" s="412"/>
      <c r="C55" s="412"/>
      <c r="D55" s="412"/>
      <c r="E55" s="413"/>
      <c r="F55" s="413"/>
      <c r="G55" s="413"/>
      <c r="H55" s="413"/>
      <c r="I55" s="428"/>
      <c r="J55" s="428"/>
      <c r="K55" s="428"/>
      <c r="L55" s="414"/>
      <c r="P55" s="121"/>
      <c r="Q55" s="121"/>
      <c r="R55" s="432"/>
      <c r="S55" s="474"/>
      <c r="T55" s="573"/>
      <c r="U55" s="418"/>
      <c r="V55" s="528"/>
      <c r="W55" s="542"/>
      <c r="X55" s="528"/>
      <c r="Y55" s="542"/>
      <c r="Z55" s="528"/>
      <c r="AA55" s="528"/>
      <c r="AB55" s="528"/>
      <c r="AC55" s="528"/>
      <c r="AD55" s="204"/>
      <c r="AE55" s="538"/>
      <c r="AF55" s="297"/>
      <c r="AG55" s="585"/>
      <c r="AH55" s="204"/>
      <c r="AI55" s="544"/>
      <c r="AJ55" s="161"/>
      <c r="AK55" s="379" t="s">
        <v>536</v>
      </c>
      <c r="AL55" s="528"/>
      <c r="AM55" s="528"/>
      <c r="AN55" s="528"/>
      <c r="AO55" s="528"/>
      <c r="AP55" s="528"/>
      <c r="AQ55" s="528"/>
      <c r="AR55" s="528"/>
      <c r="AS55" s="528"/>
      <c r="AT55" s="528"/>
      <c r="AU55" s="542"/>
      <c r="AV55" s="528"/>
      <c r="AW55" s="542"/>
      <c r="AX55" s="528"/>
      <c r="AY55" s="528"/>
      <c r="AZ55" s="528"/>
      <c r="BA55" s="528"/>
      <c r="BB55" s="540"/>
      <c r="BC55" s="439"/>
      <c r="BE55" s="118"/>
      <c r="BF55" s="118"/>
      <c r="BG55" s="118"/>
      <c r="BH55" s="118"/>
      <c r="BI55" s="42" t="n">
        <v>11</v>
      </c>
    </row>
    <row r="56" customFormat="false" ht="11.25" hidden="false" customHeight="true" outlineLevel="0" collapsed="false">
      <c r="A56" s="412" t="s">
        <v>289</v>
      </c>
      <c r="B56" s="412" t="s">
        <v>290</v>
      </c>
      <c r="C56" s="412" t="s">
        <v>291</v>
      </c>
      <c r="D56" s="412" t="s">
        <v>542</v>
      </c>
      <c r="E56" s="413"/>
      <c r="F56" s="413"/>
      <c r="G56" s="413"/>
      <c r="H56" s="413"/>
      <c r="I56" s="428"/>
      <c r="J56" s="428"/>
      <c r="K56" s="428"/>
      <c r="L56" s="414"/>
      <c r="P56" s="121"/>
      <c r="Q56" s="121"/>
      <c r="R56" s="432"/>
      <c r="S56" s="474"/>
      <c r="T56" s="573"/>
      <c r="U56" s="418"/>
      <c r="V56" s="528"/>
      <c r="W56" s="529" t="str">
        <f aca="false">Z52&amp;"-"&amp;AB52</f>
        <v>-</v>
      </c>
      <c r="X56" s="528"/>
      <c r="Y56" s="529" t="str">
        <f aca="false">AB52&amp;"-"&amp;AD52</f>
        <v>-да</v>
      </c>
      <c r="Z56" s="528"/>
      <c r="AA56" s="528"/>
      <c r="AB56" s="528"/>
      <c r="AC56" s="528"/>
      <c r="AD56" s="204"/>
      <c r="AE56" s="546"/>
      <c r="AF56" s="547"/>
      <c r="AG56" s="168" t="s">
        <v>518</v>
      </c>
      <c r="AH56" s="528"/>
      <c r="AI56" s="528"/>
      <c r="AJ56" s="528"/>
      <c r="AK56" s="528"/>
      <c r="AL56" s="528"/>
      <c r="AM56" s="528"/>
      <c r="AN56" s="528"/>
      <c r="AO56" s="528"/>
      <c r="AP56" s="528"/>
      <c r="AQ56" s="528"/>
      <c r="AR56" s="528"/>
      <c r="AS56" s="528"/>
      <c r="AT56" s="528"/>
      <c r="AU56" s="529" t="str">
        <f aca="false">AX52&amp;"-"&amp;AZ52</f>
        <v>-</v>
      </c>
      <c r="AV56" s="528"/>
      <c r="AW56" s="529" t="str">
        <f aca="false">AZ52&amp;"-"&amp;BB52</f>
        <v>-</v>
      </c>
      <c r="AX56" s="528"/>
      <c r="AY56" s="528"/>
      <c r="AZ56" s="528"/>
      <c r="BA56" s="528"/>
      <c r="BB56" s="545" t="str">
        <f aca="false">BE52&amp;"-"&amp;BG52</f>
        <v>-</v>
      </c>
      <c r="BC56" s="439"/>
      <c r="BE56" s="118"/>
      <c r="BF56" s="118" t="str">
        <f aca="false">IF(T56="","",T56)</f>
        <v/>
      </c>
      <c r="BG56" s="118"/>
      <c r="BH56" s="118"/>
      <c r="BI56" s="42" t="n">
        <v>11</v>
      </c>
    </row>
    <row r="57" customFormat="false" ht="11.25" hidden="false" customHeight="true" outlineLevel="0" collapsed="false">
      <c r="A57" s="412" t="s">
        <v>289</v>
      </c>
      <c r="B57" s="412" t="s">
        <v>290</v>
      </c>
      <c r="C57" s="412" t="s">
        <v>291</v>
      </c>
      <c r="D57" s="412" t="s">
        <v>542</v>
      </c>
      <c r="E57" s="413"/>
      <c r="F57" s="413"/>
      <c r="G57" s="413"/>
      <c r="H57" s="413"/>
      <c r="I57" s="428"/>
      <c r="J57" s="428"/>
      <c r="K57" s="412"/>
      <c r="L57" s="414"/>
      <c r="P57" s="121"/>
      <c r="Q57" s="121"/>
      <c r="R57" s="429"/>
      <c r="S57" s="441"/>
      <c r="T57" s="444" t="s">
        <v>481</v>
      </c>
      <c r="U57" s="194"/>
      <c r="V57" s="194"/>
      <c r="W57" s="194"/>
      <c r="X57" s="194"/>
      <c r="Y57" s="194"/>
      <c r="Z57" s="194"/>
      <c r="AA57" s="194"/>
      <c r="AB57" s="194"/>
      <c r="AC57" s="443"/>
      <c r="AD57" s="569"/>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443"/>
      <c r="BC57" s="439"/>
      <c r="BE57" s="118"/>
      <c r="BF57" s="118" t="str">
        <f aca="false">IF(T57="","",T57)</f>
        <v>Добавить строку</v>
      </c>
      <c r="BG57" s="118"/>
      <c r="BH57" s="118"/>
      <c r="BI57" s="42" t="n">
        <v>11</v>
      </c>
    </row>
    <row r="58" s="47" customFormat="true" ht="12.8" hidden="false" customHeight="false" outlineLevel="0" collapsed="false">
      <c r="A58" s="122" t="s">
        <v>289</v>
      </c>
      <c r="B58" s="122" t="s">
        <v>290</v>
      </c>
      <c r="C58" s="122" t="s">
        <v>291</v>
      </c>
      <c r="D58" s="122" t="s">
        <v>542</v>
      </c>
      <c r="E58" s="413"/>
      <c r="F58" s="413"/>
      <c r="G58" s="413"/>
      <c r="H58" s="413"/>
      <c r="I58" s="428"/>
      <c r="J58" s="122"/>
      <c r="K58" s="122"/>
      <c r="L58" s="192"/>
      <c r="M58" s="506"/>
      <c r="N58" s="506"/>
      <c r="O58" s="506"/>
      <c r="P58" s="121"/>
      <c r="Q58" s="121"/>
      <c r="R58" s="429"/>
      <c r="S58" s="502"/>
      <c r="T58" s="503"/>
      <c r="U58" s="504"/>
      <c r="V58" s="504"/>
      <c r="W58" s="504"/>
      <c r="X58" s="504"/>
      <c r="Y58" s="504"/>
      <c r="Z58" s="504"/>
      <c r="AA58" s="504"/>
      <c r="AB58" s="504"/>
      <c r="AC58" s="504"/>
      <c r="AD58" s="504"/>
      <c r="AE58" s="504"/>
      <c r="AF58" s="504"/>
      <c r="AG58" s="504"/>
      <c r="AH58" s="504"/>
      <c r="AI58" s="504"/>
      <c r="AJ58" s="504"/>
      <c r="AK58" s="504"/>
      <c r="AL58" s="504"/>
      <c r="AM58" s="504"/>
      <c r="AN58" s="504"/>
      <c r="AO58" s="504"/>
      <c r="AP58" s="504"/>
      <c r="AQ58" s="504"/>
      <c r="AR58" s="504"/>
      <c r="AS58" s="504"/>
      <c r="AT58" s="504"/>
      <c r="AU58" s="504"/>
      <c r="AV58" s="504"/>
      <c r="AW58" s="504"/>
      <c r="AX58" s="504"/>
      <c r="AY58" s="504"/>
      <c r="AZ58" s="504"/>
      <c r="BA58" s="504"/>
      <c r="BB58" s="504"/>
      <c r="BC58" s="505"/>
      <c r="BE58" s="118"/>
      <c r="BF58" s="118" t="str">
        <f aca="false">IF(T58="","",T58)</f>
        <v/>
      </c>
      <c r="BG58" s="118"/>
      <c r="BH58" s="118"/>
      <c r="BI58" s="47" t="n">
        <v>0</v>
      </c>
    </row>
    <row r="59" s="47" customFormat="true" ht="12.8" hidden="false" customHeight="false" outlineLevel="0" collapsed="false">
      <c r="A59" s="122" t="s">
        <v>289</v>
      </c>
      <c r="B59" s="122" t="s">
        <v>290</v>
      </c>
      <c r="C59" s="122" t="s">
        <v>291</v>
      </c>
      <c r="D59" s="122" t="s">
        <v>542</v>
      </c>
      <c r="E59" s="413"/>
      <c r="F59" s="413"/>
      <c r="G59" s="413"/>
      <c r="H59" s="413"/>
      <c r="I59" s="122"/>
      <c r="J59" s="122"/>
      <c r="K59" s="122"/>
      <c r="L59" s="192"/>
      <c r="M59" s="46"/>
      <c r="N59" s="46"/>
      <c r="P59" s="156"/>
      <c r="Q59" s="449"/>
      <c r="R59" s="548"/>
      <c r="S59" s="502"/>
      <c r="T59" s="503"/>
      <c r="U59" s="504"/>
      <c r="V59" s="504"/>
      <c r="W59" s="504"/>
      <c r="X59" s="504"/>
      <c r="Y59" s="504"/>
      <c r="Z59" s="504"/>
      <c r="AA59" s="504"/>
      <c r="AB59" s="504"/>
      <c r="AC59" s="504"/>
      <c r="AD59" s="504"/>
      <c r="AE59" s="504"/>
      <c r="AF59" s="504"/>
      <c r="AG59" s="504"/>
      <c r="AH59" s="504"/>
      <c r="AI59" s="504"/>
      <c r="AJ59" s="504"/>
      <c r="AK59" s="504"/>
      <c r="AL59" s="504"/>
      <c r="AM59" s="504"/>
      <c r="AN59" s="504"/>
      <c r="AO59" s="504"/>
      <c r="AP59" s="504"/>
      <c r="AQ59" s="504"/>
      <c r="AR59" s="504"/>
      <c r="AS59" s="504"/>
      <c r="AT59" s="504"/>
      <c r="AU59" s="504"/>
      <c r="AV59" s="504"/>
      <c r="AW59" s="504"/>
      <c r="AX59" s="504"/>
      <c r="AY59" s="504"/>
      <c r="AZ59" s="504"/>
      <c r="BA59" s="504"/>
      <c r="BB59" s="504"/>
      <c r="BC59" s="505"/>
      <c r="BE59" s="118"/>
      <c r="BF59" s="118" t="str">
        <f aca="false">IF(T59="","",T59)</f>
        <v/>
      </c>
      <c r="BG59" s="118"/>
      <c r="BH59" s="118"/>
      <c r="BI59" s="47" t="n">
        <v>0</v>
      </c>
    </row>
    <row r="60" s="47" customFormat="true" ht="12.8" hidden="false" customHeight="false" outlineLevel="0" collapsed="false">
      <c r="A60" s="122" t="s">
        <v>289</v>
      </c>
      <c r="B60" s="122" t="s">
        <v>290</v>
      </c>
      <c r="C60" s="122" t="s">
        <v>291</v>
      </c>
      <c r="D60" s="122"/>
      <c r="E60" s="413"/>
      <c r="F60" s="413"/>
      <c r="G60" s="413"/>
      <c r="H60" s="122"/>
      <c r="I60" s="122"/>
      <c r="J60" s="122"/>
      <c r="K60" s="122"/>
      <c r="L60" s="192"/>
      <c r="M60" s="46"/>
      <c r="N60" s="46"/>
      <c r="P60" s="156"/>
      <c r="Q60" s="449"/>
      <c r="R60" s="156"/>
      <c r="S60" s="454"/>
      <c r="T60" s="457"/>
      <c r="U60" s="456"/>
      <c r="V60" s="456"/>
      <c r="W60" s="456"/>
      <c r="X60" s="456"/>
      <c r="Y60" s="456"/>
      <c r="Z60" s="456"/>
      <c r="AA60" s="456"/>
      <c r="AB60" s="456"/>
      <c r="AC60" s="456"/>
      <c r="AD60" s="456"/>
      <c r="AE60" s="456"/>
      <c r="AF60" s="456"/>
      <c r="AG60" s="456"/>
      <c r="AH60" s="456"/>
      <c r="AI60" s="456"/>
      <c r="AJ60" s="456"/>
      <c r="AK60" s="456"/>
      <c r="AL60" s="456"/>
      <c r="AM60" s="456"/>
      <c r="AN60" s="456"/>
      <c r="AO60" s="456"/>
      <c r="AP60" s="456"/>
      <c r="AQ60" s="456"/>
      <c r="AR60" s="456"/>
      <c r="AS60" s="456"/>
      <c r="AT60" s="456"/>
      <c r="AU60" s="456"/>
      <c r="AV60" s="456"/>
      <c r="AW60" s="456"/>
      <c r="AX60" s="456"/>
      <c r="AY60" s="456"/>
      <c r="AZ60" s="456"/>
      <c r="BA60" s="456"/>
      <c r="BB60" s="456"/>
      <c r="BC60" s="456"/>
      <c r="BE60" s="118"/>
      <c r="BF60" s="118" t="str">
        <f aca="false">IF(T60="","",T60)</f>
        <v/>
      </c>
      <c r="BG60" s="118"/>
      <c r="BH60" s="118"/>
      <c r="BI60" s="47" t="n">
        <v>0</v>
      </c>
    </row>
    <row r="61" s="47" customFormat="true" ht="12.8" hidden="false" customHeight="false" outlineLevel="0" collapsed="false">
      <c r="A61" s="122" t="s">
        <v>289</v>
      </c>
      <c r="B61" s="122" t="s">
        <v>290</v>
      </c>
      <c r="C61" s="122"/>
      <c r="D61" s="122"/>
      <c r="E61" s="413"/>
      <c r="F61" s="413"/>
      <c r="G61" s="122"/>
      <c r="H61" s="122"/>
      <c r="I61" s="122"/>
      <c r="J61" s="122"/>
      <c r="K61" s="122"/>
      <c r="L61" s="192"/>
      <c r="M61" s="453"/>
      <c r="N61" s="453"/>
      <c r="P61" s="156"/>
      <c r="Q61" s="449"/>
      <c r="R61" s="156"/>
      <c r="S61" s="454"/>
      <c r="T61" s="457" t="s">
        <v>428</v>
      </c>
      <c r="U61" s="456"/>
      <c r="V61" s="456"/>
      <c r="W61" s="456"/>
      <c r="X61" s="456"/>
      <c r="Y61" s="456"/>
      <c r="Z61" s="456"/>
      <c r="AA61" s="456"/>
      <c r="AB61" s="456"/>
      <c r="AC61" s="456"/>
      <c r="AD61" s="456"/>
      <c r="AE61" s="456"/>
      <c r="AF61" s="456"/>
      <c r="AG61" s="456"/>
      <c r="AH61" s="456"/>
      <c r="AI61" s="456"/>
      <c r="AJ61" s="456"/>
      <c r="AK61" s="456"/>
      <c r="AL61" s="456"/>
      <c r="AM61" s="456"/>
      <c r="AN61" s="456"/>
      <c r="AO61" s="456"/>
      <c r="AP61" s="456"/>
      <c r="AQ61" s="456"/>
      <c r="AR61" s="456"/>
      <c r="AS61" s="456"/>
      <c r="AT61" s="456"/>
      <c r="AU61" s="456"/>
      <c r="AV61" s="456"/>
      <c r="AW61" s="456"/>
      <c r="AX61" s="456"/>
      <c r="AY61" s="456"/>
      <c r="AZ61" s="456"/>
      <c r="BA61" s="456"/>
      <c r="BB61" s="456"/>
      <c r="BC61" s="456"/>
      <c r="BE61" s="118"/>
      <c r="BF61" s="118" t="str">
        <f aca="false">IF(T61="","",T61)</f>
        <v>Добавить централизованную систему для дифференциации</v>
      </c>
      <c r="BG61" s="118"/>
      <c r="BH61" s="118"/>
      <c r="BI61" s="47" t="n">
        <v>0</v>
      </c>
    </row>
    <row r="62" s="47" customFormat="true" ht="12.8" hidden="false" customHeight="false" outlineLevel="0" collapsed="false">
      <c r="A62" s="122" t="s">
        <v>289</v>
      </c>
      <c r="B62" s="122"/>
      <c r="C62" s="122"/>
      <c r="D62" s="122"/>
      <c r="E62" s="413"/>
      <c r="F62" s="122"/>
      <c r="G62" s="122"/>
      <c r="H62" s="122"/>
      <c r="I62" s="122"/>
      <c r="J62" s="122"/>
      <c r="K62" s="122"/>
      <c r="L62" s="192"/>
      <c r="M62" s="453"/>
      <c r="N62" s="453"/>
      <c r="P62" s="156"/>
      <c r="Q62" s="449"/>
      <c r="R62" s="156"/>
      <c r="S62" s="454"/>
      <c r="T62" s="457" t="s">
        <v>429</v>
      </c>
      <c r="U62" s="456"/>
      <c r="V62" s="456"/>
      <c r="W62" s="456"/>
      <c r="X62" s="456"/>
      <c r="Y62" s="456"/>
      <c r="Z62" s="456"/>
      <c r="AA62" s="456"/>
      <c r="AB62" s="456"/>
      <c r="AC62" s="456"/>
      <c r="AD62" s="456"/>
      <c r="AE62" s="456"/>
      <c r="AF62" s="456"/>
      <c r="AG62" s="456"/>
      <c r="AH62" s="456"/>
      <c r="AI62" s="456"/>
      <c r="AJ62" s="456"/>
      <c r="AK62" s="456"/>
      <c r="AL62" s="456"/>
      <c r="AM62" s="456"/>
      <c r="AN62" s="456"/>
      <c r="AO62" s="456"/>
      <c r="AP62" s="456"/>
      <c r="AQ62" s="456"/>
      <c r="AR62" s="456"/>
      <c r="AS62" s="456"/>
      <c r="AT62" s="456"/>
      <c r="AU62" s="456"/>
      <c r="AV62" s="456"/>
      <c r="AW62" s="456"/>
      <c r="AX62" s="456"/>
      <c r="AY62" s="456"/>
      <c r="AZ62" s="456"/>
      <c r="BA62" s="456"/>
      <c r="BB62" s="456"/>
      <c r="BC62" s="456"/>
      <c r="BE62" s="118"/>
      <c r="BF62" s="118" t="str">
        <f aca="false">IF(T62="","",T62)</f>
        <v>Добавить территорию для дифференциации</v>
      </c>
      <c r="BG62" s="118"/>
      <c r="BH62" s="118"/>
      <c r="BI62" s="47" t="n">
        <v>0</v>
      </c>
    </row>
    <row r="63" s="47" customFormat="true" ht="12.8" hidden="false" customHeight="false" outlineLevel="0" collapsed="false">
      <c r="A63" s="122"/>
      <c r="B63" s="122"/>
      <c r="C63" s="122"/>
      <c r="D63" s="122"/>
      <c r="E63" s="122"/>
      <c r="F63" s="122"/>
      <c r="G63" s="122"/>
      <c r="H63" s="122"/>
      <c r="I63" s="122"/>
      <c r="J63" s="122"/>
      <c r="K63" s="122"/>
      <c r="L63" s="192"/>
      <c r="M63" s="453"/>
      <c r="N63" s="453"/>
      <c r="P63" s="156"/>
      <c r="Q63" s="449"/>
      <c r="R63" s="156"/>
      <c r="S63" s="454"/>
      <c r="T63" s="457" t="s">
        <v>461</v>
      </c>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56"/>
      <c r="AX63" s="456"/>
      <c r="AY63" s="456"/>
      <c r="AZ63" s="456"/>
      <c r="BA63" s="456"/>
      <c r="BB63" s="456"/>
      <c r="BC63" s="456"/>
      <c r="BE63" s="118"/>
      <c r="BF63" s="118" t="str">
        <f aca="false">IF(T63="","",T63)</f>
        <v>Добавить наименование тарифа</v>
      </c>
      <c r="BG63" s="118"/>
      <c r="BH63" s="118"/>
      <c r="BI63" s="47"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4.25" hidden="false" customHeight="true" outlineLevel="0" collapsed="false">
      <c r="O65" s="45"/>
      <c r="S65" s="409"/>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488"/>
      <c r="AY65" s="488"/>
      <c r="AZ65" s="488"/>
      <c r="BA65" s="488"/>
      <c r="BB65" s="488"/>
      <c r="BC65" s="488"/>
      <c r="BI65" s="42" t="n">
        <v>14</v>
      </c>
    </row>
    <row r="66" customFormat="false" ht="14.25" hidden="false" customHeight="true" outlineLevel="0" collapsed="false">
      <c r="O66" s="45"/>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c r="AW66" s="488"/>
      <c r="AX66" s="488"/>
      <c r="AY66" s="488"/>
      <c r="AZ66" s="488"/>
      <c r="BA66" s="488"/>
      <c r="BB66" s="488"/>
      <c r="BC66" s="488"/>
      <c r="BI66" s="42" t="n">
        <v>14</v>
      </c>
    </row>
    <row r="67" customFormat="false" ht="14.25" hidden="false" customHeight="true" outlineLevel="0" collapsed="false">
      <c r="O67" s="45"/>
      <c r="S67" s="409"/>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c r="AX67" s="488"/>
      <c r="AY67" s="488"/>
      <c r="AZ67" s="488"/>
      <c r="BA67" s="488"/>
      <c r="BB67" s="488"/>
      <c r="BC67" s="488"/>
      <c r="BI67" s="42" t="n">
        <v>14</v>
      </c>
    </row>
    <row r="68" customFormat="false" ht="14.25" hidden="false" customHeight="true" outlineLevel="0" collapsed="false">
      <c r="O68" s="45"/>
      <c r="BI68" s="42" t="n">
        <v>14</v>
      </c>
    </row>
    <row r="69" customFormat="false" ht="14.25" hidden="true" customHeight="true" outlineLevel="0" collapsed="false">
      <c r="A69" s="45" t="s">
        <v>81</v>
      </c>
      <c r="B69" s="45" t="n">
        <v>0</v>
      </c>
      <c r="C69" s="45" t="n">
        <v>0</v>
      </c>
      <c r="D69" s="45" t="n">
        <v>0</v>
      </c>
      <c r="E69" s="45" t="n">
        <v>0</v>
      </c>
      <c r="F69" s="45" t="n">
        <v>0</v>
      </c>
      <c r="G69" s="45" t="n">
        <v>0</v>
      </c>
      <c r="H69" s="45" t="n">
        <v>0</v>
      </c>
      <c r="I69" s="45" t="n">
        <v>0</v>
      </c>
      <c r="J69" s="45" t="n">
        <v>0</v>
      </c>
      <c r="K69" s="45" t="n">
        <v>0</v>
      </c>
      <c r="L69" s="44" t="n">
        <v>0</v>
      </c>
      <c r="M69" s="51" t="n">
        <v>0</v>
      </c>
      <c r="N69" s="51" t="n">
        <v>0</v>
      </c>
      <c r="O69" s="51" t="n">
        <v>0</v>
      </c>
      <c r="P69" s="51" t="n">
        <v>0</v>
      </c>
      <c r="Q69" s="463" t="n">
        <v>0</v>
      </c>
      <c r="R69" s="411" t="n">
        <v>3</v>
      </c>
      <c r="S69" s="75"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7" t="n">
        <v>10</v>
      </c>
      <c r="BE69" s="47" t="n">
        <v>10</v>
      </c>
      <c r="BF69" s="47" t="n">
        <v>10</v>
      </c>
      <c r="BG69" s="47" t="n">
        <v>10</v>
      </c>
      <c r="BH69" s="47"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Y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4.14"/>
    <col collapsed="false" customWidth="true" hidden="true" outlineLevel="0" max="10" min="10" style="45" width="9.85"/>
    <col collapsed="false" customWidth="true" hidden="true" outlineLevel="0" max="11" min="11" style="45" width="14.71"/>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
    <col collapsed="false" customWidth="true" hidden="false" outlineLevel="0" max="18" min="17" style="411" width="3"/>
    <col collapsed="false" customWidth="true" hidden="false" outlineLevel="0" max="19" min="19" style="75" width="12"/>
    <col collapsed="false" customWidth="true" hidden="false" outlineLevel="0" max="20" min="20" style="42" width="35"/>
    <col collapsed="false" customWidth="true" hidden="false" outlineLevel="0" max="21" min="21" style="42" width="0.14"/>
    <col collapsed="false" customWidth="true" hidden="true" outlineLevel="0" max="28" min="22" style="42" width="19.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19.71"/>
    <col collapsed="false" customWidth="true" hidden="false" outlineLevel="0" max="39" min="34" style="42" width="19"/>
    <col collapsed="false" customWidth="true" hidden="false" outlineLevel="0" max="40" min="40" style="42" width="11"/>
    <col collapsed="false" customWidth="true" hidden="false" outlineLevel="0" max="41" min="41" style="42" width="3.71"/>
    <col collapsed="false" customWidth="true" hidden="false" outlineLevel="0" max="42" min="42" style="42" width="11"/>
    <col collapsed="false" customWidth="true" hidden="true" outlineLevel="0" max="43" min="43" style="42" width="8.57"/>
    <col collapsed="false" customWidth="true" hidden="false" outlineLevel="0" max="44" min="44" style="42" width="4"/>
    <col collapsed="false" customWidth="true" hidden="false" outlineLevel="0" max="45" min="45" style="42" width="115"/>
    <col collapsed="false" customWidth="true" hidden="false" outlineLevel="0" max="50" min="46" style="47" width="10"/>
    <col collapsed="false" customWidth="false" hidden="true" outlineLevel="0" max="51" min="51" style="42" width="10.57"/>
  </cols>
  <sheetData>
    <row r="1" customFormat="false" ht="22.5" hidden="true" customHeight="true" outlineLevel="0" collapsed="false">
      <c r="AY1" s="42" t="s">
        <v>14</v>
      </c>
    </row>
    <row r="2" customFormat="false" ht="23.25" hidden="true" customHeight="true" outlineLevel="0" collapsed="false">
      <c r="A2" s="412"/>
      <c r="B2" s="412"/>
      <c r="C2" s="412"/>
      <c r="D2" s="412"/>
      <c r="E2" s="413" t="n">
        <v>1</v>
      </c>
      <c r="F2" s="412"/>
      <c r="G2" s="412"/>
      <c r="H2" s="412"/>
      <c r="I2" s="412"/>
      <c r="J2" s="412"/>
      <c r="K2" s="412"/>
      <c r="L2" s="414"/>
      <c r="M2" s="40"/>
      <c r="N2" s="40"/>
      <c r="O2" s="40"/>
      <c r="Q2" s="132"/>
      <c r="R2" s="415"/>
      <c r="S2" s="416" t="e">
        <f aca="false">INDEX(PT_DIFFERENTIATION_NUM_NTAR,MATCH(A2,PT_DIFFERENTIATION_NTAR_ID,0))</f>
        <v>#N/A</v>
      </c>
      <c r="T2" s="417" t="s">
        <v>138</v>
      </c>
      <c r="U2" s="418"/>
      <c r="V2" s="419"/>
      <c r="W2" s="419"/>
      <c r="X2" s="419"/>
      <c r="Y2" s="419"/>
      <c r="Z2" s="419"/>
      <c r="AA2" s="419"/>
      <c r="AB2" s="419"/>
      <c r="AC2" s="419"/>
      <c r="AD2" s="419"/>
      <c r="AE2" s="419"/>
      <c r="AF2" s="419"/>
      <c r="AG2" s="420" t="e">
        <f aca="false">INDEX(PT_DIFFERENTIATION_NTAR,MATCH(A2,PT_DIFFERENTIATION_NTAR_ID,0))</f>
        <v>#N/A</v>
      </c>
      <c r="AH2" s="420"/>
      <c r="AI2" s="420"/>
      <c r="AJ2" s="420"/>
      <c r="AK2" s="420"/>
      <c r="AL2" s="420"/>
      <c r="AM2" s="420"/>
      <c r="AN2" s="420"/>
      <c r="AO2" s="420"/>
      <c r="AP2" s="420"/>
      <c r="AQ2" s="420"/>
      <c r="AR2" s="420"/>
      <c r="AS2" s="42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18"/>
      <c r="AV2" s="118" t="str">
        <f aca="false">IF(T2="","",T2)</f>
        <v>Наименование тарифа</v>
      </c>
      <c r="AW2" s="118"/>
      <c r="AX2" s="118"/>
      <c r="AY2" s="42" t="n">
        <v>0</v>
      </c>
    </row>
    <row r="3" customFormat="false" ht="23.25" hidden="true" customHeight="true" outlineLevel="0" collapsed="false">
      <c r="A3" s="412"/>
      <c r="B3" s="412"/>
      <c r="C3" s="412"/>
      <c r="D3" s="412"/>
      <c r="E3" s="413"/>
      <c r="F3" s="413" t="n">
        <v>1</v>
      </c>
      <c r="G3" s="412"/>
      <c r="H3" s="412"/>
      <c r="I3" s="412"/>
      <c r="J3" s="412"/>
      <c r="K3" s="412"/>
      <c r="L3" s="414"/>
      <c r="M3" s="40"/>
      <c r="N3" s="40"/>
      <c r="O3" s="40"/>
      <c r="P3" s="43"/>
      <c r="Q3" s="422"/>
      <c r="R3" s="423"/>
      <c r="S3" s="416" t="e">
        <f aca="false">INDEX(PT_DIFFERENTIATION_NUM_TER,MATCH(B3,PT_DIFFERENTIATION_TER_ID,0))</f>
        <v>#N/A</v>
      </c>
      <c r="T3" s="424" t="s">
        <v>410</v>
      </c>
      <c r="U3" s="418"/>
      <c r="V3" s="419"/>
      <c r="W3" s="419"/>
      <c r="X3" s="419"/>
      <c r="Y3" s="419"/>
      <c r="Z3" s="419"/>
      <c r="AA3" s="419"/>
      <c r="AB3" s="419"/>
      <c r="AC3" s="419"/>
      <c r="AD3" s="419"/>
      <c r="AE3" s="419"/>
      <c r="AF3" s="419"/>
      <c r="AG3" s="420" t="e">
        <f aca="false">INDEX(PT_DIFFERENTIATION_TER,MATCH(B3,PT_DIFFERENTIATION_TER_ID,0))</f>
        <v>#N/A</v>
      </c>
      <c r="AH3" s="420"/>
      <c r="AI3" s="420"/>
      <c r="AJ3" s="420"/>
      <c r="AK3" s="420"/>
      <c r="AL3" s="420"/>
      <c r="AM3" s="420"/>
      <c r="AN3" s="420"/>
      <c r="AO3" s="420"/>
      <c r="AP3" s="420"/>
      <c r="AQ3" s="420"/>
      <c r="AR3" s="420"/>
      <c r="AS3" s="421" t="s">
        <v>411</v>
      </c>
      <c r="AU3" s="118"/>
      <c r="AV3" s="118" t="str">
        <f aca="false">IF(T3="","",T3)</f>
        <v>Территория действия тарифа</v>
      </c>
      <c r="AW3" s="118"/>
      <c r="AX3" s="118"/>
      <c r="AY3" s="42" t="n">
        <v>0</v>
      </c>
    </row>
    <row r="4" customFormat="false" ht="23.25" hidden="true" customHeight="true" outlineLevel="0" collapsed="false">
      <c r="A4" s="412"/>
      <c r="B4" s="412"/>
      <c r="C4" s="412"/>
      <c r="D4" s="412"/>
      <c r="E4" s="413"/>
      <c r="F4" s="413"/>
      <c r="G4" s="413" t="n">
        <v>1</v>
      </c>
      <c r="H4" s="412"/>
      <c r="I4" s="412"/>
      <c r="J4" s="412"/>
      <c r="K4" s="412"/>
      <c r="L4" s="414"/>
      <c r="M4" s="40"/>
      <c r="N4" s="40"/>
      <c r="O4" s="40"/>
      <c r="P4" s="425"/>
      <c r="Q4" s="422"/>
      <c r="R4" s="423"/>
      <c r="S4" s="416" t="e">
        <f aca="false">INDEX(PT_DIFFERENTIATION_NUM_CS,MATCH(C4,PT_DIFFERENTIATION_CS_ID,0))</f>
        <v>#N/A</v>
      </c>
      <c r="T4" s="426" t="s">
        <v>543</v>
      </c>
      <c r="U4" s="418"/>
      <c r="V4" s="419"/>
      <c r="W4" s="419"/>
      <c r="X4" s="419"/>
      <c r="Y4" s="419"/>
      <c r="Z4" s="419"/>
      <c r="AA4" s="419"/>
      <c r="AB4" s="419"/>
      <c r="AC4" s="419"/>
      <c r="AD4" s="419"/>
      <c r="AE4" s="419"/>
      <c r="AF4" s="419"/>
      <c r="AG4" s="420" t="e">
        <f aca="false">INDEX(PT_DIFFERENTIATION_CS,MATCH(C4,PT_DIFFERENTIATION_CS_ID,0))</f>
        <v>#N/A</v>
      </c>
      <c r="AH4" s="420"/>
      <c r="AI4" s="420"/>
      <c r="AJ4" s="420"/>
      <c r="AK4" s="420"/>
      <c r="AL4" s="420"/>
      <c r="AM4" s="420"/>
      <c r="AN4" s="420"/>
      <c r="AO4" s="420"/>
      <c r="AP4" s="420"/>
      <c r="AQ4" s="420"/>
      <c r="AR4" s="420"/>
      <c r="AS4" s="421" t="s">
        <v>544</v>
      </c>
      <c r="AU4" s="118"/>
      <c r="AV4" s="118" t="str">
        <f aca="false">IF(T4="","",T4)</f>
        <v>Наименование централизованной системы горячего водоснабжения</v>
      </c>
      <c r="AW4" s="118"/>
      <c r="AX4" s="118"/>
      <c r="AY4" s="42" t="n">
        <v>0</v>
      </c>
    </row>
    <row r="5" customFormat="false" ht="23.25" hidden="true" customHeight="true" outlineLevel="0" collapsed="false">
      <c r="A5" s="412"/>
      <c r="B5" s="412"/>
      <c r="C5" s="412"/>
      <c r="D5" s="412"/>
      <c r="E5" s="413"/>
      <c r="F5" s="413"/>
      <c r="G5" s="413"/>
      <c r="H5" s="571"/>
      <c r="I5" s="428" t="e">
        <f aca="false">S4&amp;".1"</f>
        <v>#N/A</v>
      </c>
      <c r="J5" s="412"/>
      <c r="K5" s="412"/>
      <c r="L5" s="414"/>
      <c r="P5" s="121" t="n">
        <v>1</v>
      </c>
      <c r="Q5" s="121"/>
      <c r="R5" s="429"/>
      <c r="S5" s="416" t="e">
        <f aca="false">$I5</f>
        <v>#N/A</v>
      </c>
      <c r="T5" s="430" t="s">
        <v>496</v>
      </c>
      <c r="U5" s="418"/>
      <c r="V5" s="572"/>
      <c r="W5" s="572"/>
      <c r="X5" s="572"/>
      <c r="Y5" s="572"/>
      <c r="Z5" s="572"/>
      <c r="AA5" s="572"/>
      <c r="AB5" s="572"/>
      <c r="AC5" s="572"/>
      <c r="AD5" s="572"/>
      <c r="AE5" s="572"/>
      <c r="AF5" s="572"/>
      <c r="AG5" s="334"/>
      <c r="AH5" s="334"/>
      <c r="AI5" s="334"/>
      <c r="AJ5" s="334"/>
      <c r="AK5" s="334"/>
      <c r="AL5" s="334"/>
      <c r="AM5" s="334"/>
      <c r="AN5" s="334"/>
      <c r="AO5" s="334"/>
      <c r="AP5" s="334"/>
      <c r="AQ5" s="334"/>
      <c r="AR5" s="334"/>
      <c r="AS5" s="421" t="s">
        <v>497</v>
      </c>
      <c r="AU5" s="118"/>
      <c r="AV5" s="118" t="str">
        <f aca="false">IF(T5="","",T5)</f>
        <v>Наименование признака дифференциации</v>
      </c>
      <c r="AW5" s="118"/>
      <c r="AX5" s="118"/>
      <c r="AY5" s="42" t="n">
        <v>0</v>
      </c>
    </row>
    <row r="6" customFormat="false" ht="23.25" hidden="true" customHeight="true" outlineLevel="0" collapsed="false">
      <c r="A6" s="412"/>
      <c r="B6" s="412"/>
      <c r="C6" s="412"/>
      <c r="D6" s="412"/>
      <c r="E6" s="413"/>
      <c r="F6" s="413"/>
      <c r="G6" s="413"/>
      <c r="H6" s="413"/>
      <c r="I6" s="428"/>
      <c r="J6" s="428" t="e">
        <f aca="false">I5&amp;".1"</f>
        <v>#N/A</v>
      </c>
      <c r="K6" s="412"/>
      <c r="L6" s="414" t="s">
        <v>419</v>
      </c>
      <c r="P6" s="121"/>
      <c r="Q6" s="121" t="n">
        <v>1</v>
      </c>
      <c r="R6" s="432"/>
      <c r="S6" s="416" t="e">
        <f aca="false">$J6</f>
        <v>#N/A</v>
      </c>
      <c r="T6" s="433" t="s">
        <v>420</v>
      </c>
      <c r="U6" s="418"/>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523" t="s">
        <v>498</v>
      </c>
      <c r="AU6" s="118"/>
      <c r="AV6" s="118" t="str">
        <f aca="false">IF(T6="","",T6)</f>
        <v>Группа потребителей</v>
      </c>
      <c r="AW6" s="118"/>
      <c r="AX6" s="118"/>
      <c r="AY6" s="42" t="n">
        <v>0</v>
      </c>
    </row>
    <row r="7" customFormat="false" ht="23.25" hidden="true" customHeight="true" outlineLevel="0" collapsed="false">
      <c r="A7" s="412"/>
      <c r="B7" s="412"/>
      <c r="C7" s="412"/>
      <c r="D7" s="412"/>
      <c r="E7" s="413"/>
      <c r="F7" s="413"/>
      <c r="G7" s="413"/>
      <c r="H7" s="413"/>
      <c r="I7" s="428"/>
      <c r="J7" s="428"/>
      <c r="K7" s="428" t="e">
        <f aca="false">J6&amp;".1"</f>
        <v>#N/A</v>
      </c>
      <c r="L7" s="414"/>
      <c r="P7" s="121"/>
      <c r="Q7" s="121"/>
      <c r="R7" s="432" t="n">
        <v>1</v>
      </c>
      <c r="S7" s="416" t="e">
        <f aca="false">$K7</f>
        <v>#N/A</v>
      </c>
      <c r="T7" s="573"/>
      <c r="U7" s="418"/>
      <c r="V7" s="435"/>
      <c r="W7" s="435"/>
      <c r="X7" s="435"/>
      <c r="Y7" s="435"/>
      <c r="Z7" s="435"/>
      <c r="AA7" s="435"/>
      <c r="AB7" s="435"/>
      <c r="AC7" s="438"/>
      <c r="AD7" s="204" t="s">
        <v>61</v>
      </c>
      <c r="AE7" s="438"/>
      <c r="AF7" s="204" t="s">
        <v>61</v>
      </c>
      <c r="AG7" s="435"/>
      <c r="AH7" s="435"/>
      <c r="AI7" s="435"/>
      <c r="AJ7" s="435"/>
      <c r="AK7" s="435"/>
      <c r="AL7" s="435"/>
      <c r="AM7" s="435"/>
      <c r="AN7" s="438"/>
      <c r="AO7" s="204" t="s">
        <v>61</v>
      </c>
      <c r="AP7" s="438"/>
      <c r="AQ7" s="204" t="s">
        <v>61</v>
      </c>
      <c r="AR7" s="574"/>
      <c r="AS7" s="57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7" t="e">
        <f aca="false">strcheckdate(V8:AR8)</f>
        <v>#NAME?</v>
      </c>
      <c r="AU7" s="118"/>
      <c r="AV7" s="118" t="str">
        <f aca="false">IF(T7="","",T7)</f>
        <v/>
      </c>
      <c r="AW7" s="118"/>
      <c r="AX7" s="118"/>
      <c r="AY7" s="42" t="n">
        <v>0</v>
      </c>
    </row>
    <row r="8" customFormat="false" ht="14.25" hidden="true" customHeight="true" outlineLevel="0" collapsed="false">
      <c r="A8" s="412"/>
      <c r="B8" s="412"/>
      <c r="C8" s="412"/>
      <c r="D8" s="412"/>
      <c r="E8" s="413"/>
      <c r="F8" s="413"/>
      <c r="G8" s="413"/>
      <c r="H8" s="413"/>
      <c r="I8" s="428"/>
      <c r="J8" s="428"/>
      <c r="K8" s="428"/>
      <c r="L8" s="414"/>
      <c r="P8" s="121"/>
      <c r="Q8" s="121"/>
      <c r="R8" s="432"/>
      <c r="S8" s="393"/>
      <c r="T8" s="418"/>
      <c r="U8" s="418"/>
      <c r="V8" s="436"/>
      <c r="W8" s="436"/>
      <c r="X8" s="436"/>
      <c r="Y8" s="436"/>
      <c r="Z8" s="436"/>
      <c r="AA8" s="436"/>
      <c r="AB8" s="436"/>
      <c r="AC8" s="438"/>
      <c r="AD8" s="204"/>
      <c r="AE8" s="438"/>
      <c r="AF8" s="204"/>
      <c r="AG8" s="436"/>
      <c r="AH8" s="436"/>
      <c r="AI8" s="436"/>
      <c r="AJ8" s="436"/>
      <c r="AK8" s="436"/>
      <c r="AL8" s="436"/>
      <c r="AM8" s="436"/>
      <c r="AN8" s="438"/>
      <c r="AO8" s="204"/>
      <c r="AP8" s="438"/>
      <c r="AQ8" s="204"/>
      <c r="AR8" s="576"/>
      <c r="AS8" s="575"/>
      <c r="AU8" s="118"/>
      <c r="AV8" s="118" t="str">
        <f aca="false">IF(T8="","",T8)</f>
        <v/>
      </c>
      <c r="AW8" s="118"/>
      <c r="AX8" s="118"/>
      <c r="AY8" s="42" t="n">
        <v>0</v>
      </c>
    </row>
    <row r="9" customFormat="false" ht="21" hidden="true" customHeight="true" outlineLevel="0" collapsed="false">
      <c r="A9" s="412"/>
      <c r="B9" s="412"/>
      <c r="C9" s="412"/>
      <c r="D9" s="412"/>
      <c r="E9" s="413"/>
      <c r="F9" s="413"/>
      <c r="G9" s="413"/>
      <c r="H9" s="413"/>
      <c r="I9" s="428"/>
      <c r="J9" s="428"/>
      <c r="K9" s="412"/>
      <c r="L9" s="414"/>
      <c r="P9" s="121"/>
      <c r="Q9" s="121"/>
      <c r="R9" s="429"/>
      <c r="S9" s="441"/>
      <c r="T9" s="444" t="s">
        <v>499</v>
      </c>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421" t="s">
        <v>500</v>
      </c>
      <c r="AU9" s="118"/>
      <c r="AV9" s="118" t="str">
        <f aca="false">IF(T9="","",T9)</f>
        <v>Добавить значение признака дифференциации</v>
      </c>
      <c r="AW9" s="118"/>
      <c r="AX9" s="118"/>
      <c r="AY9" s="42" t="n">
        <v>0</v>
      </c>
    </row>
    <row r="10" customFormat="false" ht="21" hidden="true" customHeight="true" outlineLevel="0" collapsed="false">
      <c r="A10" s="412"/>
      <c r="B10" s="412"/>
      <c r="C10" s="412"/>
      <c r="D10" s="412"/>
      <c r="E10" s="413"/>
      <c r="F10" s="413"/>
      <c r="G10" s="413"/>
      <c r="H10" s="413"/>
      <c r="I10" s="428"/>
      <c r="J10" s="412"/>
      <c r="K10" s="412"/>
      <c r="L10" s="414"/>
      <c r="P10" s="121"/>
      <c r="Q10" s="121"/>
      <c r="R10" s="429"/>
      <c r="S10" s="441"/>
      <c r="T10" s="448" t="s">
        <v>425</v>
      </c>
      <c r="U10" s="194"/>
      <c r="V10" s="194"/>
      <c r="W10" s="194"/>
      <c r="X10" s="194"/>
      <c r="Y10" s="194"/>
      <c r="Z10" s="194"/>
      <c r="AA10" s="194"/>
      <c r="AB10" s="194"/>
      <c r="AC10" s="194"/>
      <c r="AD10" s="194"/>
      <c r="AE10" s="194"/>
      <c r="AF10" s="445"/>
      <c r="AG10" s="194"/>
      <c r="AH10" s="194"/>
      <c r="AI10" s="194"/>
      <c r="AJ10" s="194"/>
      <c r="AK10" s="194"/>
      <c r="AL10" s="194"/>
      <c r="AM10" s="194"/>
      <c r="AN10" s="194"/>
      <c r="AO10" s="194"/>
      <c r="AP10" s="194"/>
      <c r="AQ10" s="445"/>
      <c r="AR10" s="194"/>
      <c r="AS10" s="577"/>
      <c r="AU10" s="118"/>
      <c r="AV10" s="118" t="str">
        <f aca="false">IF(T10="","",T10)</f>
        <v>Добавить группу потребителей</v>
      </c>
      <c r="AW10" s="118"/>
      <c r="AX10" s="118"/>
      <c r="AY10" s="42" t="n">
        <v>0</v>
      </c>
    </row>
    <row r="11" customFormat="false" ht="21" hidden="true" customHeight="true" outlineLevel="0" collapsed="false">
      <c r="A11" s="412"/>
      <c r="B11" s="412"/>
      <c r="C11" s="412"/>
      <c r="D11" s="412"/>
      <c r="E11" s="413"/>
      <c r="F11" s="413"/>
      <c r="G11" s="413"/>
      <c r="H11" s="571"/>
      <c r="I11" s="412"/>
      <c r="J11" s="412"/>
      <c r="K11" s="412"/>
      <c r="L11" s="414"/>
      <c r="M11" s="40"/>
      <c r="N11" s="40"/>
      <c r="O11" s="45"/>
      <c r="P11" s="132"/>
      <c r="Q11" s="447"/>
      <c r="R11" s="415"/>
      <c r="S11" s="441"/>
      <c r="T11" s="578" t="s">
        <v>501</v>
      </c>
      <c r="U11" s="194"/>
      <c r="V11" s="194"/>
      <c r="W11" s="194"/>
      <c r="X11" s="194"/>
      <c r="Y11" s="194"/>
      <c r="Z11" s="194"/>
      <c r="AA11" s="194"/>
      <c r="AB11" s="194"/>
      <c r="AC11" s="194"/>
      <c r="AD11" s="194"/>
      <c r="AE11" s="194"/>
      <c r="AF11" s="445"/>
      <c r="AG11" s="194"/>
      <c r="AH11" s="194"/>
      <c r="AI11" s="194"/>
      <c r="AJ11" s="194"/>
      <c r="AK11" s="194"/>
      <c r="AL11" s="194"/>
      <c r="AM11" s="194"/>
      <c r="AN11" s="194"/>
      <c r="AO11" s="194"/>
      <c r="AP11" s="194"/>
      <c r="AQ11" s="445"/>
      <c r="AR11" s="194"/>
      <c r="AS11" s="446"/>
      <c r="AU11" s="118"/>
      <c r="AV11" s="118" t="str">
        <f aca="false">IF(T11="","",T11)</f>
        <v>Добавить наименование признака дифференциации</v>
      </c>
      <c r="AW11" s="118"/>
      <c r="AX11" s="118"/>
      <c r="AY11" s="42" t="n">
        <v>0</v>
      </c>
    </row>
    <row r="12" s="47" customFormat="true" ht="14.25" hidden="true" customHeight="true" outlineLevel="0" collapsed="false">
      <c r="A12" s="122"/>
      <c r="B12" s="122"/>
      <c r="C12" s="122"/>
      <c r="D12" s="122"/>
      <c r="E12" s="413"/>
      <c r="F12" s="413"/>
      <c r="G12" s="122"/>
      <c r="H12" s="122"/>
      <c r="I12" s="122"/>
      <c r="J12" s="122"/>
      <c r="K12" s="122"/>
      <c r="L12" s="192"/>
      <c r="M12" s="453"/>
      <c r="N12" s="453"/>
      <c r="P12" s="156"/>
      <c r="Q12" s="449"/>
      <c r="R12" s="156"/>
      <c r="S12" s="454"/>
      <c r="T12" s="457" t="s">
        <v>428</v>
      </c>
      <c r="U12" s="456"/>
      <c r="V12" s="456"/>
      <c r="W12" s="456"/>
      <c r="X12" s="456"/>
      <c r="Y12" s="456"/>
      <c r="Z12" s="456"/>
      <c r="AA12" s="456"/>
      <c r="AB12" s="456"/>
      <c r="AC12" s="456"/>
      <c r="AD12" s="456"/>
      <c r="AE12" s="456"/>
      <c r="AF12" s="456"/>
      <c r="AG12" s="456"/>
      <c r="AH12" s="456"/>
      <c r="AI12" s="456"/>
      <c r="AJ12" s="456"/>
      <c r="AK12" s="456"/>
      <c r="AL12" s="456"/>
      <c r="AM12" s="456"/>
      <c r="AN12" s="456"/>
      <c r="AO12" s="456"/>
      <c r="AP12" s="456"/>
      <c r="AQ12" s="456"/>
      <c r="AR12" s="456"/>
      <c r="AS12" s="456"/>
      <c r="AU12" s="118"/>
      <c r="AV12" s="118" t="str">
        <f aca="false">IF(T12="","",T12)</f>
        <v>Добавить централизованную систему для дифференциации</v>
      </c>
      <c r="AW12" s="118"/>
      <c r="AX12" s="118"/>
      <c r="AY12" s="47" t="n">
        <v>0</v>
      </c>
    </row>
    <row r="13" s="47" customFormat="true" ht="14.25" hidden="true" customHeight="true" outlineLevel="0" collapsed="false">
      <c r="A13" s="122"/>
      <c r="B13" s="122"/>
      <c r="C13" s="122"/>
      <c r="D13" s="122"/>
      <c r="E13" s="413"/>
      <c r="F13" s="122"/>
      <c r="G13" s="122"/>
      <c r="H13" s="122"/>
      <c r="I13" s="122"/>
      <c r="J13" s="122"/>
      <c r="K13" s="122"/>
      <c r="L13" s="192"/>
      <c r="M13" s="453"/>
      <c r="N13" s="453"/>
      <c r="P13" s="156"/>
      <c r="Q13" s="449"/>
      <c r="R13" s="156"/>
      <c r="S13" s="454"/>
      <c r="T13" s="457" t="s">
        <v>429</v>
      </c>
      <c r="U13" s="456"/>
      <c r="V13" s="456"/>
      <c r="W13" s="456"/>
      <c r="X13" s="456"/>
      <c r="Y13" s="456"/>
      <c r="Z13" s="456"/>
      <c r="AA13" s="456"/>
      <c r="AB13" s="456"/>
      <c r="AC13" s="456"/>
      <c r="AD13" s="456"/>
      <c r="AE13" s="456"/>
      <c r="AF13" s="456"/>
      <c r="AG13" s="456"/>
      <c r="AH13" s="456"/>
      <c r="AI13" s="456"/>
      <c r="AJ13" s="456"/>
      <c r="AK13" s="456"/>
      <c r="AL13" s="456"/>
      <c r="AM13" s="456"/>
      <c r="AN13" s="456"/>
      <c r="AO13" s="456"/>
      <c r="AP13" s="456"/>
      <c r="AQ13" s="456"/>
      <c r="AR13" s="456"/>
      <c r="AS13" s="456"/>
      <c r="AU13" s="118"/>
      <c r="AV13" s="118" t="str">
        <f aca="false">IF(T13="","",T13)</f>
        <v>Добавить территорию для дифференциации</v>
      </c>
      <c r="AW13" s="118"/>
      <c r="AX13" s="118"/>
      <c r="AY13" s="47" t="n">
        <v>0</v>
      </c>
    </row>
    <row r="14" customFormat="false" ht="14.25" hidden="true" customHeight="true" outlineLevel="0" collapsed="false">
      <c r="AY14" s="42" t="n">
        <v>0</v>
      </c>
    </row>
    <row r="15" customFormat="false" ht="14.25" hidden="true" customHeight="true" outlineLevel="0" collapsed="false">
      <c r="AG15" s="458"/>
      <c r="AH15" s="458"/>
      <c r="AI15" s="458"/>
      <c r="AJ15" s="458"/>
      <c r="AK15" s="458"/>
      <c r="AL15" s="458"/>
      <c r="AM15" s="458"/>
      <c r="AN15" s="460"/>
      <c r="AO15" s="461" t="s">
        <v>61</v>
      </c>
      <c r="AP15" s="460"/>
      <c r="AQ15" s="461" t="s">
        <v>61</v>
      </c>
      <c r="AY15" s="42" t="n">
        <v>0</v>
      </c>
    </row>
    <row r="16" customFormat="false" ht="14.25" hidden="true" customHeight="true" outlineLevel="0" collapsed="false">
      <c r="AG16" s="458"/>
      <c r="AH16" s="458"/>
      <c r="AI16" s="458"/>
      <c r="AJ16" s="458"/>
      <c r="AK16" s="458"/>
      <c r="AL16" s="458"/>
      <c r="AM16" s="458"/>
      <c r="AN16" s="460"/>
      <c r="AO16" s="460"/>
      <c r="AP16" s="460"/>
      <c r="AQ16" s="460"/>
      <c r="AY16" s="42" t="n">
        <v>0</v>
      </c>
    </row>
    <row r="17" customFormat="false" ht="14.25" hidden="true" customHeight="true" outlineLevel="0" collapsed="false">
      <c r="AY17" s="42" t="n">
        <v>0</v>
      </c>
    </row>
    <row r="18" s="45" customFormat="true" ht="22.5" hidden="true" customHeight="true" outlineLevel="0" collapsed="false">
      <c r="L18" s="44"/>
      <c r="M18" s="51"/>
      <c r="N18" s="51"/>
      <c r="O18" s="462" t="s">
        <v>430</v>
      </c>
      <c r="P18" s="51"/>
      <c r="Q18" s="463"/>
      <c r="R18" s="463"/>
      <c r="S18" s="40"/>
      <c r="AC18" s="462"/>
      <c r="AE18" s="462"/>
      <c r="AN18" s="462"/>
      <c r="AP18" s="462"/>
      <c r="AT18" s="47"/>
      <c r="AU18" s="47"/>
      <c r="AV18" s="47"/>
      <c r="AW18" s="47"/>
      <c r="AX18" s="47"/>
      <c r="AY18" s="45" t="n">
        <v>0</v>
      </c>
    </row>
    <row r="19" s="45" customFormat="true" ht="14.25" hidden="true" customHeight="true" outlineLevel="0" collapsed="false">
      <c r="L19" s="44"/>
      <c r="M19" s="51"/>
      <c r="N19" s="51"/>
      <c r="O19" s="51"/>
      <c r="P19" s="51"/>
      <c r="Q19" s="463"/>
      <c r="R19" s="463"/>
      <c r="S19" s="40"/>
      <c r="AT19" s="47"/>
      <c r="AU19" s="47"/>
      <c r="AV19" s="47"/>
      <c r="AW19" s="47"/>
      <c r="AX19" s="47"/>
      <c r="AY19" s="45" t="n">
        <v>0</v>
      </c>
    </row>
    <row r="20" s="45" customFormat="true" ht="12" hidden="true" customHeight="true" outlineLevel="0" collapsed="false">
      <c r="L20" s="44"/>
      <c r="M20" s="51"/>
      <c r="N20" s="51"/>
      <c r="O20" s="414" t="s">
        <v>431</v>
      </c>
      <c r="P20" s="51"/>
      <c r="Q20" s="579"/>
      <c r="R20" s="579"/>
      <c r="S20" s="40"/>
      <c r="T20" s="45" t="s">
        <v>432</v>
      </c>
      <c r="AD20" s="140" t="s">
        <v>433</v>
      </c>
      <c r="AF20" s="140" t="s">
        <v>434</v>
      </c>
      <c r="AG20" s="45" t="s">
        <v>432</v>
      </c>
      <c r="AO20" s="140" t="s">
        <v>435</v>
      </c>
      <c r="AQ20" s="140" t="s">
        <v>434</v>
      </c>
      <c r="AY20" s="45" t="n">
        <v>0</v>
      </c>
    </row>
    <row r="21" customFormat="false" ht="14.25" hidden="true" customHeight="true" outlineLevel="0" collapsed="false">
      <c r="O21" s="414"/>
      <c r="AY21" s="42" t="n">
        <v>0</v>
      </c>
    </row>
    <row r="22" customFormat="false" ht="14.25" hidden="true" customHeight="true" outlineLevel="0" collapsed="false">
      <c r="O22" s="414"/>
      <c r="AY22" s="42" t="n">
        <v>0</v>
      </c>
    </row>
    <row r="23" customFormat="false" ht="14.25" hidden="false" customHeight="true" outlineLevel="0" collapsed="false">
      <c r="Q23" s="464"/>
      <c r="R23" s="464"/>
      <c r="S23" s="465"/>
      <c r="T23" s="80"/>
      <c r="U23" s="80"/>
      <c r="AY23" s="42" t="n">
        <v>14</v>
      </c>
    </row>
    <row r="24" customFormat="false" ht="26.25" hidden="false" customHeight="true" outlineLevel="0" collapsed="false">
      <c r="Q24" s="464"/>
      <c r="R24" s="464"/>
      <c r="S24" s="220"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2"/>
      <c r="AY24" s="42" t="n">
        <v>25</v>
      </c>
    </row>
    <row r="25" customFormat="false" ht="14.25" hidden="false" customHeight="true" outlineLevel="0" collapsed="false">
      <c r="Q25" s="464"/>
      <c r="R25" s="464"/>
      <c r="S25" s="261" t="str">
        <f aca="false">IF(org=0,"Не определено",org)</f>
        <v>ООО "Газпром теплоэнерго Ярославль"</v>
      </c>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22"/>
      <c r="AY25" s="42" t="n">
        <v>14</v>
      </c>
    </row>
    <row r="26" customFormat="false" ht="14.25" hidden="true" customHeight="true" outlineLevel="0" collapsed="false">
      <c r="Q26" s="464"/>
      <c r="R26" s="464"/>
      <c r="S26" s="465"/>
      <c r="T26" s="80"/>
      <c r="U26" s="80"/>
      <c r="V26" s="466"/>
      <c r="W26" s="466"/>
      <c r="X26" s="466"/>
      <c r="Y26" s="466"/>
      <c r="Z26" s="466"/>
      <c r="AA26" s="466"/>
      <c r="AB26" s="466"/>
      <c r="AC26" s="466"/>
      <c r="AD26" s="466"/>
      <c r="AE26" s="466"/>
      <c r="AF26" s="466"/>
      <c r="AG26" s="466"/>
      <c r="AH26" s="466"/>
      <c r="AI26" s="466"/>
      <c r="AJ26" s="466"/>
      <c r="AK26" s="466"/>
      <c r="AL26" s="466"/>
      <c r="AM26" s="466"/>
      <c r="AN26" s="466"/>
      <c r="AO26" s="466"/>
      <c r="AP26" s="466"/>
      <c r="AQ26" s="466"/>
      <c r="AY26" s="42" t="n">
        <v>0</v>
      </c>
    </row>
    <row r="27" s="175" customFormat="true" ht="25.5" hidden="true" customHeight="true" outlineLevel="0" collapsed="false">
      <c r="A27" s="140"/>
      <c r="B27" s="140"/>
      <c r="C27" s="140"/>
      <c r="D27" s="140"/>
      <c r="E27" s="140"/>
      <c r="F27" s="140"/>
      <c r="G27" s="140"/>
      <c r="H27" s="140"/>
      <c r="I27" s="140"/>
      <c r="J27" s="140"/>
      <c r="K27" s="140"/>
      <c r="L27" s="414"/>
      <c r="M27" s="140"/>
      <c r="N27" s="140"/>
      <c r="O27" s="140"/>
      <c r="S27" s="467" t="s">
        <v>40</v>
      </c>
      <c r="T27" s="467"/>
      <c r="U27" s="468"/>
      <c r="V27" s="469" t="str">
        <f aca="false">IF(TITLE_NAME_OR_PR_CHANGE="",IF(TITLE_NAME_OR_PR="","",TITLE_NAME_OR_PR),TITLE_NAME_OR_PR_CHANGE)</f>
        <v/>
      </c>
      <c r="W27" s="469"/>
      <c r="X27" s="469"/>
      <c r="Y27" s="469"/>
      <c r="Z27" s="469"/>
      <c r="AA27" s="469"/>
      <c r="AB27" s="469"/>
      <c r="AC27" s="469"/>
      <c r="AD27" s="469"/>
      <c r="AE27" s="469"/>
      <c r="AF27" s="42"/>
      <c r="AG27" s="469" t="str">
        <f aca="false">IF(TITLE_NAME_OR_PR_CHANGE="",IF(TITLE_NAME_OR_PR="","",TITLE_NAME_OR_PR),TITLE_NAME_OR_PR_CHANGE)</f>
        <v/>
      </c>
      <c r="AH27" s="469"/>
      <c r="AI27" s="469"/>
      <c r="AJ27" s="469"/>
      <c r="AK27" s="469"/>
      <c r="AL27" s="469"/>
      <c r="AM27" s="469"/>
      <c r="AN27" s="469"/>
      <c r="AO27" s="469"/>
      <c r="AP27" s="469"/>
      <c r="AQ27" s="42"/>
      <c r="AR27" s="42"/>
      <c r="AS27" s="470"/>
      <c r="AT27" s="118"/>
      <c r="AU27" s="118"/>
      <c r="AV27" s="118"/>
      <c r="AW27" s="118"/>
      <c r="AX27" s="118"/>
      <c r="AY27" s="175" t="n">
        <v>0</v>
      </c>
    </row>
    <row r="28" s="175" customFormat="true" ht="18.75" hidden="true" customHeight="true" outlineLevel="0" collapsed="false">
      <c r="A28" s="140"/>
      <c r="B28" s="140"/>
      <c r="C28" s="140"/>
      <c r="D28" s="140"/>
      <c r="E28" s="140"/>
      <c r="F28" s="140"/>
      <c r="G28" s="140"/>
      <c r="H28" s="140"/>
      <c r="I28" s="140"/>
      <c r="J28" s="140"/>
      <c r="K28" s="140"/>
      <c r="L28" s="414"/>
      <c r="M28" s="140"/>
      <c r="N28" s="140"/>
      <c r="O28" s="140"/>
      <c r="S28" s="467" t="s">
        <v>436</v>
      </c>
      <c r="T28" s="467"/>
      <c r="U28" s="468"/>
      <c r="V28" s="471" t="str">
        <f aca="false">IF(TITLE_DATE_PR_CHANGE="",IF(TITLE_DATE_PR="","",TITLE_DATE_PR),TITLE_DATE_PR_CHANGE)</f>
        <v/>
      </c>
      <c r="W28" s="471"/>
      <c r="X28" s="471"/>
      <c r="Y28" s="471"/>
      <c r="Z28" s="471"/>
      <c r="AA28" s="471"/>
      <c r="AB28" s="471"/>
      <c r="AC28" s="471"/>
      <c r="AD28" s="471"/>
      <c r="AE28" s="471"/>
      <c r="AF28" s="42"/>
      <c r="AG28" s="471" t="str">
        <f aca="false">IF(TITLE_DATE_PR_CHANGE="",IF(TITLE_DATE_PR="","",TITLE_DATE_PR),TITLE_DATE_PR_CHANGE)</f>
        <v/>
      </c>
      <c r="AH28" s="471"/>
      <c r="AI28" s="471"/>
      <c r="AJ28" s="471"/>
      <c r="AK28" s="471"/>
      <c r="AL28" s="471"/>
      <c r="AM28" s="471"/>
      <c r="AN28" s="471"/>
      <c r="AO28" s="471"/>
      <c r="AP28" s="471"/>
      <c r="AQ28" s="42"/>
      <c r="AR28" s="42"/>
      <c r="AS28" s="470"/>
      <c r="AT28" s="118"/>
      <c r="AU28" s="118"/>
      <c r="AV28" s="118"/>
      <c r="AW28" s="118"/>
      <c r="AX28" s="118"/>
      <c r="AY28" s="175" t="n">
        <v>0</v>
      </c>
    </row>
    <row r="29" s="175" customFormat="true" ht="18.75" hidden="true" customHeight="true" outlineLevel="0" collapsed="false">
      <c r="A29" s="140"/>
      <c r="B29" s="140"/>
      <c r="C29" s="140"/>
      <c r="D29" s="140"/>
      <c r="E29" s="140"/>
      <c r="F29" s="140"/>
      <c r="G29" s="140"/>
      <c r="H29" s="140"/>
      <c r="I29" s="140"/>
      <c r="J29" s="140"/>
      <c r="K29" s="140"/>
      <c r="L29" s="414"/>
      <c r="M29" s="140"/>
      <c r="N29" s="140"/>
      <c r="O29" s="140"/>
      <c r="S29" s="467" t="s">
        <v>437</v>
      </c>
      <c r="T29" s="467"/>
      <c r="U29" s="468"/>
      <c r="V29" s="469" t="str">
        <f aca="false">IF(TITLE_NUMBER_PR_CHANGE="",IF(TITLE_NUMBER_PR="","",TITLE_NUMBER_PR),TITLE_NUMBER_PR_CHANGE)</f>
        <v/>
      </c>
      <c r="W29" s="469"/>
      <c r="X29" s="469"/>
      <c r="Y29" s="469"/>
      <c r="Z29" s="469"/>
      <c r="AA29" s="469"/>
      <c r="AB29" s="469"/>
      <c r="AC29" s="469"/>
      <c r="AD29" s="469"/>
      <c r="AE29" s="469"/>
      <c r="AF29" s="42"/>
      <c r="AG29" s="469" t="str">
        <f aca="false">IF(TITLE_NUMBER_PR_CHANGE="",IF(TITLE_NUMBER_PR="","",TITLE_NUMBER_PR),TITLE_NUMBER_PR_CHANGE)</f>
        <v/>
      </c>
      <c r="AH29" s="469"/>
      <c r="AI29" s="469"/>
      <c r="AJ29" s="469"/>
      <c r="AK29" s="469"/>
      <c r="AL29" s="469"/>
      <c r="AM29" s="469"/>
      <c r="AN29" s="469"/>
      <c r="AO29" s="469"/>
      <c r="AP29" s="469"/>
      <c r="AQ29" s="42"/>
      <c r="AR29" s="42"/>
      <c r="AS29" s="470"/>
      <c r="AT29" s="118"/>
      <c r="AU29" s="118"/>
      <c r="AV29" s="118"/>
      <c r="AW29" s="118"/>
      <c r="AX29" s="118"/>
      <c r="AY29" s="175" t="n">
        <v>0</v>
      </c>
    </row>
    <row r="30" s="175" customFormat="true" ht="18.75" hidden="true" customHeight="true" outlineLevel="0" collapsed="false">
      <c r="A30" s="140"/>
      <c r="B30" s="140"/>
      <c r="C30" s="140"/>
      <c r="D30" s="140"/>
      <c r="E30" s="140"/>
      <c r="F30" s="140"/>
      <c r="G30" s="140"/>
      <c r="H30" s="140"/>
      <c r="I30" s="140"/>
      <c r="J30" s="140"/>
      <c r="K30" s="140"/>
      <c r="L30" s="414"/>
      <c r="M30" s="140"/>
      <c r="N30" s="140"/>
      <c r="O30" s="140"/>
      <c r="S30" s="467" t="s">
        <v>41</v>
      </c>
      <c r="T30" s="467"/>
      <c r="U30" s="468"/>
      <c r="V30" s="469" t="str">
        <f aca="false">IF(TITLE_IST_PUB_CHANGE="",IF(TITLE_IST_PUB="","",TITLE_IST_PUB),TITLE_IST_PUB_CHANGE)</f>
        <v/>
      </c>
      <c r="W30" s="469"/>
      <c r="X30" s="469"/>
      <c r="Y30" s="469"/>
      <c r="Z30" s="469"/>
      <c r="AA30" s="469"/>
      <c r="AB30" s="469"/>
      <c r="AC30" s="469"/>
      <c r="AD30" s="469"/>
      <c r="AE30" s="469"/>
      <c r="AF30" s="42"/>
      <c r="AG30" s="469" t="str">
        <f aca="false">IF(TITLE_IST_PUB_CHANGE="",IF(TITLE_IST_PUB="","",TITLE_IST_PUB),TITLE_IST_PUB_CHANGE)</f>
        <v/>
      </c>
      <c r="AH30" s="469"/>
      <c r="AI30" s="469"/>
      <c r="AJ30" s="469"/>
      <c r="AK30" s="469"/>
      <c r="AL30" s="469"/>
      <c r="AM30" s="469"/>
      <c r="AN30" s="469"/>
      <c r="AO30" s="469"/>
      <c r="AP30" s="469"/>
      <c r="AQ30" s="42"/>
      <c r="AR30" s="42"/>
      <c r="AS30" s="470"/>
      <c r="AT30" s="118"/>
      <c r="AU30" s="118"/>
      <c r="AV30" s="118"/>
      <c r="AW30" s="118"/>
      <c r="AX30" s="118"/>
      <c r="AY30" s="175" t="n">
        <v>0</v>
      </c>
    </row>
    <row r="31" customFormat="false" ht="14.25" hidden="true" customHeight="true" outlineLevel="0" collapsed="false">
      <c r="Q31" s="464"/>
      <c r="R31" s="464"/>
      <c r="S31" s="465"/>
      <c r="T31" s="80"/>
      <c r="U31" s="80"/>
      <c r="V31" s="466"/>
      <c r="W31" s="466"/>
      <c r="X31" s="466"/>
      <c r="Y31" s="466"/>
      <c r="Z31" s="466"/>
      <c r="AA31" s="466"/>
      <c r="AB31" s="466"/>
      <c r="AC31" s="466"/>
      <c r="AD31" s="466"/>
      <c r="AE31" s="466"/>
      <c r="AF31" s="466"/>
      <c r="AG31" s="466"/>
      <c r="AH31" s="466"/>
      <c r="AI31" s="466"/>
      <c r="AJ31" s="466"/>
      <c r="AK31" s="466"/>
      <c r="AL31" s="466"/>
      <c r="AM31" s="466"/>
      <c r="AN31" s="466"/>
      <c r="AO31" s="466"/>
      <c r="AP31" s="466"/>
      <c r="AQ31" s="466"/>
      <c r="AY31" s="42" t="n">
        <v>0</v>
      </c>
    </row>
    <row r="32" s="175" customFormat="true" ht="18.75" hidden="true" customHeight="true" outlineLevel="0" collapsed="false">
      <c r="A32" s="140"/>
      <c r="B32" s="140"/>
      <c r="C32" s="140"/>
      <c r="D32" s="140"/>
      <c r="E32" s="140"/>
      <c r="F32" s="140"/>
      <c r="G32" s="140"/>
      <c r="H32" s="140"/>
      <c r="I32" s="140"/>
      <c r="J32" s="140"/>
      <c r="K32" s="140"/>
      <c r="L32" s="414"/>
      <c r="M32" s="140"/>
      <c r="N32" s="140"/>
      <c r="O32" s="140"/>
      <c r="S32" s="467" t="s">
        <v>438</v>
      </c>
      <c r="T32" s="467"/>
      <c r="U32" s="468"/>
      <c r="V32" s="471" t="str">
        <f aca="false">IF(TITLE_DATE_PR_CHANGE="",IF(TITLE_DATE_PR="","",TITLE_DATE_PR),TITLE_DATE_PR_CHANGE)</f>
        <v/>
      </c>
      <c r="W32" s="471"/>
      <c r="X32" s="471"/>
      <c r="Y32" s="471"/>
      <c r="Z32" s="471"/>
      <c r="AA32" s="471"/>
      <c r="AB32" s="471"/>
      <c r="AC32" s="471"/>
      <c r="AD32" s="471"/>
      <c r="AE32" s="471"/>
      <c r="AF32" s="42"/>
      <c r="AG32" s="471" t="str">
        <f aca="false">IF(TITLE_DATE_PR_CHANGE="",IF(TITLE_DATE_PR="","",TITLE_DATE_PR),TITLE_DATE_PR_CHANGE)</f>
        <v/>
      </c>
      <c r="AH32" s="471"/>
      <c r="AI32" s="471"/>
      <c r="AJ32" s="471"/>
      <c r="AK32" s="471"/>
      <c r="AL32" s="471"/>
      <c r="AM32" s="471"/>
      <c r="AN32" s="471"/>
      <c r="AO32" s="471"/>
      <c r="AP32" s="471"/>
      <c r="AQ32" s="42"/>
      <c r="AR32" s="42"/>
      <c r="AS32" s="470"/>
      <c r="AT32" s="118"/>
      <c r="AU32" s="118"/>
      <c r="AV32" s="118"/>
      <c r="AW32" s="118"/>
      <c r="AX32" s="118"/>
      <c r="AY32" s="175" t="n">
        <v>0</v>
      </c>
    </row>
    <row r="33" s="175" customFormat="true" ht="18.75" hidden="true" customHeight="true" outlineLevel="0" collapsed="false">
      <c r="A33" s="140"/>
      <c r="B33" s="140"/>
      <c r="C33" s="140"/>
      <c r="D33" s="140"/>
      <c r="E33" s="140"/>
      <c r="F33" s="140"/>
      <c r="G33" s="140"/>
      <c r="H33" s="140"/>
      <c r="I33" s="140"/>
      <c r="J33" s="140"/>
      <c r="K33" s="140"/>
      <c r="L33" s="414"/>
      <c r="M33" s="140"/>
      <c r="N33" s="140"/>
      <c r="O33" s="140"/>
      <c r="S33" s="467" t="s">
        <v>439</v>
      </c>
      <c r="T33" s="467"/>
      <c r="U33" s="468"/>
      <c r="V33" s="469" t="str">
        <f aca="false">IF(TITLE_NUMBER_PR_CHANGE="",IF(TITLE_NUMBER_PR="","",TITLE_NUMBER_PR),TITLE_NUMBER_PR_CHANGE)</f>
        <v/>
      </c>
      <c r="W33" s="469"/>
      <c r="X33" s="469"/>
      <c r="Y33" s="469"/>
      <c r="Z33" s="469"/>
      <c r="AA33" s="469"/>
      <c r="AB33" s="469"/>
      <c r="AC33" s="469"/>
      <c r="AD33" s="469"/>
      <c r="AE33" s="469"/>
      <c r="AF33" s="42"/>
      <c r="AG33" s="469" t="str">
        <f aca="false">IF(TITLE_NUMBER_PR_CHANGE="",IF(TITLE_NUMBER_PR="","",TITLE_NUMBER_PR),TITLE_NUMBER_PR_CHANGE)</f>
        <v/>
      </c>
      <c r="AH33" s="469"/>
      <c r="AI33" s="469"/>
      <c r="AJ33" s="469"/>
      <c r="AK33" s="469"/>
      <c r="AL33" s="469"/>
      <c r="AM33" s="469"/>
      <c r="AN33" s="469"/>
      <c r="AO33" s="469"/>
      <c r="AP33" s="469"/>
      <c r="AQ33" s="42"/>
      <c r="AR33" s="42"/>
      <c r="AS33" s="470"/>
      <c r="AT33" s="118"/>
      <c r="AU33" s="118"/>
      <c r="AV33" s="118"/>
      <c r="AW33" s="118"/>
      <c r="AX33" s="118"/>
      <c r="AY33" s="175" t="n">
        <v>0</v>
      </c>
    </row>
    <row r="34" s="175" customFormat="true" ht="0.75" hidden="false" customHeight="true" outlineLevel="0" collapsed="false">
      <c r="A34" s="140"/>
      <c r="B34" s="140"/>
      <c r="C34" s="140"/>
      <c r="D34" s="140"/>
      <c r="E34" s="140"/>
      <c r="F34" s="140"/>
      <c r="G34" s="140"/>
      <c r="H34" s="140"/>
      <c r="I34" s="140"/>
      <c r="J34" s="140"/>
      <c r="K34" s="140"/>
      <c r="L34" s="414"/>
      <c r="M34" s="140"/>
      <c r="N34" s="140"/>
      <c r="O34" s="140"/>
      <c r="S34" s="42"/>
      <c r="T34" s="42"/>
      <c r="U34" s="128"/>
      <c r="V34" s="42"/>
      <c r="W34" s="42"/>
      <c r="X34" s="42"/>
      <c r="Y34" s="42"/>
      <c r="Z34" s="42"/>
      <c r="AA34" s="42"/>
      <c r="AB34" s="42"/>
      <c r="AC34" s="42"/>
      <c r="AD34" s="42"/>
      <c r="AE34" s="42"/>
      <c r="AF34" s="47" t="s">
        <v>440</v>
      </c>
      <c r="AG34" s="42"/>
      <c r="AH34" s="42"/>
      <c r="AI34" s="42"/>
      <c r="AJ34" s="42"/>
      <c r="AK34" s="42"/>
      <c r="AL34" s="42"/>
      <c r="AM34" s="42"/>
      <c r="AN34" s="42"/>
      <c r="AO34" s="42"/>
      <c r="AP34" s="42"/>
      <c r="AQ34" s="47" t="s">
        <v>440</v>
      </c>
      <c r="AT34" s="118"/>
      <c r="AU34" s="118"/>
      <c r="AV34" s="118"/>
      <c r="AW34" s="118"/>
      <c r="AX34" s="118"/>
      <c r="AY34" s="175" t="n">
        <v>1</v>
      </c>
    </row>
    <row r="35" customFormat="false" ht="14.25" hidden="false" customHeight="true" outlineLevel="0" collapsed="false">
      <c r="Q35" s="464"/>
      <c r="R35" s="464"/>
      <c r="S35" s="465"/>
      <c r="T35" s="80"/>
      <c r="U35" s="472"/>
      <c r="V35" s="473"/>
      <c r="W35" s="473"/>
      <c r="X35" s="473"/>
      <c r="Y35" s="473"/>
      <c r="Z35" s="473"/>
      <c r="AA35" s="473"/>
      <c r="AB35" s="473"/>
      <c r="AC35" s="473"/>
      <c r="AD35" s="473"/>
      <c r="AE35" s="473"/>
      <c r="AF35" s="473"/>
      <c r="AG35" s="473"/>
      <c r="AH35" s="473"/>
      <c r="AI35" s="473"/>
      <c r="AJ35" s="473"/>
      <c r="AK35" s="473"/>
      <c r="AL35" s="473"/>
      <c r="AM35" s="473"/>
      <c r="AN35" s="473"/>
      <c r="AO35" s="473"/>
      <c r="AP35" s="473"/>
      <c r="AQ35" s="473"/>
      <c r="AY35" s="42" t="n">
        <v>14</v>
      </c>
    </row>
    <row r="36" customFormat="false" ht="14.25" hidden="false" customHeight="true" outlineLevel="0" collapsed="false">
      <c r="Q36" s="464"/>
      <c r="R36" s="464"/>
      <c r="S36" s="134" t="s">
        <v>313</v>
      </c>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t="s">
        <v>314</v>
      </c>
      <c r="AY36" s="42" t="n">
        <v>14</v>
      </c>
    </row>
    <row r="37" customFormat="false" ht="14.25" hidden="false" customHeight="true" outlineLevel="0" collapsed="false">
      <c r="Q37" s="464"/>
      <c r="R37" s="464"/>
      <c r="S37" s="416" t="s">
        <v>87</v>
      </c>
      <c r="T37" s="391" t="s">
        <v>441</v>
      </c>
      <c r="U37" s="475"/>
      <c r="V37" s="296" t="s">
        <v>442</v>
      </c>
      <c r="W37" s="296"/>
      <c r="X37" s="296"/>
      <c r="Y37" s="296"/>
      <c r="Z37" s="296"/>
      <c r="AA37" s="296"/>
      <c r="AB37" s="296"/>
      <c r="AC37" s="296"/>
      <c r="AD37" s="296"/>
      <c r="AE37" s="296"/>
      <c r="AF37" s="391" t="s">
        <v>443</v>
      </c>
      <c r="AG37" s="296" t="s">
        <v>442</v>
      </c>
      <c r="AH37" s="296"/>
      <c r="AI37" s="296"/>
      <c r="AJ37" s="296"/>
      <c r="AK37" s="296"/>
      <c r="AL37" s="296"/>
      <c r="AM37" s="296"/>
      <c r="AN37" s="296"/>
      <c r="AO37" s="296"/>
      <c r="AP37" s="296"/>
      <c r="AQ37" s="391" t="s">
        <v>444</v>
      </c>
      <c r="AR37" s="476" t="s">
        <v>445</v>
      </c>
      <c r="AS37" s="134"/>
      <c r="AY37" s="42" t="n">
        <v>14</v>
      </c>
    </row>
    <row r="38" customFormat="false" ht="19.5" hidden="false" customHeight="true" outlineLevel="0" collapsed="false">
      <c r="Q38" s="464"/>
      <c r="R38" s="464"/>
      <c r="S38" s="416"/>
      <c r="T38" s="391"/>
      <c r="U38" s="477"/>
      <c r="V38" s="146" t="s">
        <v>545</v>
      </c>
      <c r="W38" s="597" t="s">
        <v>546</v>
      </c>
      <c r="X38" s="597"/>
      <c r="Y38" s="597"/>
      <c r="Z38" s="597" t="s">
        <v>547</v>
      </c>
      <c r="AA38" s="597"/>
      <c r="AB38" s="597"/>
      <c r="AC38" s="134" t="s">
        <v>449</v>
      </c>
      <c r="AD38" s="134"/>
      <c r="AE38" s="134"/>
      <c r="AF38" s="391"/>
      <c r="AG38" s="146" t="s">
        <v>545</v>
      </c>
      <c r="AH38" s="597" t="s">
        <v>546</v>
      </c>
      <c r="AI38" s="597"/>
      <c r="AJ38" s="597"/>
      <c r="AK38" s="597" t="s">
        <v>547</v>
      </c>
      <c r="AL38" s="597"/>
      <c r="AM38" s="597"/>
      <c r="AN38" s="134" t="s">
        <v>449</v>
      </c>
      <c r="AO38" s="134"/>
      <c r="AP38" s="134"/>
      <c r="AQ38" s="391"/>
      <c r="AR38" s="476"/>
      <c r="AS38" s="134"/>
      <c r="AY38" s="42" t="n">
        <v>19</v>
      </c>
    </row>
    <row r="39" s="42" customFormat="true" ht="19.5" hidden="false" customHeight="true" outlineLevel="0" collapsed="false">
      <c r="A39" s="45"/>
      <c r="B39" s="45"/>
      <c r="C39" s="45"/>
      <c r="D39" s="45"/>
      <c r="E39" s="45"/>
      <c r="F39" s="45"/>
      <c r="G39" s="45"/>
      <c r="H39" s="45"/>
      <c r="I39" s="45"/>
      <c r="J39" s="45"/>
      <c r="K39" s="45"/>
      <c r="L39" s="44"/>
      <c r="M39" s="51"/>
      <c r="N39" s="51"/>
      <c r="O39" s="51"/>
      <c r="P39" s="50"/>
      <c r="Q39" s="464"/>
      <c r="R39" s="464"/>
      <c r="S39" s="416"/>
      <c r="T39" s="391"/>
      <c r="U39" s="477"/>
      <c r="V39" s="146"/>
      <c r="W39" s="597" t="s">
        <v>548</v>
      </c>
      <c r="X39" s="597" t="s">
        <v>549</v>
      </c>
      <c r="Y39" s="597"/>
      <c r="Z39" s="597" t="s">
        <v>550</v>
      </c>
      <c r="AA39" s="597" t="s">
        <v>549</v>
      </c>
      <c r="AB39" s="597"/>
      <c r="AC39" s="134"/>
      <c r="AD39" s="134"/>
      <c r="AE39" s="134"/>
      <c r="AF39" s="391"/>
      <c r="AG39" s="146"/>
      <c r="AH39" s="597" t="s">
        <v>548</v>
      </c>
      <c r="AI39" s="597" t="s">
        <v>549</v>
      </c>
      <c r="AJ39" s="597"/>
      <c r="AK39" s="597" t="s">
        <v>550</v>
      </c>
      <c r="AL39" s="597" t="s">
        <v>549</v>
      </c>
      <c r="AM39" s="597"/>
      <c r="AN39" s="134"/>
      <c r="AO39" s="134"/>
      <c r="AP39" s="134"/>
      <c r="AQ39" s="391"/>
      <c r="AR39" s="476"/>
      <c r="AS39" s="134"/>
      <c r="AT39" s="47"/>
      <c r="AU39" s="47"/>
      <c r="AV39" s="47"/>
      <c r="AW39" s="47"/>
      <c r="AX39" s="47"/>
      <c r="AY39" s="42" t="n">
        <v>19</v>
      </c>
    </row>
    <row r="40" customFormat="false" ht="61.5" hidden="false" customHeight="true" outlineLevel="0" collapsed="false">
      <c r="A40" s="140"/>
      <c r="B40" s="140" t="s">
        <v>150</v>
      </c>
      <c r="C40" s="140" t="s">
        <v>151</v>
      </c>
      <c r="D40" s="140" t="s">
        <v>152</v>
      </c>
      <c r="E40" s="414" t="s">
        <v>450</v>
      </c>
      <c r="F40" s="414" t="s">
        <v>451</v>
      </c>
      <c r="G40" s="414" t="s">
        <v>452</v>
      </c>
      <c r="H40" s="414"/>
      <c r="I40" s="414" t="s">
        <v>503</v>
      </c>
      <c r="J40" s="414" t="s">
        <v>455</v>
      </c>
      <c r="K40" s="414" t="s">
        <v>504</v>
      </c>
      <c r="L40" s="414" t="s">
        <v>431</v>
      </c>
      <c r="Q40" s="464"/>
      <c r="R40" s="464"/>
      <c r="S40" s="416"/>
      <c r="T40" s="391"/>
      <c r="U40" s="478"/>
      <c r="V40" s="146"/>
      <c r="W40" s="597"/>
      <c r="X40" s="597" t="s">
        <v>551</v>
      </c>
      <c r="Y40" s="597" t="s">
        <v>552</v>
      </c>
      <c r="Z40" s="597"/>
      <c r="AA40" s="597" t="s">
        <v>553</v>
      </c>
      <c r="AB40" s="597" t="s">
        <v>554</v>
      </c>
      <c r="AC40" s="185" t="s">
        <v>459</v>
      </c>
      <c r="AD40" s="185" t="s">
        <v>460</v>
      </c>
      <c r="AE40" s="185"/>
      <c r="AF40" s="391"/>
      <c r="AG40" s="146"/>
      <c r="AH40" s="597"/>
      <c r="AI40" s="597" t="s">
        <v>551</v>
      </c>
      <c r="AJ40" s="597" t="s">
        <v>552</v>
      </c>
      <c r="AK40" s="597"/>
      <c r="AL40" s="597" t="s">
        <v>553</v>
      </c>
      <c r="AM40" s="597" t="s">
        <v>554</v>
      </c>
      <c r="AN40" s="185" t="s">
        <v>459</v>
      </c>
      <c r="AO40" s="185" t="s">
        <v>460</v>
      </c>
      <c r="AP40" s="185"/>
      <c r="AQ40" s="391"/>
      <c r="AR40" s="476"/>
      <c r="AS40" s="134"/>
      <c r="AY40" s="42" t="n">
        <v>59</v>
      </c>
    </row>
    <row r="41" s="120" customFormat="true" ht="11.25" hidden="true" customHeight="true" outlineLevel="0" collapsed="false">
      <c r="A41" s="140"/>
      <c r="B41" s="140"/>
      <c r="C41" s="140"/>
      <c r="D41" s="140"/>
      <c r="E41" s="140"/>
      <c r="F41" s="140"/>
      <c r="G41" s="140"/>
      <c r="H41" s="140"/>
      <c r="I41" s="140"/>
      <c r="J41" s="140"/>
      <c r="K41" s="140"/>
      <c r="L41" s="414"/>
      <c r="M41" s="51"/>
      <c r="N41" s="51"/>
      <c r="O41" s="51"/>
      <c r="P41" s="479"/>
      <c r="Q41" s="480"/>
      <c r="R41" s="481" t="n">
        <v>1</v>
      </c>
      <c r="S41" s="482" t="s">
        <v>120</v>
      </c>
      <c r="T41" s="483" t="s">
        <v>102</v>
      </c>
      <c r="U41" s="484" t="str">
        <f aca="true">OFFSET(U41,0,-1)</f>
        <v>2</v>
      </c>
      <c r="V41" s="485" t="n">
        <f aca="true">OFFSET(V41,0,-1)+1</f>
        <v>3</v>
      </c>
      <c r="W41" s="364"/>
      <c r="X41" s="364"/>
      <c r="Y41" s="364"/>
      <c r="Z41" s="364"/>
      <c r="AA41" s="364"/>
      <c r="AB41" s="364"/>
      <c r="AC41" s="485" t="n">
        <f aca="true">OFFSET(AC41,0,-1)+1</f>
        <v>1</v>
      </c>
      <c r="AD41" s="485" t="n">
        <f aca="true">OFFSET(AD41,0,-1)+1</f>
        <v>2</v>
      </c>
      <c r="AE41" s="485"/>
      <c r="AF41" s="485" t="n">
        <f aca="true">OFFSET(AF41,0,-2)+1</f>
        <v>3</v>
      </c>
      <c r="AG41" s="485" t="n">
        <f aca="true">OFFSET(AG41,0,-1)+1</f>
        <v>4</v>
      </c>
      <c r="AH41" s="485"/>
      <c r="AI41" s="485"/>
      <c r="AJ41" s="485"/>
      <c r="AK41" s="485"/>
      <c r="AL41" s="485"/>
      <c r="AM41" s="485" t="n">
        <f aca="true">OFFSET(AM41,0,-1)+1</f>
        <v>1</v>
      </c>
      <c r="AN41" s="485" t="n">
        <f aca="true">OFFSET(AN41,0,-1)+1</f>
        <v>2</v>
      </c>
      <c r="AO41" s="485" t="n">
        <f aca="true">OFFSET(AO41,0,-1)+1</f>
        <v>3</v>
      </c>
      <c r="AP41" s="485"/>
      <c r="AQ41" s="485" t="n">
        <f aca="true">OFFSET(AQ41,0,-2)+1</f>
        <v>4</v>
      </c>
      <c r="AR41" s="484" t="n">
        <f aca="true">OFFSET(AR41,0,-1)</f>
        <v>4</v>
      </c>
      <c r="AS41" s="485" t="n">
        <f aca="true">OFFSET(AS41,0,-1)+1</f>
        <v>5</v>
      </c>
      <c r="AT41" s="47"/>
      <c r="AU41" s="47"/>
      <c r="AV41" s="47"/>
      <c r="AW41" s="47"/>
      <c r="AX41" s="47"/>
      <c r="AY41" s="120" t="n">
        <v>0</v>
      </c>
    </row>
    <row r="42" customFormat="false" ht="24" hidden="false" customHeight="true" outlineLevel="0" collapsed="false">
      <c r="A42" s="412" t="s">
        <v>264</v>
      </c>
      <c r="B42" s="412"/>
      <c r="C42" s="412"/>
      <c r="D42" s="412"/>
      <c r="E42" s="413" t="n">
        <v>1</v>
      </c>
      <c r="F42" s="412"/>
      <c r="G42" s="412"/>
      <c r="H42" s="412"/>
      <c r="I42" s="412"/>
      <c r="J42" s="412"/>
      <c r="K42" s="412"/>
      <c r="L42" s="414"/>
      <c r="M42" s="40"/>
      <c r="N42" s="40"/>
      <c r="O42" s="40"/>
      <c r="Q42" s="132"/>
      <c r="R42" s="415"/>
      <c r="S42" s="416" t="n">
        <f aca="false">INDEX(PT_DIFFERENTIATION_NUM_NTAR,MATCH(A42,PT_DIFFERENTIATION_NTAR_ID,0))</f>
        <v>0</v>
      </c>
      <c r="T42" s="417" t="s">
        <v>138</v>
      </c>
      <c r="U42" s="418"/>
      <c r="V42" s="419"/>
      <c r="W42" s="419"/>
      <c r="X42" s="419"/>
      <c r="Y42" s="419"/>
      <c r="Z42" s="419"/>
      <c r="AA42" s="419"/>
      <c r="AB42" s="419"/>
      <c r="AC42" s="419"/>
      <c r="AD42" s="419"/>
      <c r="AE42" s="419"/>
      <c r="AF42" s="419"/>
      <c r="AG42" s="420" t="str">
        <f aca="false">INDEX(PT_DIFFERENTIATION_NTAR,MATCH(A42,PT_DIFFERENTIATION_NTAR_ID,0))</f>
        <v/>
      </c>
      <c r="AH42" s="420"/>
      <c r="AI42" s="420"/>
      <c r="AJ42" s="420"/>
      <c r="AK42" s="420"/>
      <c r="AL42" s="420"/>
      <c r="AM42" s="420"/>
      <c r="AN42" s="420"/>
      <c r="AO42" s="420"/>
      <c r="AP42" s="420"/>
      <c r="AQ42" s="420"/>
      <c r="AR42" s="420"/>
      <c r="AS42" s="42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18"/>
      <c r="AV42" s="118" t="str">
        <f aca="false">IF(T42="","",T42)</f>
        <v>Наименование тарифа</v>
      </c>
      <c r="AW42" s="118"/>
      <c r="AX42" s="118"/>
      <c r="AY42" s="42" t="n">
        <v>23</v>
      </c>
    </row>
    <row r="43" customFormat="false" ht="24" hidden="false" customHeight="true" outlineLevel="0" collapsed="false">
      <c r="A43" s="412" t="s">
        <v>264</v>
      </c>
      <c r="B43" s="412" t="s">
        <v>265</v>
      </c>
      <c r="C43" s="412"/>
      <c r="D43" s="412"/>
      <c r="E43" s="413"/>
      <c r="F43" s="413" t="n">
        <v>1</v>
      </c>
      <c r="G43" s="412"/>
      <c r="H43" s="412"/>
      <c r="I43" s="412"/>
      <c r="J43" s="412"/>
      <c r="K43" s="412"/>
      <c r="L43" s="414"/>
      <c r="M43" s="40"/>
      <c r="N43" s="40"/>
      <c r="O43" s="40"/>
      <c r="P43" s="43"/>
      <c r="Q43" s="422"/>
      <c r="R43" s="423"/>
      <c r="S43" s="416" t="str">
        <f aca="false">INDEX(PT_DIFFERENTIATION_NUM_TER,MATCH(B43,PT_DIFFERENTIATION_TER_ID,0))</f>
        <v>.</v>
      </c>
      <c r="T43" s="424" t="s">
        <v>410</v>
      </c>
      <c r="U43" s="418"/>
      <c r="V43" s="419"/>
      <c r="W43" s="419"/>
      <c r="X43" s="419"/>
      <c r="Y43" s="419"/>
      <c r="Z43" s="419"/>
      <c r="AA43" s="419"/>
      <c r="AB43" s="419"/>
      <c r="AC43" s="419"/>
      <c r="AD43" s="419"/>
      <c r="AE43" s="419"/>
      <c r="AF43" s="419"/>
      <c r="AG43" s="420" t="str">
        <f aca="false">INDEX(PT_DIFFERENTIATION_TER,MATCH(B43,PT_DIFFERENTIATION_TER_ID,0))</f>
        <v/>
      </c>
      <c r="AH43" s="420"/>
      <c r="AI43" s="420"/>
      <c r="AJ43" s="420"/>
      <c r="AK43" s="420"/>
      <c r="AL43" s="420"/>
      <c r="AM43" s="420"/>
      <c r="AN43" s="420"/>
      <c r="AO43" s="420"/>
      <c r="AP43" s="420"/>
      <c r="AQ43" s="420"/>
      <c r="AR43" s="420"/>
      <c r="AS43" s="421" t="s">
        <v>411</v>
      </c>
      <c r="AU43" s="118"/>
      <c r="AV43" s="118" t="str">
        <f aca="false">IF(T43="","",T43)</f>
        <v>Территория действия тарифа</v>
      </c>
      <c r="AW43" s="118"/>
      <c r="AX43" s="118"/>
      <c r="AY43" s="42" t="n">
        <v>23</v>
      </c>
    </row>
    <row r="44" customFormat="false" ht="24" hidden="false" customHeight="true" outlineLevel="0" collapsed="false">
      <c r="A44" s="412" t="s">
        <v>264</v>
      </c>
      <c r="B44" s="412" t="s">
        <v>265</v>
      </c>
      <c r="C44" s="412" t="s">
        <v>266</v>
      </c>
      <c r="D44" s="412"/>
      <c r="E44" s="413"/>
      <c r="F44" s="413"/>
      <c r="G44" s="413" t="n">
        <v>1</v>
      </c>
      <c r="H44" s="412"/>
      <c r="I44" s="412"/>
      <c r="J44" s="412"/>
      <c r="K44" s="412"/>
      <c r="L44" s="414"/>
      <c r="M44" s="40"/>
      <c r="N44" s="40"/>
      <c r="O44" s="40"/>
      <c r="P44" s="425"/>
      <c r="Q44" s="422"/>
      <c r="R44" s="423"/>
      <c r="S44" s="416" t="str">
        <f aca="false">INDEX(PT_DIFFERENTIATION_NUM_CS,MATCH(C44,PT_DIFFERENTIATION_CS_ID,0))</f>
        <v>..</v>
      </c>
      <c r="T44" s="426" t="s">
        <v>543</v>
      </c>
      <c r="U44" s="418"/>
      <c r="V44" s="419"/>
      <c r="W44" s="419"/>
      <c r="X44" s="419"/>
      <c r="Y44" s="419"/>
      <c r="Z44" s="419"/>
      <c r="AA44" s="419"/>
      <c r="AB44" s="419"/>
      <c r="AC44" s="419"/>
      <c r="AD44" s="419"/>
      <c r="AE44" s="419"/>
      <c r="AF44" s="419"/>
      <c r="AG44" s="420" t="str">
        <f aca="false">INDEX(PT_DIFFERENTIATION_CS,MATCH(C44,PT_DIFFERENTIATION_CS_ID,0))</f>
        <v/>
      </c>
      <c r="AH44" s="420"/>
      <c r="AI44" s="420"/>
      <c r="AJ44" s="420"/>
      <c r="AK44" s="420"/>
      <c r="AL44" s="420"/>
      <c r="AM44" s="420"/>
      <c r="AN44" s="420"/>
      <c r="AO44" s="420"/>
      <c r="AP44" s="420"/>
      <c r="AQ44" s="420"/>
      <c r="AR44" s="420"/>
      <c r="AS44" s="421" t="s">
        <v>544</v>
      </c>
      <c r="AU44" s="118"/>
      <c r="AV44" s="118" t="str">
        <f aca="false">IF(T44="","",T44)</f>
        <v>Наименование централизованной системы горячего водоснабжения</v>
      </c>
      <c r="AW44" s="118"/>
      <c r="AX44" s="118"/>
      <c r="AY44" s="42" t="n">
        <v>23</v>
      </c>
    </row>
    <row r="45" customFormat="false" ht="24" hidden="false" customHeight="true" outlineLevel="0" collapsed="false">
      <c r="A45" s="412" t="s">
        <v>264</v>
      </c>
      <c r="B45" s="412" t="s">
        <v>265</v>
      </c>
      <c r="C45" s="412" t="s">
        <v>266</v>
      </c>
      <c r="D45" s="412" t="s">
        <v>555</v>
      </c>
      <c r="E45" s="413"/>
      <c r="F45" s="413"/>
      <c r="G45" s="413"/>
      <c r="H45" s="571"/>
      <c r="I45" s="428" t="str">
        <f aca="false">S44&amp;".1"</f>
        <v>...1</v>
      </c>
      <c r="J45" s="412"/>
      <c r="K45" s="412"/>
      <c r="L45" s="414"/>
      <c r="P45" s="121" t="n">
        <v>1</v>
      </c>
      <c r="Q45" s="121"/>
      <c r="R45" s="429"/>
      <c r="S45" s="416" t="str">
        <f aca="false">$I45</f>
        <v>...1</v>
      </c>
      <c r="T45" s="430" t="s">
        <v>496</v>
      </c>
      <c r="U45" s="418"/>
      <c r="V45" s="572"/>
      <c r="W45" s="572"/>
      <c r="X45" s="572"/>
      <c r="Y45" s="572"/>
      <c r="Z45" s="572"/>
      <c r="AA45" s="572"/>
      <c r="AB45" s="572"/>
      <c r="AC45" s="572"/>
      <c r="AD45" s="572"/>
      <c r="AE45" s="572"/>
      <c r="AF45" s="572"/>
      <c r="AG45" s="334"/>
      <c r="AH45" s="334"/>
      <c r="AI45" s="334"/>
      <c r="AJ45" s="334"/>
      <c r="AK45" s="334"/>
      <c r="AL45" s="334"/>
      <c r="AM45" s="334"/>
      <c r="AN45" s="334"/>
      <c r="AO45" s="334"/>
      <c r="AP45" s="334"/>
      <c r="AQ45" s="334"/>
      <c r="AR45" s="334"/>
      <c r="AS45" s="421" t="s">
        <v>497</v>
      </c>
      <c r="AU45" s="118"/>
      <c r="AV45" s="118" t="str">
        <f aca="false">IF(T45="","",T45)</f>
        <v>Наименование признака дифференциации</v>
      </c>
      <c r="AW45" s="118"/>
      <c r="AX45" s="118"/>
      <c r="AY45" s="42" t="n">
        <v>23</v>
      </c>
    </row>
    <row r="46" customFormat="false" ht="24" hidden="false" customHeight="true" outlineLevel="0" collapsed="false">
      <c r="A46" s="412" t="s">
        <v>264</v>
      </c>
      <c r="B46" s="412" t="s">
        <v>265</v>
      </c>
      <c r="C46" s="412" t="s">
        <v>266</v>
      </c>
      <c r="D46" s="412" t="s">
        <v>555</v>
      </c>
      <c r="E46" s="413"/>
      <c r="F46" s="413"/>
      <c r="G46" s="413"/>
      <c r="H46" s="413"/>
      <c r="I46" s="428"/>
      <c r="J46" s="428" t="str">
        <f aca="false">I45&amp;".1"</f>
        <v>...1.1</v>
      </c>
      <c r="K46" s="412"/>
      <c r="L46" s="414" t="s">
        <v>419</v>
      </c>
      <c r="P46" s="121"/>
      <c r="Q46" s="121" t="n">
        <v>1</v>
      </c>
      <c r="R46" s="432"/>
      <c r="S46" s="416" t="str">
        <f aca="false">$J46</f>
        <v>...1.1</v>
      </c>
      <c r="T46" s="433" t="s">
        <v>420</v>
      </c>
      <c r="U46" s="418"/>
      <c r="V46" s="431"/>
      <c r="W46" s="431"/>
      <c r="X46" s="431"/>
      <c r="Y46" s="431"/>
      <c r="Z46" s="431"/>
      <c r="AA46" s="431"/>
      <c r="AB46" s="431"/>
      <c r="AC46" s="431"/>
      <c r="AD46" s="431"/>
      <c r="AE46" s="431"/>
      <c r="AF46" s="431"/>
      <c r="AG46" s="431"/>
      <c r="AH46" s="431"/>
      <c r="AI46" s="431"/>
      <c r="AJ46" s="431"/>
      <c r="AK46" s="431"/>
      <c r="AL46" s="431"/>
      <c r="AM46" s="431"/>
      <c r="AN46" s="431"/>
      <c r="AO46" s="431"/>
      <c r="AP46" s="431"/>
      <c r="AQ46" s="431"/>
      <c r="AR46" s="431"/>
      <c r="AS46" s="523" t="s">
        <v>498</v>
      </c>
      <c r="AU46" s="118"/>
      <c r="AV46" s="118" t="str">
        <f aca="false">IF(T46="","",T46)</f>
        <v>Группа потребителей</v>
      </c>
      <c r="AW46" s="118"/>
      <c r="AX46" s="118"/>
      <c r="AY46" s="42" t="n">
        <v>23</v>
      </c>
    </row>
    <row r="47" customFormat="false" ht="24" hidden="false" customHeight="true" outlineLevel="0" collapsed="false">
      <c r="A47" s="412" t="s">
        <v>264</v>
      </c>
      <c r="B47" s="412" t="s">
        <v>265</v>
      </c>
      <c r="C47" s="412" t="s">
        <v>266</v>
      </c>
      <c r="D47" s="412" t="s">
        <v>555</v>
      </c>
      <c r="E47" s="413"/>
      <c r="F47" s="413"/>
      <c r="G47" s="413"/>
      <c r="H47" s="413"/>
      <c r="I47" s="428"/>
      <c r="J47" s="428"/>
      <c r="K47" s="428" t="str">
        <f aca="false">J46&amp;".1"</f>
        <v>...1.1.1</v>
      </c>
      <c r="L47" s="414"/>
      <c r="P47" s="121"/>
      <c r="Q47" s="121"/>
      <c r="R47" s="432" t="n">
        <v>1</v>
      </c>
      <c r="S47" s="416" t="str">
        <f aca="false">$K47</f>
        <v>...1.1.1</v>
      </c>
      <c r="T47" s="573"/>
      <c r="U47" s="418"/>
      <c r="V47" s="435"/>
      <c r="W47" s="435"/>
      <c r="X47" s="435"/>
      <c r="Y47" s="435"/>
      <c r="Z47" s="435"/>
      <c r="AA47" s="435"/>
      <c r="AB47" s="435"/>
      <c r="AC47" s="460"/>
      <c r="AD47" s="461" t="s">
        <v>61</v>
      </c>
      <c r="AE47" s="460"/>
      <c r="AF47" s="461" t="s">
        <v>61</v>
      </c>
      <c r="AG47" s="435"/>
      <c r="AH47" s="435"/>
      <c r="AI47" s="435"/>
      <c r="AJ47" s="435"/>
      <c r="AK47" s="435"/>
      <c r="AL47" s="435"/>
      <c r="AM47" s="435"/>
      <c r="AN47" s="438"/>
      <c r="AO47" s="204" t="s">
        <v>61</v>
      </c>
      <c r="AP47" s="438"/>
      <c r="AQ47" s="204" t="s">
        <v>19</v>
      </c>
      <c r="AR47" s="574"/>
      <c r="AS47" s="57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7" t="e">
        <f aca="false">strcheckdate(V48:AR48)</f>
        <v>#NAME?</v>
      </c>
      <c r="AU47" s="118"/>
      <c r="AV47" s="118" t="str">
        <f aca="false">IF(T47="","",T47)</f>
        <v/>
      </c>
      <c r="AW47" s="118"/>
      <c r="AX47" s="118"/>
      <c r="AY47" s="42" t="n">
        <v>23</v>
      </c>
    </row>
    <row r="48" customFormat="false" ht="12.8" hidden="false" customHeight="false" outlineLevel="0" collapsed="false">
      <c r="A48" s="412" t="s">
        <v>264</v>
      </c>
      <c r="B48" s="412" t="s">
        <v>265</v>
      </c>
      <c r="C48" s="412" t="s">
        <v>266</v>
      </c>
      <c r="D48" s="412" t="s">
        <v>555</v>
      </c>
      <c r="E48" s="413"/>
      <c r="F48" s="413"/>
      <c r="G48" s="413"/>
      <c r="H48" s="413"/>
      <c r="I48" s="428"/>
      <c r="J48" s="428"/>
      <c r="K48" s="428"/>
      <c r="L48" s="414"/>
      <c r="P48" s="121"/>
      <c r="Q48" s="121"/>
      <c r="R48" s="432"/>
      <c r="S48" s="393"/>
      <c r="T48" s="418"/>
      <c r="U48" s="418"/>
      <c r="V48" s="458"/>
      <c r="W48" s="458"/>
      <c r="X48" s="458"/>
      <c r="Y48" s="458"/>
      <c r="Z48" s="458"/>
      <c r="AA48" s="458"/>
      <c r="AB48" s="458"/>
      <c r="AC48" s="460"/>
      <c r="AD48" s="460"/>
      <c r="AE48" s="460"/>
      <c r="AF48" s="460"/>
      <c r="AG48" s="436"/>
      <c r="AH48" s="436"/>
      <c r="AI48" s="436"/>
      <c r="AJ48" s="436"/>
      <c r="AK48" s="436"/>
      <c r="AL48" s="436"/>
      <c r="AM48" s="436"/>
      <c r="AN48" s="438"/>
      <c r="AO48" s="204"/>
      <c r="AP48" s="438"/>
      <c r="AQ48" s="204"/>
      <c r="AR48" s="576"/>
      <c r="AS48" s="575"/>
      <c r="AU48" s="118"/>
      <c r="AV48" s="118" t="str">
        <f aca="false">IF(T48="","",T48)</f>
        <v/>
      </c>
      <c r="AW48" s="118"/>
      <c r="AX48" s="118"/>
      <c r="AY48" s="42" t="n">
        <v>0</v>
      </c>
    </row>
    <row r="49" customFormat="false" ht="21" hidden="false" customHeight="true" outlineLevel="0" collapsed="false">
      <c r="A49" s="412" t="s">
        <v>264</v>
      </c>
      <c r="B49" s="412" t="s">
        <v>265</v>
      </c>
      <c r="C49" s="412" t="s">
        <v>266</v>
      </c>
      <c r="D49" s="412" t="s">
        <v>555</v>
      </c>
      <c r="E49" s="413"/>
      <c r="F49" s="413"/>
      <c r="G49" s="413"/>
      <c r="H49" s="413"/>
      <c r="I49" s="428"/>
      <c r="J49" s="428"/>
      <c r="K49" s="412"/>
      <c r="L49" s="414"/>
      <c r="P49" s="121"/>
      <c r="Q49" s="121"/>
      <c r="R49" s="429"/>
      <c r="S49" s="441"/>
      <c r="T49" s="444" t="s">
        <v>499</v>
      </c>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421" t="s">
        <v>500</v>
      </c>
      <c r="AU49" s="118"/>
      <c r="AV49" s="118" t="str">
        <f aca="false">IF(T49="","",T49)</f>
        <v>Добавить значение признака дифференциации</v>
      </c>
      <c r="AW49" s="118"/>
      <c r="AX49" s="118"/>
      <c r="AY49" s="42" t="n">
        <v>20</v>
      </c>
    </row>
    <row r="50" customFormat="false" ht="21.75" hidden="false" customHeight="true" outlineLevel="0" collapsed="false">
      <c r="A50" s="412" t="s">
        <v>264</v>
      </c>
      <c r="B50" s="412" t="s">
        <v>265</v>
      </c>
      <c r="C50" s="412" t="s">
        <v>266</v>
      </c>
      <c r="D50" s="412" t="s">
        <v>555</v>
      </c>
      <c r="E50" s="413"/>
      <c r="F50" s="413"/>
      <c r="G50" s="413"/>
      <c r="H50" s="413"/>
      <c r="I50" s="428"/>
      <c r="J50" s="412"/>
      <c r="K50" s="412"/>
      <c r="L50" s="414"/>
      <c r="P50" s="121"/>
      <c r="Q50" s="121"/>
      <c r="R50" s="429"/>
      <c r="S50" s="441"/>
      <c r="T50" s="448" t="s">
        <v>425</v>
      </c>
      <c r="U50" s="194"/>
      <c r="V50" s="194"/>
      <c r="W50" s="194"/>
      <c r="X50" s="194"/>
      <c r="Y50" s="194"/>
      <c r="Z50" s="194"/>
      <c r="AA50" s="194"/>
      <c r="AB50" s="194"/>
      <c r="AC50" s="194"/>
      <c r="AD50" s="194"/>
      <c r="AE50" s="194"/>
      <c r="AF50" s="445"/>
      <c r="AG50" s="194"/>
      <c r="AH50" s="194"/>
      <c r="AI50" s="194"/>
      <c r="AJ50" s="194"/>
      <c r="AK50" s="194"/>
      <c r="AL50" s="194"/>
      <c r="AM50" s="194"/>
      <c r="AN50" s="194"/>
      <c r="AO50" s="194"/>
      <c r="AP50" s="194"/>
      <c r="AQ50" s="445"/>
      <c r="AR50" s="194"/>
      <c r="AS50" s="577"/>
      <c r="AU50" s="118"/>
      <c r="AV50" s="118" t="str">
        <f aca="false">IF(T50="","",T50)</f>
        <v>Добавить группу потребителей</v>
      </c>
      <c r="AW50" s="118"/>
      <c r="AX50" s="118"/>
      <c r="AY50" s="42" t="n">
        <v>21</v>
      </c>
    </row>
    <row r="51" customFormat="false" ht="21.75" hidden="false" customHeight="true" outlineLevel="0" collapsed="false">
      <c r="A51" s="412" t="s">
        <v>264</v>
      </c>
      <c r="B51" s="412" t="s">
        <v>265</v>
      </c>
      <c r="C51" s="412" t="s">
        <v>266</v>
      </c>
      <c r="D51" s="412" t="s">
        <v>555</v>
      </c>
      <c r="E51" s="413"/>
      <c r="F51" s="413"/>
      <c r="G51" s="413"/>
      <c r="H51" s="571"/>
      <c r="I51" s="412"/>
      <c r="J51" s="412"/>
      <c r="K51" s="412"/>
      <c r="L51" s="414"/>
      <c r="M51" s="40"/>
      <c r="N51" s="40"/>
      <c r="O51" s="45"/>
      <c r="P51" s="132"/>
      <c r="Q51" s="447"/>
      <c r="R51" s="415"/>
      <c r="S51" s="441"/>
      <c r="T51" s="578" t="s">
        <v>501</v>
      </c>
      <c r="U51" s="194"/>
      <c r="V51" s="194"/>
      <c r="W51" s="194"/>
      <c r="X51" s="194"/>
      <c r="Y51" s="194"/>
      <c r="Z51" s="194"/>
      <c r="AA51" s="194"/>
      <c r="AB51" s="194"/>
      <c r="AC51" s="194"/>
      <c r="AD51" s="194"/>
      <c r="AE51" s="194"/>
      <c r="AF51" s="445"/>
      <c r="AG51" s="194"/>
      <c r="AH51" s="194"/>
      <c r="AI51" s="194"/>
      <c r="AJ51" s="194"/>
      <c r="AK51" s="194"/>
      <c r="AL51" s="194"/>
      <c r="AM51" s="194"/>
      <c r="AN51" s="194"/>
      <c r="AO51" s="194"/>
      <c r="AP51" s="194"/>
      <c r="AQ51" s="445"/>
      <c r="AR51" s="194"/>
      <c r="AS51" s="446"/>
      <c r="AU51" s="118"/>
      <c r="AV51" s="118" t="str">
        <f aca="false">IF(T51="","",T51)</f>
        <v>Добавить наименование признака дифференциации</v>
      </c>
      <c r="AW51" s="118"/>
      <c r="AX51" s="118"/>
      <c r="AY51" s="42" t="n">
        <v>21</v>
      </c>
    </row>
    <row r="52" s="47" customFormat="true" ht="12.8" hidden="false" customHeight="false" outlineLevel="0" collapsed="false">
      <c r="A52" s="122" t="s">
        <v>264</v>
      </c>
      <c r="B52" s="122" t="s">
        <v>265</v>
      </c>
      <c r="C52" s="122"/>
      <c r="D52" s="122"/>
      <c r="E52" s="413"/>
      <c r="F52" s="413"/>
      <c r="G52" s="122"/>
      <c r="H52" s="122"/>
      <c r="I52" s="122"/>
      <c r="J52" s="122"/>
      <c r="K52" s="122"/>
      <c r="L52" s="192"/>
      <c r="M52" s="453"/>
      <c r="N52" s="453"/>
      <c r="P52" s="156"/>
      <c r="Q52" s="449"/>
      <c r="R52" s="156"/>
      <c r="S52" s="454"/>
      <c r="T52" s="457" t="s">
        <v>428</v>
      </c>
      <c r="U52" s="456"/>
      <c r="V52" s="456"/>
      <c r="W52" s="456"/>
      <c r="X52" s="456"/>
      <c r="Y52" s="456"/>
      <c r="Z52" s="456"/>
      <c r="AA52" s="456"/>
      <c r="AB52" s="456"/>
      <c r="AC52" s="456"/>
      <c r="AD52" s="456"/>
      <c r="AE52" s="456"/>
      <c r="AF52" s="456"/>
      <c r="AG52" s="456"/>
      <c r="AH52" s="456"/>
      <c r="AI52" s="456"/>
      <c r="AJ52" s="456"/>
      <c r="AK52" s="456"/>
      <c r="AL52" s="456"/>
      <c r="AM52" s="456"/>
      <c r="AN52" s="456"/>
      <c r="AO52" s="456"/>
      <c r="AP52" s="456"/>
      <c r="AQ52" s="456"/>
      <c r="AR52" s="456"/>
      <c r="AS52" s="456"/>
      <c r="AU52" s="118"/>
      <c r="AV52" s="118" t="str">
        <f aca="false">IF(T52="","",T52)</f>
        <v>Добавить централизованную систему для дифференциации</v>
      </c>
      <c r="AW52" s="118"/>
      <c r="AX52" s="118"/>
      <c r="AY52" s="47" t="n">
        <v>0</v>
      </c>
    </row>
    <row r="53" s="47" customFormat="true" ht="12.8" hidden="false" customHeight="false" outlineLevel="0" collapsed="false">
      <c r="A53" s="122" t="s">
        <v>264</v>
      </c>
      <c r="B53" s="122"/>
      <c r="C53" s="122"/>
      <c r="D53" s="122"/>
      <c r="E53" s="413"/>
      <c r="F53" s="122"/>
      <c r="G53" s="122"/>
      <c r="H53" s="122"/>
      <c r="I53" s="122"/>
      <c r="J53" s="122"/>
      <c r="K53" s="122"/>
      <c r="L53" s="192"/>
      <c r="M53" s="453"/>
      <c r="N53" s="453"/>
      <c r="P53" s="156"/>
      <c r="Q53" s="449"/>
      <c r="R53" s="156"/>
      <c r="S53" s="454"/>
      <c r="T53" s="457" t="s">
        <v>429</v>
      </c>
      <c r="U53" s="456"/>
      <c r="V53" s="456"/>
      <c r="W53" s="456"/>
      <c r="X53" s="456"/>
      <c r="Y53" s="456"/>
      <c r="Z53" s="456"/>
      <c r="AA53" s="456"/>
      <c r="AB53" s="456"/>
      <c r="AC53" s="456"/>
      <c r="AD53" s="456"/>
      <c r="AE53" s="456"/>
      <c r="AF53" s="456"/>
      <c r="AG53" s="456"/>
      <c r="AH53" s="456"/>
      <c r="AI53" s="456"/>
      <c r="AJ53" s="456"/>
      <c r="AK53" s="456"/>
      <c r="AL53" s="456"/>
      <c r="AM53" s="456"/>
      <c r="AN53" s="456"/>
      <c r="AO53" s="456"/>
      <c r="AP53" s="456"/>
      <c r="AQ53" s="456"/>
      <c r="AR53" s="456"/>
      <c r="AS53" s="456"/>
      <c r="AU53" s="118"/>
      <c r="AV53" s="118" t="str">
        <f aca="false">IF(T53="","",T53)</f>
        <v>Добавить территорию для дифференциации</v>
      </c>
      <c r="AW53" s="118"/>
      <c r="AX53" s="118"/>
      <c r="AY53" s="47" t="n">
        <v>0</v>
      </c>
    </row>
    <row r="54" s="47" customFormat="true" ht="12.8" hidden="false" customHeight="false" outlineLevel="0" collapsed="false">
      <c r="A54" s="122"/>
      <c r="B54" s="122"/>
      <c r="C54" s="122"/>
      <c r="D54" s="122"/>
      <c r="E54" s="122"/>
      <c r="F54" s="122"/>
      <c r="G54" s="122"/>
      <c r="H54" s="122"/>
      <c r="I54" s="122"/>
      <c r="J54" s="122"/>
      <c r="K54" s="122"/>
      <c r="L54" s="192"/>
      <c r="M54" s="453"/>
      <c r="N54" s="453"/>
      <c r="P54" s="156"/>
      <c r="Q54" s="449"/>
      <c r="R54" s="156"/>
      <c r="S54" s="454"/>
      <c r="T54" s="457" t="s">
        <v>461</v>
      </c>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U54" s="118"/>
      <c r="AV54" s="118" t="str">
        <f aca="false">IF(T54="","",T54)</f>
        <v>Добавить наименование тарифа</v>
      </c>
      <c r="AW54" s="118"/>
      <c r="AX54" s="118"/>
      <c r="AY54" s="47" t="n">
        <v>0</v>
      </c>
    </row>
    <row r="55" customFormat="false" ht="11.25" hidden="false" customHeight="true" outlineLevel="0" collapsed="false">
      <c r="M55" s="45"/>
      <c r="N55" s="45"/>
      <c r="O55" s="45"/>
      <c r="P55" s="42"/>
      <c r="Q55" s="42"/>
      <c r="R55" s="42"/>
      <c r="S55" s="42"/>
      <c r="AT55" s="42"/>
      <c r="AU55" s="42"/>
      <c r="AV55" s="42"/>
      <c r="AW55" s="42"/>
      <c r="AX55" s="42"/>
      <c r="AY55" s="42" t="n">
        <v>11</v>
      </c>
    </row>
    <row r="56" customFormat="false" ht="14.25" hidden="false" customHeight="true" outlineLevel="0" collapsed="false">
      <c r="O56" s="45"/>
      <c r="S56" s="409"/>
      <c r="T56" s="488"/>
      <c r="U56" s="488"/>
      <c r="V56" s="488"/>
      <c r="W56" s="488"/>
      <c r="X56" s="488"/>
      <c r="Y56" s="488"/>
      <c r="Z56" s="488"/>
      <c r="AA56" s="488"/>
      <c r="AB56" s="488"/>
      <c r="AC56" s="488"/>
      <c r="AD56" s="488"/>
      <c r="AE56" s="488"/>
      <c r="AF56" s="488"/>
      <c r="AG56" s="488"/>
      <c r="AH56" s="488"/>
      <c r="AI56" s="488"/>
      <c r="AJ56" s="488"/>
      <c r="AK56" s="488"/>
      <c r="AL56" s="488"/>
      <c r="AM56" s="488"/>
      <c r="AN56" s="488"/>
      <c r="AO56" s="488"/>
      <c r="AP56" s="488"/>
      <c r="AQ56" s="488"/>
      <c r="AR56" s="488"/>
      <c r="AS56" s="488"/>
      <c r="AY56" s="42" t="n">
        <v>14</v>
      </c>
    </row>
    <row r="57" customFormat="false" ht="14.25" hidden="false" customHeight="true" outlineLevel="0" collapsed="false">
      <c r="O57" s="45"/>
      <c r="AY57" s="42" t="n">
        <v>14</v>
      </c>
    </row>
    <row r="58" customFormat="false" ht="14.25" hidden="false" customHeight="true" outlineLevel="0" collapsed="false">
      <c r="O58" s="45"/>
      <c r="S58" s="409"/>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Y58" s="42" t="n">
        <v>14</v>
      </c>
    </row>
    <row r="59" customFormat="false" ht="22.5" hidden="true" customHeight="true" outlineLevel="0" collapsed="false">
      <c r="A59" s="45" t="s">
        <v>81</v>
      </c>
      <c r="B59" s="45" t="n">
        <v>0</v>
      </c>
      <c r="C59" s="45" t="n">
        <v>0</v>
      </c>
      <c r="D59" s="45" t="n">
        <v>0</v>
      </c>
      <c r="E59" s="45" t="n">
        <v>0</v>
      </c>
      <c r="F59" s="45" t="n">
        <v>0</v>
      </c>
      <c r="G59" s="45" t="n">
        <v>0</v>
      </c>
      <c r="H59" s="45" t="n">
        <v>0</v>
      </c>
      <c r="I59" s="45" t="n">
        <v>0</v>
      </c>
      <c r="J59" s="45" t="n">
        <v>0</v>
      </c>
      <c r="K59" s="45" t="n">
        <v>0</v>
      </c>
      <c r="L59" s="44" t="n">
        <v>0</v>
      </c>
      <c r="M59" s="51" t="n">
        <v>0</v>
      </c>
      <c r="N59" s="51" t="n">
        <v>0</v>
      </c>
      <c r="O59" s="51" t="n">
        <v>0</v>
      </c>
      <c r="P59" s="50" t="n">
        <v>3</v>
      </c>
      <c r="Q59" s="411" t="n">
        <v>3</v>
      </c>
      <c r="R59" s="411" t="n">
        <v>3</v>
      </c>
      <c r="S59" s="75" t="n">
        <v>12</v>
      </c>
      <c r="T59" s="42" t="n">
        <v>35</v>
      </c>
      <c r="U59" s="42" t="n">
        <v>0</v>
      </c>
      <c r="V59" s="42" t="n">
        <v>0</v>
      </c>
      <c r="W59" s="42" t="n">
        <v>0</v>
      </c>
      <c r="X59" s="42" t="n">
        <v>0</v>
      </c>
      <c r="Y59" s="42" t="n">
        <v>0</v>
      </c>
      <c r="Z59" s="42" t="n">
        <v>0</v>
      </c>
      <c r="AA59" s="42" t="n">
        <v>0</v>
      </c>
      <c r="AB59" s="42" t="n">
        <v>0</v>
      </c>
      <c r="AC59" s="42" t="n">
        <v>0</v>
      </c>
      <c r="AD59" s="42" t="n">
        <v>0</v>
      </c>
      <c r="AE59" s="42" t="n">
        <v>0</v>
      </c>
      <c r="AF59" s="42" t="n">
        <v>0</v>
      </c>
      <c r="AG59" s="42" t="n">
        <v>19</v>
      </c>
      <c r="AH59" s="42" t="n">
        <v>19</v>
      </c>
      <c r="AI59" s="42" t="n">
        <v>19</v>
      </c>
      <c r="AJ59" s="42" t="n">
        <v>19</v>
      </c>
      <c r="AK59" s="42" t="n">
        <v>19</v>
      </c>
      <c r="AL59" s="42" t="n">
        <v>19</v>
      </c>
      <c r="AM59" s="42" t="n">
        <v>19</v>
      </c>
      <c r="AN59" s="42" t="n">
        <v>11</v>
      </c>
      <c r="AO59" s="42" t="n">
        <v>3</v>
      </c>
      <c r="AP59" s="42" t="n">
        <v>11</v>
      </c>
      <c r="AQ59" s="42" t="n">
        <v>0</v>
      </c>
      <c r="AR59" s="42" t="n">
        <v>4</v>
      </c>
      <c r="AS59" s="42" t="n">
        <v>115</v>
      </c>
      <c r="AT59" s="47" t="n">
        <v>10</v>
      </c>
      <c r="AU59" s="47" t="n">
        <v>10</v>
      </c>
      <c r="AV59" s="47" t="n">
        <v>10</v>
      </c>
      <c r="AW59" s="47" t="n">
        <v>10</v>
      </c>
      <c r="AX59" s="47" t="n">
        <v>10</v>
      </c>
      <c r="AY59" s="42" t="n">
        <v>23</v>
      </c>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Y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4.14"/>
    <col collapsed="false" customWidth="true" hidden="true" outlineLevel="0" max="10" min="10" style="45" width="9.85"/>
    <col collapsed="false" customWidth="true" hidden="true" outlineLevel="0" max="11" min="11" style="45" width="14.71"/>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
    <col collapsed="false" customWidth="true" hidden="false" outlineLevel="0" max="18" min="17" style="411" width="3"/>
    <col collapsed="false" customWidth="true" hidden="false" outlineLevel="0" max="19" min="19" style="75" width="12"/>
    <col collapsed="false" customWidth="true" hidden="false" outlineLevel="0" max="20" min="20" style="42" width="35"/>
    <col collapsed="false" customWidth="true" hidden="false" outlineLevel="0" max="21" min="21" style="42" width="0.14"/>
    <col collapsed="false" customWidth="true" hidden="true" outlineLevel="0" max="28" min="22" style="42" width="19.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19.71"/>
    <col collapsed="false" customWidth="true" hidden="false" outlineLevel="0" max="39" min="34" style="42" width="19"/>
    <col collapsed="false" customWidth="true" hidden="false" outlineLevel="0" max="40" min="40" style="42" width="11"/>
    <col collapsed="false" customWidth="true" hidden="false" outlineLevel="0" max="41" min="41" style="42" width="3.71"/>
    <col collapsed="false" customWidth="true" hidden="false" outlineLevel="0" max="42" min="42" style="42" width="11"/>
    <col collapsed="false" customWidth="true" hidden="true" outlineLevel="0" max="43" min="43" style="42" width="8.57"/>
    <col collapsed="false" customWidth="true" hidden="false" outlineLevel="0" max="44" min="44" style="42" width="4"/>
    <col collapsed="false" customWidth="true" hidden="false" outlineLevel="0" max="45" min="45" style="42" width="115"/>
    <col collapsed="false" customWidth="true" hidden="false" outlineLevel="0" max="50" min="46" style="47" width="10"/>
    <col collapsed="false" customWidth="false" hidden="true" outlineLevel="0" max="51" min="51" style="42" width="10.57"/>
  </cols>
  <sheetData>
    <row r="1" customFormat="false" ht="22.5" hidden="true" customHeight="true" outlineLevel="0" collapsed="false">
      <c r="AY1" s="42" t="s">
        <v>14</v>
      </c>
    </row>
    <row r="2" customFormat="false" ht="23.25" hidden="true" customHeight="true" outlineLevel="0" collapsed="false">
      <c r="A2" s="412"/>
      <c r="B2" s="412"/>
      <c r="C2" s="412"/>
      <c r="D2" s="412"/>
      <c r="E2" s="413" t="n">
        <v>1</v>
      </c>
      <c r="F2" s="412"/>
      <c r="G2" s="412"/>
      <c r="H2" s="412"/>
      <c r="I2" s="412"/>
      <c r="J2" s="412"/>
      <c r="K2" s="412"/>
      <c r="L2" s="414"/>
      <c r="M2" s="40"/>
      <c r="N2" s="40"/>
      <c r="O2" s="40"/>
      <c r="Q2" s="132"/>
      <c r="R2" s="415"/>
      <c r="S2" s="416" t="e">
        <f aca="false">INDEX(PT_DIFFERENTIATION_NUM_NTAR,MATCH(A2,PT_DIFFERENTIATION_NTAR_ID,0))</f>
        <v>#N/A</v>
      </c>
      <c r="T2" s="417" t="s">
        <v>138</v>
      </c>
      <c r="U2" s="418"/>
      <c r="V2" s="419"/>
      <c r="W2" s="419"/>
      <c r="X2" s="419"/>
      <c r="Y2" s="419"/>
      <c r="Z2" s="419"/>
      <c r="AA2" s="419"/>
      <c r="AB2" s="419"/>
      <c r="AC2" s="419"/>
      <c r="AD2" s="419"/>
      <c r="AE2" s="419"/>
      <c r="AF2" s="419"/>
      <c r="AG2" s="420" t="e">
        <f aca="false">INDEX(PT_DIFFERENTIATION_NTAR,MATCH(A2,PT_DIFFERENTIATION_NTAR_ID,0))</f>
        <v>#N/A</v>
      </c>
      <c r="AH2" s="420"/>
      <c r="AI2" s="420"/>
      <c r="AJ2" s="420"/>
      <c r="AK2" s="420"/>
      <c r="AL2" s="420"/>
      <c r="AM2" s="420"/>
      <c r="AN2" s="420"/>
      <c r="AO2" s="420"/>
      <c r="AP2" s="420"/>
      <c r="AQ2" s="420"/>
      <c r="AR2" s="420"/>
      <c r="AS2" s="42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18"/>
      <c r="AV2" s="118" t="str">
        <f aca="false">IF(T2="","",T2)</f>
        <v>Наименование тарифа</v>
      </c>
      <c r="AW2" s="118"/>
      <c r="AX2" s="118"/>
      <c r="AY2" s="42" t="n">
        <v>0</v>
      </c>
    </row>
    <row r="3" customFormat="false" ht="23.25" hidden="true" customHeight="true" outlineLevel="0" collapsed="false">
      <c r="A3" s="412"/>
      <c r="B3" s="412"/>
      <c r="C3" s="412"/>
      <c r="D3" s="412"/>
      <c r="E3" s="413"/>
      <c r="F3" s="413" t="n">
        <v>1</v>
      </c>
      <c r="G3" s="412"/>
      <c r="H3" s="412"/>
      <c r="I3" s="412"/>
      <c r="J3" s="412"/>
      <c r="K3" s="412"/>
      <c r="L3" s="414"/>
      <c r="M3" s="40"/>
      <c r="N3" s="40"/>
      <c r="O3" s="40"/>
      <c r="P3" s="43"/>
      <c r="Q3" s="422"/>
      <c r="R3" s="423"/>
      <c r="S3" s="416" t="e">
        <f aca="false">INDEX(PT_DIFFERENTIATION_NUM_TER,MATCH(B3,PT_DIFFERENTIATION_TER_ID,0))</f>
        <v>#N/A</v>
      </c>
      <c r="T3" s="424" t="s">
        <v>410</v>
      </c>
      <c r="U3" s="418"/>
      <c r="V3" s="419"/>
      <c r="W3" s="419"/>
      <c r="X3" s="419"/>
      <c r="Y3" s="419"/>
      <c r="Z3" s="419"/>
      <c r="AA3" s="419"/>
      <c r="AB3" s="419"/>
      <c r="AC3" s="419"/>
      <c r="AD3" s="419"/>
      <c r="AE3" s="419"/>
      <c r="AF3" s="419"/>
      <c r="AG3" s="420" t="e">
        <f aca="false">INDEX(PT_DIFFERENTIATION_TER,MATCH(B3,PT_DIFFERENTIATION_TER_ID,0))</f>
        <v>#N/A</v>
      </c>
      <c r="AH3" s="420"/>
      <c r="AI3" s="420"/>
      <c r="AJ3" s="420"/>
      <c r="AK3" s="420"/>
      <c r="AL3" s="420"/>
      <c r="AM3" s="420"/>
      <c r="AN3" s="420"/>
      <c r="AO3" s="420"/>
      <c r="AP3" s="420"/>
      <c r="AQ3" s="420"/>
      <c r="AR3" s="420"/>
      <c r="AS3" s="421" t="s">
        <v>411</v>
      </c>
      <c r="AU3" s="118"/>
      <c r="AV3" s="118" t="str">
        <f aca="false">IF(T3="","",T3)</f>
        <v>Территория действия тарифа</v>
      </c>
      <c r="AW3" s="118"/>
      <c r="AX3" s="118"/>
      <c r="AY3" s="42" t="n">
        <v>0</v>
      </c>
    </row>
    <row r="4" customFormat="false" ht="23.25" hidden="true" customHeight="true" outlineLevel="0" collapsed="false">
      <c r="A4" s="412"/>
      <c r="B4" s="412"/>
      <c r="C4" s="412"/>
      <c r="D4" s="412"/>
      <c r="E4" s="413"/>
      <c r="F4" s="413"/>
      <c r="G4" s="413" t="n">
        <v>1</v>
      </c>
      <c r="H4" s="412"/>
      <c r="I4" s="412"/>
      <c r="J4" s="412"/>
      <c r="K4" s="412"/>
      <c r="L4" s="414"/>
      <c r="M4" s="40"/>
      <c r="N4" s="40"/>
      <c r="O4" s="40"/>
      <c r="P4" s="425"/>
      <c r="Q4" s="422"/>
      <c r="R4" s="423"/>
      <c r="S4" s="416" t="e">
        <f aca="false">INDEX(PT_DIFFERENTIATION_NUM_CS,MATCH(C4,PT_DIFFERENTIATION_CS_ID,0))</f>
        <v>#N/A</v>
      </c>
      <c r="T4" s="426" t="s">
        <v>543</v>
      </c>
      <c r="U4" s="418"/>
      <c r="V4" s="419"/>
      <c r="W4" s="419"/>
      <c r="X4" s="419"/>
      <c r="Y4" s="419"/>
      <c r="Z4" s="419"/>
      <c r="AA4" s="419"/>
      <c r="AB4" s="419"/>
      <c r="AC4" s="419"/>
      <c r="AD4" s="419"/>
      <c r="AE4" s="419"/>
      <c r="AF4" s="419"/>
      <c r="AG4" s="420" t="e">
        <f aca="false">INDEX(PT_DIFFERENTIATION_CS,MATCH(C4,PT_DIFFERENTIATION_CS_ID,0))</f>
        <v>#N/A</v>
      </c>
      <c r="AH4" s="420"/>
      <c r="AI4" s="420"/>
      <c r="AJ4" s="420"/>
      <c r="AK4" s="420"/>
      <c r="AL4" s="420"/>
      <c r="AM4" s="420"/>
      <c r="AN4" s="420"/>
      <c r="AO4" s="420"/>
      <c r="AP4" s="420"/>
      <c r="AQ4" s="420"/>
      <c r="AR4" s="420"/>
      <c r="AS4" s="421" t="s">
        <v>544</v>
      </c>
      <c r="AU4" s="118"/>
      <c r="AV4" s="118" t="str">
        <f aca="false">IF(T4="","",T4)</f>
        <v>Наименование централизованной системы горячего водоснабжения</v>
      </c>
      <c r="AW4" s="118"/>
      <c r="AX4" s="118"/>
      <c r="AY4" s="42" t="n">
        <v>0</v>
      </c>
    </row>
    <row r="5" customFormat="false" ht="23.25" hidden="true" customHeight="true" outlineLevel="0" collapsed="false">
      <c r="A5" s="412"/>
      <c r="B5" s="412"/>
      <c r="C5" s="412"/>
      <c r="D5" s="412"/>
      <c r="E5" s="413"/>
      <c r="F5" s="413"/>
      <c r="G5" s="413"/>
      <c r="H5" s="571"/>
      <c r="I5" s="428" t="e">
        <f aca="false">S4&amp;".1"</f>
        <v>#N/A</v>
      </c>
      <c r="J5" s="412"/>
      <c r="K5" s="412"/>
      <c r="L5" s="414"/>
      <c r="P5" s="121" t="n">
        <v>1</v>
      </c>
      <c r="Q5" s="121"/>
      <c r="R5" s="429"/>
      <c r="S5" s="416" t="e">
        <f aca="false">$I5</f>
        <v>#N/A</v>
      </c>
      <c r="T5" s="430" t="s">
        <v>496</v>
      </c>
      <c r="U5" s="418"/>
      <c r="V5" s="572"/>
      <c r="W5" s="572"/>
      <c r="X5" s="572"/>
      <c r="Y5" s="572"/>
      <c r="Z5" s="572"/>
      <c r="AA5" s="572"/>
      <c r="AB5" s="572"/>
      <c r="AC5" s="572"/>
      <c r="AD5" s="572"/>
      <c r="AE5" s="572"/>
      <c r="AF5" s="572"/>
      <c r="AG5" s="334"/>
      <c r="AH5" s="334"/>
      <c r="AI5" s="334"/>
      <c r="AJ5" s="334"/>
      <c r="AK5" s="334"/>
      <c r="AL5" s="334"/>
      <c r="AM5" s="334"/>
      <c r="AN5" s="334"/>
      <c r="AO5" s="334"/>
      <c r="AP5" s="334"/>
      <c r="AQ5" s="334"/>
      <c r="AR5" s="334"/>
      <c r="AS5" s="421" t="s">
        <v>497</v>
      </c>
      <c r="AU5" s="118"/>
      <c r="AV5" s="118" t="str">
        <f aca="false">IF(T5="","",T5)</f>
        <v>Наименование признака дифференциации</v>
      </c>
      <c r="AW5" s="118"/>
      <c r="AX5" s="118"/>
      <c r="AY5" s="42" t="n">
        <v>0</v>
      </c>
    </row>
    <row r="6" customFormat="false" ht="23.25" hidden="true" customHeight="true" outlineLevel="0" collapsed="false">
      <c r="A6" s="412"/>
      <c r="B6" s="412"/>
      <c r="C6" s="412"/>
      <c r="D6" s="412"/>
      <c r="E6" s="413"/>
      <c r="F6" s="413"/>
      <c r="G6" s="413"/>
      <c r="H6" s="413"/>
      <c r="I6" s="428"/>
      <c r="J6" s="428" t="e">
        <f aca="false">I5&amp;".1"</f>
        <v>#N/A</v>
      </c>
      <c r="K6" s="412"/>
      <c r="L6" s="414" t="s">
        <v>419</v>
      </c>
      <c r="P6" s="121"/>
      <c r="Q6" s="121" t="n">
        <v>1</v>
      </c>
      <c r="R6" s="432"/>
      <c r="S6" s="416" t="e">
        <f aca="false">$J6</f>
        <v>#N/A</v>
      </c>
      <c r="T6" s="433" t="s">
        <v>420</v>
      </c>
      <c r="U6" s="418"/>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523" t="s">
        <v>498</v>
      </c>
      <c r="AU6" s="118"/>
      <c r="AV6" s="118" t="str">
        <f aca="false">IF(T6="","",T6)</f>
        <v>Группа потребителей</v>
      </c>
      <c r="AW6" s="118"/>
      <c r="AX6" s="118"/>
      <c r="AY6" s="42" t="n">
        <v>0</v>
      </c>
    </row>
    <row r="7" customFormat="false" ht="23.25" hidden="true" customHeight="true" outlineLevel="0" collapsed="false">
      <c r="A7" s="412"/>
      <c r="B7" s="412"/>
      <c r="C7" s="412"/>
      <c r="D7" s="412"/>
      <c r="E7" s="413"/>
      <c r="F7" s="413"/>
      <c r="G7" s="413"/>
      <c r="H7" s="413"/>
      <c r="I7" s="428"/>
      <c r="J7" s="428"/>
      <c r="K7" s="428" t="e">
        <f aca="false">J6&amp;".1"</f>
        <v>#N/A</v>
      </c>
      <c r="L7" s="414"/>
      <c r="P7" s="121"/>
      <c r="Q7" s="121"/>
      <c r="R7" s="432" t="n">
        <v>1</v>
      </c>
      <c r="S7" s="416" t="e">
        <f aca="false">$K7</f>
        <v>#N/A</v>
      </c>
      <c r="T7" s="573"/>
      <c r="U7" s="418"/>
      <c r="V7" s="435"/>
      <c r="W7" s="435"/>
      <c r="X7" s="435"/>
      <c r="Y7" s="435"/>
      <c r="Z7" s="435"/>
      <c r="AA7" s="435"/>
      <c r="AB7" s="437"/>
      <c r="AC7" s="438"/>
      <c r="AD7" s="204" t="s">
        <v>61</v>
      </c>
      <c r="AE7" s="438"/>
      <c r="AF7" s="204" t="s">
        <v>61</v>
      </c>
      <c r="AG7" s="435"/>
      <c r="AH7" s="435"/>
      <c r="AI7" s="435"/>
      <c r="AJ7" s="435"/>
      <c r="AK7" s="435"/>
      <c r="AL7" s="435"/>
      <c r="AM7" s="437"/>
      <c r="AN7" s="438"/>
      <c r="AO7" s="204" t="s">
        <v>61</v>
      </c>
      <c r="AP7" s="438"/>
      <c r="AQ7" s="204" t="s">
        <v>61</v>
      </c>
      <c r="AR7" s="574"/>
      <c r="AS7" s="57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7" t="e">
        <f aca="false">strcheckdate(V8:AR8)</f>
        <v>#NAME?</v>
      </c>
      <c r="AU7" s="118"/>
      <c r="AV7" s="118" t="str">
        <f aca="false">IF(T7="","",T7)</f>
        <v/>
      </c>
      <c r="AW7" s="118"/>
      <c r="AX7" s="118"/>
      <c r="AY7" s="42" t="n">
        <v>0</v>
      </c>
    </row>
    <row r="8" customFormat="false" ht="14.25" hidden="true" customHeight="true" outlineLevel="0" collapsed="false">
      <c r="A8" s="412"/>
      <c r="B8" s="412"/>
      <c r="C8" s="412"/>
      <c r="D8" s="412"/>
      <c r="E8" s="413"/>
      <c r="F8" s="413"/>
      <c r="G8" s="413"/>
      <c r="H8" s="413"/>
      <c r="I8" s="428"/>
      <c r="J8" s="428"/>
      <c r="K8" s="428"/>
      <c r="L8" s="414"/>
      <c r="P8" s="121"/>
      <c r="Q8" s="121"/>
      <c r="R8" s="432"/>
      <c r="S8" s="393"/>
      <c r="T8" s="418"/>
      <c r="U8" s="418"/>
      <c r="V8" s="436"/>
      <c r="W8" s="436"/>
      <c r="X8" s="436"/>
      <c r="Y8" s="436"/>
      <c r="Z8" s="436"/>
      <c r="AA8" s="436"/>
      <c r="AB8" s="440" t="str">
        <f aca="false">AC7&amp;"-"&amp;AE7</f>
        <v>-</v>
      </c>
      <c r="AC8" s="438"/>
      <c r="AD8" s="204"/>
      <c r="AE8" s="438"/>
      <c r="AF8" s="204"/>
      <c r="AG8" s="436"/>
      <c r="AH8" s="436"/>
      <c r="AI8" s="436"/>
      <c r="AJ8" s="436"/>
      <c r="AK8" s="436"/>
      <c r="AL8" s="436"/>
      <c r="AM8" s="440" t="str">
        <f aca="false">AN7&amp;"-"&amp;AP7</f>
        <v>-</v>
      </c>
      <c r="AN8" s="438"/>
      <c r="AO8" s="204"/>
      <c r="AP8" s="438"/>
      <c r="AQ8" s="204"/>
      <c r="AR8" s="576"/>
      <c r="AS8" s="575"/>
      <c r="AU8" s="118"/>
      <c r="AV8" s="118" t="str">
        <f aca="false">IF(T8="","",T8)</f>
        <v/>
      </c>
      <c r="AW8" s="118"/>
      <c r="AX8" s="118"/>
      <c r="AY8" s="42" t="n">
        <v>0</v>
      </c>
    </row>
    <row r="9" customFormat="false" ht="21" hidden="true" customHeight="true" outlineLevel="0" collapsed="false">
      <c r="A9" s="412"/>
      <c r="B9" s="412"/>
      <c r="C9" s="412"/>
      <c r="D9" s="412"/>
      <c r="E9" s="413"/>
      <c r="F9" s="413"/>
      <c r="G9" s="413"/>
      <c r="H9" s="413"/>
      <c r="I9" s="428"/>
      <c r="J9" s="428"/>
      <c r="K9" s="412"/>
      <c r="L9" s="414"/>
      <c r="P9" s="121"/>
      <c r="Q9" s="121"/>
      <c r="R9" s="429"/>
      <c r="S9" s="441"/>
      <c r="T9" s="444" t="s">
        <v>499</v>
      </c>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421" t="s">
        <v>500</v>
      </c>
      <c r="AU9" s="118"/>
      <c r="AV9" s="118" t="str">
        <f aca="false">IF(T9="","",T9)</f>
        <v>Добавить значение признака дифференциации</v>
      </c>
      <c r="AW9" s="118"/>
      <c r="AX9" s="118"/>
      <c r="AY9" s="42" t="n">
        <v>0</v>
      </c>
    </row>
    <row r="10" customFormat="false" ht="21" hidden="true" customHeight="true" outlineLevel="0" collapsed="false">
      <c r="A10" s="412"/>
      <c r="B10" s="412"/>
      <c r="C10" s="412"/>
      <c r="D10" s="412"/>
      <c r="E10" s="413"/>
      <c r="F10" s="413"/>
      <c r="G10" s="413"/>
      <c r="H10" s="413"/>
      <c r="I10" s="428"/>
      <c r="J10" s="412"/>
      <c r="K10" s="412"/>
      <c r="L10" s="414"/>
      <c r="P10" s="121"/>
      <c r="Q10" s="121"/>
      <c r="R10" s="429"/>
      <c r="S10" s="441"/>
      <c r="T10" s="448" t="s">
        <v>425</v>
      </c>
      <c r="U10" s="194"/>
      <c r="V10" s="194"/>
      <c r="W10" s="194"/>
      <c r="X10" s="194"/>
      <c r="Y10" s="194"/>
      <c r="Z10" s="194"/>
      <c r="AA10" s="194"/>
      <c r="AB10" s="194"/>
      <c r="AC10" s="194"/>
      <c r="AD10" s="194"/>
      <c r="AE10" s="194"/>
      <c r="AF10" s="445"/>
      <c r="AG10" s="194"/>
      <c r="AH10" s="194"/>
      <c r="AI10" s="194"/>
      <c r="AJ10" s="194"/>
      <c r="AK10" s="194"/>
      <c r="AL10" s="194"/>
      <c r="AM10" s="194"/>
      <c r="AN10" s="194"/>
      <c r="AO10" s="194"/>
      <c r="AP10" s="194"/>
      <c r="AQ10" s="445"/>
      <c r="AR10" s="194"/>
      <c r="AS10" s="577"/>
      <c r="AU10" s="118"/>
      <c r="AV10" s="118" t="str">
        <f aca="false">IF(T10="","",T10)</f>
        <v>Добавить группу потребителей</v>
      </c>
      <c r="AW10" s="118"/>
      <c r="AX10" s="118"/>
      <c r="AY10" s="42" t="n">
        <v>0</v>
      </c>
    </row>
    <row r="11" customFormat="false" ht="21" hidden="true" customHeight="true" outlineLevel="0" collapsed="false">
      <c r="A11" s="412"/>
      <c r="B11" s="412"/>
      <c r="C11" s="412"/>
      <c r="D11" s="412"/>
      <c r="E11" s="413"/>
      <c r="F11" s="413"/>
      <c r="G11" s="413"/>
      <c r="H11" s="571"/>
      <c r="I11" s="412"/>
      <c r="J11" s="412"/>
      <c r="K11" s="412"/>
      <c r="L11" s="414"/>
      <c r="M11" s="40"/>
      <c r="N11" s="40"/>
      <c r="O11" s="45"/>
      <c r="P11" s="132"/>
      <c r="Q11" s="447"/>
      <c r="R11" s="415"/>
      <c r="S11" s="441"/>
      <c r="T11" s="578" t="s">
        <v>501</v>
      </c>
      <c r="U11" s="194"/>
      <c r="V11" s="194"/>
      <c r="W11" s="194"/>
      <c r="X11" s="194"/>
      <c r="Y11" s="194"/>
      <c r="Z11" s="194"/>
      <c r="AA11" s="194"/>
      <c r="AB11" s="194"/>
      <c r="AC11" s="194"/>
      <c r="AD11" s="194"/>
      <c r="AE11" s="194"/>
      <c r="AF11" s="445"/>
      <c r="AG11" s="194"/>
      <c r="AH11" s="194"/>
      <c r="AI11" s="194"/>
      <c r="AJ11" s="194"/>
      <c r="AK11" s="194"/>
      <c r="AL11" s="194"/>
      <c r="AM11" s="194"/>
      <c r="AN11" s="194"/>
      <c r="AO11" s="194"/>
      <c r="AP11" s="194"/>
      <c r="AQ11" s="445"/>
      <c r="AR11" s="194"/>
      <c r="AS11" s="446"/>
      <c r="AU11" s="118"/>
      <c r="AV11" s="118" t="str">
        <f aca="false">IF(T11="","",T11)</f>
        <v>Добавить наименование признака дифференциации</v>
      </c>
      <c r="AW11" s="118"/>
      <c r="AX11" s="118"/>
      <c r="AY11" s="42" t="n">
        <v>0</v>
      </c>
    </row>
    <row r="12" s="47" customFormat="true" ht="14.25" hidden="true" customHeight="true" outlineLevel="0" collapsed="false">
      <c r="A12" s="122"/>
      <c r="B12" s="122"/>
      <c r="C12" s="122"/>
      <c r="D12" s="122"/>
      <c r="E12" s="413"/>
      <c r="F12" s="413"/>
      <c r="G12" s="122"/>
      <c r="H12" s="122"/>
      <c r="I12" s="122"/>
      <c r="J12" s="122"/>
      <c r="K12" s="122"/>
      <c r="L12" s="192"/>
      <c r="M12" s="453"/>
      <c r="N12" s="453"/>
      <c r="P12" s="156"/>
      <c r="Q12" s="449"/>
      <c r="R12" s="156"/>
      <c r="S12" s="454"/>
      <c r="T12" s="457" t="s">
        <v>428</v>
      </c>
      <c r="U12" s="456"/>
      <c r="V12" s="456"/>
      <c r="W12" s="456"/>
      <c r="X12" s="456"/>
      <c r="Y12" s="456"/>
      <c r="Z12" s="456"/>
      <c r="AA12" s="456"/>
      <c r="AB12" s="456"/>
      <c r="AC12" s="456"/>
      <c r="AD12" s="456"/>
      <c r="AE12" s="456"/>
      <c r="AF12" s="456"/>
      <c r="AG12" s="456"/>
      <c r="AH12" s="456"/>
      <c r="AI12" s="456"/>
      <c r="AJ12" s="456"/>
      <c r="AK12" s="456"/>
      <c r="AL12" s="456"/>
      <c r="AM12" s="456"/>
      <c r="AN12" s="456"/>
      <c r="AO12" s="456"/>
      <c r="AP12" s="456"/>
      <c r="AQ12" s="456"/>
      <c r="AR12" s="456"/>
      <c r="AS12" s="456"/>
      <c r="AU12" s="118"/>
      <c r="AV12" s="118" t="str">
        <f aca="false">IF(T12="","",T12)</f>
        <v>Добавить централизованную систему для дифференциации</v>
      </c>
      <c r="AW12" s="118"/>
      <c r="AX12" s="118"/>
      <c r="AY12" s="47" t="n">
        <v>0</v>
      </c>
    </row>
    <row r="13" s="47" customFormat="true" ht="14.25" hidden="true" customHeight="true" outlineLevel="0" collapsed="false">
      <c r="A13" s="122"/>
      <c r="B13" s="122"/>
      <c r="C13" s="122"/>
      <c r="D13" s="122"/>
      <c r="E13" s="413"/>
      <c r="F13" s="122"/>
      <c r="G13" s="122"/>
      <c r="H13" s="122"/>
      <c r="I13" s="122"/>
      <c r="J13" s="122"/>
      <c r="K13" s="122"/>
      <c r="L13" s="192"/>
      <c r="M13" s="453"/>
      <c r="N13" s="453"/>
      <c r="P13" s="156"/>
      <c r="Q13" s="449"/>
      <c r="R13" s="156"/>
      <c r="S13" s="454"/>
      <c r="T13" s="457" t="s">
        <v>429</v>
      </c>
      <c r="U13" s="456"/>
      <c r="V13" s="456"/>
      <c r="W13" s="456"/>
      <c r="X13" s="456"/>
      <c r="Y13" s="456"/>
      <c r="Z13" s="456"/>
      <c r="AA13" s="456"/>
      <c r="AB13" s="456"/>
      <c r="AC13" s="456"/>
      <c r="AD13" s="456"/>
      <c r="AE13" s="456"/>
      <c r="AF13" s="456"/>
      <c r="AG13" s="456"/>
      <c r="AH13" s="456"/>
      <c r="AI13" s="456"/>
      <c r="AJ13" s="456"/>
      <c r="AK13" s="456"/>
      <c r="AL13" s="456"/>
      <c r="AM13" s="456"/>
      <c r="AN13" s="456"/>
      <c r="AO13" s="456"/>
      <c r="AP13" s="456"/>
      <c r="AQ13" s="456"/>
      <c r="AR13" s="456"/>
      <c r="AS13" s="456"/>
      <c r="AU13" s="118"/>
      <c r="AV13" s="118" t="str">
        <f aca="false">IF(T13="","",T13)</f>
        <v>Добавить территорию для дифференциации</v>
      </c>
      <c r="AW13" s="118"/>
      <c r="AX13" s="118"/>
      <c r="AY13" s="47" t="n">
        <v>0</v>
      </c>
    </row>
    <row r="14" customFormat="false" ht="14.25" hidden="true" customHeight="true" outlineLevel="0" collapsed="false">
      <c r="AY14" s="42" t="n">
        <v>0</v>
      </c>
    </row>
    <row r="15" customFormat="false" ht="14.25" hidden="true" customHeight="true" outlineLevel="0" collapsed="false">
      <c r="AG15" s="458"/>
      <c r="AH15" s="458"/>
      <c r="AI15" s="458"/>
      <c r="AJ15" s="458"/>
      <c r="AK15" s="458"/>
      <c r="AL15" s="458"/>
      <c r="AM15" s="459"/>
      <c r="AN15" s="460"/>
      <c r="AO15" s="461" t="s">
        <v>61</v>
      </c>
      <c r="AP15" s="460"/>
      <c r="AQ15" s="461" t="s">
        <v>61</v>
      </c>
      <c r="AY15" s="42" t="n">
        <v>0</v>
      </c>
    </row>
    <row r="16" customFormat="false" ht="14.25" hidden="true" customHeight="true" outlineLevel="0" collapsed="false">
      <c r="AG16" s="458"/>
      <c r="AH16" s="458"/>
      <c r="AI16" s="458"/>
      <c r="AJ16" s="458"/>
      <c r="AK16" s="458"/>
      <c r="AL16" s="458"/>
      <c r="AM16" s="440" t="str">
        <f aca="false">AN15&amp;"-"&amp;AP15</f>
        <v>-</v>
      </c>
      <c r="AN16" s="460"/>
      <c r="AO16" s="460"/>
      <c r="AP16" s="460"/>
      <c r="AQ16" s="460"/>
      <c r="AY16" s="42" t="n">
        <v>0</v>
      </c>
    </row>
    <row r="17" customFormat="false" ht="14.25" hidden="true" customHeight="true" outlineLevel="0" collapsed="false">
      <c r="AY17" s="42" t="n">
        <v>0</v>
      </c>
    </row>
    <row r="18" s="45" customFormat="true" ht="22.5" hidden="true" customHeight="true" outlineLevel="0" collapsed="false">
      <c r="L18" s="44"/>
      <c r="M18" s="51"/>
      <c r="N18" s="51"/>
      <c r="O18" s="462" t="s">
        <v>430</v>
      </c>
      <c r="P18" s="51"/>
      <c r="Q18" s="463"/>
      <c r="R18" s="463"/>
      <c r="S18" s="40"/>
      <c r="AC18" s="462"/>
      <c r="AE18" s="462"/>
      <c r="AN18" s="462"/>
      <c r="AP18" s="462"/>
      <c r="AT18" s="47"/>
      <c r="AU18" s="47"/>
      <c r="AV18" s="47"/>
      <c r="AW18" s="47"/>
      <c r="AX18" s="47"/>
      <c r="AY18" s="45" t="n">
        <v>0</v>
      </c>
    </row>
    <row r="19" s="45" customFormat="true" ht="14.25" hidden="true" customHeight="true" outlineLevel="0" collapsed="false">
      <c r="L19" s="44"/>
      <c r="M19" s="51"/>
      <c r="N19" s="51"/>
      <c r="O19" s="51"/>
      <c r="P19" s="51"/>
      <c r="Q19" s="463"/>
      <c r="R19" s="463"/>
      <c r="S19" s="40"/>
      <c r="AT19" s="47"/>
      <c r="AU19" s="47"/>
      <c r="AV19" s="47"/>
      <c r="AW19" s="47"/>
      <c r="AX19" s="47"/>
      <c r="AY19" s="45" t="n">
        <v>0</v>
      </c>
    </row>
    <row r="20" s="45" customFormat="true" ht="12" hidden="true" customHeight="true" outlineLevel="0" collapsed="false">
      <c r="L20" s="44"/>
      <c r="M20" s="51"/>
      <c r="N20" s="51"/>
      <c r="O20" s="414" t="s">
        <v>431</v>
      </c>
      <c r="P20" s="51"/>
      <c r="Q20" s="579"/>
      <c r="R20" s="579"/>
      <c r="S20" s="40"/>
      <c r="T20" s="45" t="s">
        <v>432</v>
      </c>
      <c r="AD20" s="140" t="s">
        <v>433</v>
      </c>
      <c r="AF20" s="140" t="s">
        <v>434</v>
      </c>
      <c r="AG20" s="45" t="s">
        <v>432</v>
      </c>
      <c r="AO20" s="140" t="s">
        <v>435</v>
      </c>
      <c r="AQ20" s="140" t="s">
        <v>434</v>
      </c>
      <c r="AY20" s="45" t="n">
        <v>0</v>
      </c>
    </row>
    <row r="21" customFormat="false" ht="14.25" hidden="true" customHeight="true" outlineLevel="0" collapsed="false">
      <c r="O21" s="414"/>
      <c r="AY21" s="42" t="n">
        <v>0</v>
      </c>
    </row>
    <row r="22" customFormat="false" ht="14.25" hidden="true" customHeight="true" outlineLevel="0" collapsed="false">
      <c r="O22" s="414"/>
      <c r="AY22" s="42" t="n">
        <v>0</v>
      </c>
    </row>
    <row r="23" customFormat="false" ht="14.25" hidden="false" customHeight="true" outlineLevel="0" collapsed="false">
      <c r="Q23" s="464"/>
      <c r="R23" s="464"/>
      <c r="S23" s="465"/>
      <c r="T23" s="80"/>
      <c r="U23" s="80"/>
      <c r="AY23" s="42" t="n">
        <v>14</v>
      </c>
    </row>
    <row r="24" customFormat="false" ht="26.25" hidden="false" customHeight="true" outlineLevel="0" collapsed="false">
      <c r="Q24" s="464"/>
      <c r="R24" s="464"/>
      <c r="S24" s="220"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2"/>
      <c r="AY24" s="42" t="n">
        <v>25</v>
      </c>
    </row>
    <row r="25" customFormat="false" ht="14.25" hidden="false" customHeight="true" outlineLevel="0" collapsed="false">
      <c r="Q25" s="464"/>
      <c r="R25" s="464"/>
      <c r="S25" s="261" t="str">
        <f aca="false">IF(org=0,"Не определено",org)</f>
        <v>ООО "Газпром теплоэнерго Ярославль"</v>
      </c>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22"/>
      <c r="AY25" s="42" t="n">
        <v>14</v>
      </c>
    </row>
    <row r="26" customFormat="false" ht="14.25" hidden="true" customHeight="true" outlineLevel="0" collapsed="false">
      <c r="Q26" s="464"/>
      <c r="R26" s="464"/>
      <c r="S26" s="465"/>
      <c r="T26" s="80"/>
      <c r="U26" s="80"/>
      <c r="V26" s="466"/>
      <c r="W26" s="466"/>
      <c r="X26" s="466"/>
      <c r="Y26" s="466"/>
      <c r="Z26" s="466"/>
      <c r="AA26" s="466"/>
      <c r="AB26" s="466"/>
      <c r="AC26" s="466"/>
      <c r="AD26" s="466"/>
      <c r="AE26" s="466"/>
      <c r="AF26" s="466"/>
      <c r="AG26" s="466"/>
      <c r="AH26" s="466"/>
      <c r="AI26" s="466"/>
      <c r="AJ26" s="466"/>
      <c r="AK26" s="466"/>
      <c r="AL26" s="466"/>
      <c r="AM26" s="466"/>
      <c r="AN26" s="466"/>
      <c r="AO26" s="466"/>
      <c r="AP26" s="466"/>
      <c r="AQ26" s="466"/>
      <c r="AY26" s="42" t="n">
        <v>0</v>
      </c>
    </row>
    <row r="27" s="175" customFormat="true" ht="25.5" hidden="true" customHeight="true" outlineLevel="0" collapsed="false">
      <c r="A27" s="140"/>
      <c r="B27" s="140"/>
      <c r="C27" s="140"/>
      <c r="D27" s="140"/>
      <c r="E27" s="140"/>
      <c r="F27" s="140"/>
      <c r="G27" s="140"/>
      <c r="H27" s="140"/>
      <c r="I27" s="140"/>
      <c r="J27" s="140"/>
      <c r="K27" s="140"/>
      <c r="L27" s="414"/>
      <c r="M27" s="140"/>
      <c r="N27" s="140"/>
      <c r="O27" s="140"/>
      <c r="S27" s="467" t="s">
        <v>40</v>
      </c>
      <c r="T27" s="467"/>
      <c r="U27" s="468"/>
      <c r="V27" s="469" t="str">
        <f aca="false">IF(TITLE_NAME_OR_PR_CHANGE="",IF(TITLE_NAME_OR_PR="","",TITLE_NAME_OR_PR),TITLE_NAME_OR_PR_CHANGE)</f>
        <v/>
      </c>
      <c r="W27" s="469"/>
      <c r="X27" s="469"/>
      <c r="Y27" s="469"/>
      <c r="Z27" s="469"/>
      <c r="AA27" s="469"/>
      <c r="AB27" s="469"/>
      <c r="AC27" s="469"/>
      <c r="AD27" s="469"/>
      <c r="AE27" s="469"/>
      <c r="AF27" s="42"/>
      <c r="AG27" s="469" t="str">
        <f aca="false">IF(TITLE_NAME_OR_PR_CHANGE="",IF(TITLE_NAME_OR_PR="","",TITLE_NAME_OR_PR),TITLE_NAME_OR_PR_CHANGE)</f>
        <v/>
      </c>
      <c r="AH27" s="469"/>
      <c r="AI27" s="469"/>
      <c r="AJ27" s="469"/>
      <c r="AK27" s="469"/>
      <c r="AL27" s="469"/>
      <c r="AM27" s="469"/>
      <c r="AN27" s="469"/>
      <c r="AO27" s="469"/>
      <c r="AP27" s="469"/>
      <c r="AQ27" s="42"/>
      <c r="AR27" s="42"/>
      <c r="AS27" s="470"/>
      <c r="AT27" s="118"/>
      <c r="AU27" s="118"/>
      <c r="AV27" s="118"/>
      <c r="AW27" s="118"/>
      <c r="AX27" s="118"/>
      <c r="AY27" s="175" t="n">
        <v>0</v>
      </c>
    </row>
    <row r="28" s="175" customFormat="true" ht="18.75" hidden="true" customHeight="true" outlineLevel="0" collapsed="false">
      <c r="A28" s="140"/>
      <c r="B28" s="140"/>
      <c r="C28" s="140"/>
      <c r="D28" s="140"/>
      <c r="E28" s="140"/>
      <c r="F28" s="140"/>
      <c r="G28" s="140"/>
      <c r="H28" s="140"/>
      <c r="I28" s="140"/>
      <c r="J28" s="140"/>
      <c r="K28" s="140"/>
      <c r="L28" s="414"/>
      <c r="M28" s="140"/>
      <c r="N28" s="140"/>
      <c r="O28" s="140"/>
      <c r="S28" s="467" t="s">
        <v>436</v>
      </c>
      <c r="T28" s="467"/>
      <c r="U28" s="468"/>
      <c r="V28" s="471" t="str">
        <f aca="false">IF(TITLE_DATE_PR_CHANGE="",IF(TITLE_DATE_PR="","",TITLE_DATE_PR),TITLE_DATE_PR_CHANGE)</f>
        <v/>
      </c>
      <c r="W28" s="471"/>
      <c r="X28" s="471"/>
      <c r="Y28" s="471"/>
      <c r="Z28" s="471"/>
      <c r="AA28" s="471"/>
      <c r="AB28" s="471"/>
      <c r="AC28" s="471"/>
      <c r="AD28" s="471"/>
      <c r="AE28" s="471"/>
      <c r="AF28" s="42"/>
      <c r="AG28" s="471" t="str">
        <f aca="false">IF(TITLE_DATE_PR_CHANGE="",IF(TITLE_DATE_PR="","",TITLE_DATE_PR),TITLE_DATE_PR_CHANGE)</f>
        <v/>
      </c>
      <c r="AH28" s="471"/>
      <c r="AI28" s="471"/>
      <c r="AJ28" s="471"/>
      <c r="AK28" s="471"/>
      <c r="AL28" s="471"/>
      <c r="AM28" s="471"/>
      <c r="AN28" s="471"/>
      <c r="AO28" s="471"/>
      <c r="AP28" s="471"/>
      <c r="AQ28" s="42"/>
      <c r="AR28" s="42"/>
      <c r="AS28" s="470"/>
      <c r="AT28" s="118"/>
      <c r="AU28" s="118"/>
      <c r="AV28" s="118"/>
      <c r="AW28" s="118"/>
      <c r="AX28" s="118"/>
      <c r="AY28" s="175" t="n">
        <v>0</v>
      </c>
    </row>
    <row r="29" s="175" customFormat="true" ht="18.75" hidden="true" customHeight="true" outlineLevel="0" collapsed="false">
      <c r="A29" s="140"/>
      <c r="B29" s="140"/>
      <c r="C29" s="140"/>
      <c r="D29" s="140"/>
      <c r="E29" s="140"/>
      <c r="F29" s="140"/>
      <c r="G29" s="140"/>
      <c r="H29" s="140"/>
      <c r="I29" s="140"/>
      <c r="J29" s="140"/>
      <c r="K29" s="140"/>
      <c r="L29" s="414"/>
      <c r="M29" s="140"/>
      <c r="N29" s="140"/>
      <c r="O29" s="140"/>
      <c r="S29" s="467" t="s">
        <v>437</v>
      </c>
      <c r="T29" s="467"/>
      <c r="U29" s="468"/>
      <c r="V29" s="469" t="str">
        <f aca="false">IF(TITLE_NUMBER_PR_CHANGE="",IF(TITLE_NUMBER_PR="","",TITLE_NUMBER_PR),TITLE_NUMBER_PR_CHANGE)</f>
        <v/>
      </c>
      <c r="W29" s="469"/>
      <c r="X29" s="469"/>
      <c r="Y29" s="469"/>
      <c r="Z29" s="469"/>
      <c r="AA29" s="469"/>
      <c r="AB29" s="469"/>
      <c r="AC29" s="469"/>
      <c r="AD29" s="469"/>
      <c r="AE29" s="469"/>
      <c r="AF29" s="42"/>
      <c r="AG29" s="469" t="str">
        <f aca="false">IF(TITLE_NUMBER_PR_CHANGE="",IF(TITLE_NUMBER_PR="","",TITLE_NUMBER_PR),TITLE_NUMBER_PR_CHANGE)</f>
        <v/>
      </c>
      <c r="AH29" s="469"/>
      <c r="AI29" s="469"/>
      <c r="AJ29" s="469"/>
      <c r="AK29" s="469"/>
      <c r="AL29" s="469"/>
      <c r="AM29" s="469"/>
      <c r="AN29" s="469"/>
      <c r="AO29" s="469"/>
      <c r="AP29" s="469"/>
      <c r="AQ29" s="42"/>
      <c r="AR29" s="42"/>
      <c r="AS29" s="470"/>
      <c r="AT29" s="118"/>
      <c r="AU29" s="118"/>
      <c r="AV29" s="118"/>
      <c r="AW29" s="118"/>
      <c r="AX29" s="118"/>
      <c r="AY29" s="175" t="n">
        <v>0</v>
      </c>
    </row>
    <row r="30" s="175" customFormat="true" ht="18.75" hidden="true" customHeight="true" outlineLevel="0" collapsed="false">
      <c r="A30" s="140"/>
      <c r="B30" s="140"/>
      <c r="C30" s="140"/>
      <c r="D30" s="140"/>
      <c r="E30" s="140"/>
      <c r="F30" s="140"/>
      <c r="G30" s="140"/>
      <c r="H30" s="140"/>
      <c r="I30" s="140"/>
      <c r="J30" s="140"/>
      <c r="K30" s="140"/>
      <c r="L30" s="414"/>
      <c r="M30" s="140"/>
      <c r="N30" s="140"/>
      <c r="O30" s="140"/>
      <c r="S30" s="467" t="s">
        <v>41</v>
      </c>
      <c r="T30" s="467"/>
      <c r="U30" s="468"/>
      <c r="V30" s="469" t="str">
        <f aca="false">IF(TITLE_IST_PUB_CHANGE="",IF(TITLE_IST_PUB="","",TITLE_IST_PUB),TITLE_IST_PUB_CHANGE)</f>
        <v/>
      </c>
      <c r="W30" s="469"/>
      <c r="X30" s="469"/>
      <c r="Y30" s="469"/>
      <c r="Z30" s="469"/>
      <c r="AA30" s="469"/>
      <c r="AB30" s="469"/>
      <c r="AC30" s="469"/>
      <c r="AD30" s="469"/>
      <c r="AE30" s="469"/>
      <c r="AF30" s="42"/>
      <c r="AG30" s="469" t="str">
        <f aca="false">IF(TITLE_IST_PUB_CHANGE="",IF(TITLE_IST_PUB="","",TITLE_IST_PUB),TITLE_IST_PUB_CHANGE)</f>
        <v/>
      </c>
      <c r="AH30" s="469"/>
      <c r="AI30" s="469"/>
      <c r="AJ30" s="469"/>
      <c r="AK30" s="469"/>
      <c r="AL30" s="469"/>
      <c r="AM30" s="469"/>
      <c r="AN30" s="469"/>
      <c r="AO30" s="469"/>
      <c r="AP30" s="469"/>
      <c r="AQ30" s="42"/>
      <c r="AR30" s="42"/>
      <c r="AS30" s="470"/>
      <c r="AT30" s="118"/>
      <c r="AU30" s="118"/>
      <c r="AV30" s="118"/>
      <c r="AW30" s="118"/>
      <c r="AX30" s="118"/>
      <c r="AY30" s="175" t="n">
        <v>0</v>
      </c>
    </row>
    <row r="31" customFormat="false" ht="14.25" hidden="true" customHeight="true" outlineLevel="0" collapsed="false">
      <c r="Q31" s="464"/>
      <c r="R31" s="464"/>
      <c r="S31" s="465"/>
      <c r="T31" s="80"/>
      <c r="U31" s="80"/>
      <c r="V31" s="466"/>
      <c r="W31" s="466"/>
      <c r="X31" s="466"/>
      <c r="Y31" s="466"/>
      <c r="Z31" s="466"/>
      <c r="AA31" s="466"/>
      <c r="AB31" s="466"/>
      <c r="AC31" s="466"/>
      <c r="AD31" s="466"/>
      <c r="AE31" s="466"/>
      <c r="AF31" s="466"/>
      <c r="AG31" s="466"/>
      <c r="AH31" s="466"/>
      <c r="AI31" s="466"/>
      <c r="AJ31" s="466"/>
      <c r="AK31" s="466"/>
      <c r="AL31" s="466"/>
      <c r="AM31" s="466"/>
      <c r="AN31" s="466"/>
      <c r="AO31" s="466"/>
      <c r="AP31" s="466"/>
      <c r="AQ31" s="466"/>
      <c r="AY31" s="42" t="n">
        <v>0</v>
      </c>
    </row>
    <row r="32" s="175" customFormat="true" ht="18.75" hidden="true" customHeight="true" outlineLevel="0" collapsed="false">
      <c r="A32" s="140"/>
      <c r="B32" s="140"/>
      <c r="C32" s="140"/>
      <c r="D32" s="140"/>
      <c r="E32" s="140"/>
      <c r="F32" s="140"/>
      <c r="G32" s="140"/>
      <c r="H32" s="140"/>
      <c r="I32" s="140"/>
      <c r="J32" s="140"/>
      <c r="K32" s="140"/>
      <c r="L32" s="414"/>
      <c r="M32" s="140"/>
      <c r="N32" s="140"/>
      <c r="O32" s="140"/>
      <c r="S32" s="467" t="s">
        <v>438</v>
      </c>
      <c r="T32" s="467"/>
      <c r="U32" s="468"/>
      <c r="V32" s="471" t="str">
        <f aca="false">IF(TITLE_DATE_PR_CHANGE="",IF(TITLE_DATE_PR="","",TITLE_DATE_PR),TITLE_DATE_PR_CHANGE)</f>
        <v/>
      </c>
      <c r="W32" s="471"/>
      <c r="X32" s="471"/>
      <c r="Y32" s="471"/>
      <c r="Z32" s="471"/>
      <c r="AA32" s="471"/>
      <c r="AB32" s="471"/>
      <c r="AC32" s="471"/>
      <c r="AD32" s="471"/>
      <c r="AE32" s="471"/>
      <c r="AF32" s="42"/>
      <c r="AG32" s="471" t="str">
        <f aca="false">IF(TITLE_DATE_PR_CHANGE="",IF(TITLE_DATE_PR="","",TITLE_DATE_PR),TITLE_DATE_PR_CHANGE)</f>
        <v/>
      </c>
      <c r="AH32" s="471"/>
      <c r="AI32" s="471"/>
      <c r="AJ32" s="471"/>
      <c r="AK32" s="471"/>
      <c r="AL32" s="471"/>
      <c r="AM32" s="471"/>
      <c r="AN32" s="471"/>
      <c r="AO32" s="471"/>
      <c r="AP32" s="471"/>
      <c r="AQ32" s="42"/>
      <c r="AR32" s="42"/>
      <c r="AS32" s="470"/>
      <c r="AT32" s="118"/>
      <c r="AU32" s="118"/>
      <c r="AV32" s="118"/>
      <c r="AW32" s="118"/>
      <c r="AX32" s="118"/>
      <c r="AY32" s="175" t="n">
        <v>0</v>
      </c>
    </row>
    <row r="33" s="175" customFormat="true" ht="18.75" hidden="true" customHeight="true" outlineLevel="0" collapsed="false">
      <c r="A33" s="140"/>
      <c r="B33" s="140"/>
      <c r="C33" s="140"/>
      <c r="D33" s="140"/>
      <c r="E33" s="140"/>
      <c r="F33" s="140"/>
      <c r="G33" s="140"/>
      <c r="H33" s="140"/>
      <c r="I33" s="140"/>
      <c r="J33" s="140"/>
      <c r="K33" s="140"/>
      <c r="L33" s="414"/>
      <c r="M33" s="140"/>
      <c r="N33" s="140"/>
      <c r="O33" s="140"/>
      <c r="S33" s="467" t="s">
        <v>439</v>
      </c>
      <c r="T33" s="467"/>
      <c r="U33" s="468"/>
      <c r="V33" s="469" t="str">
        <f aca="false">IF(TITLE_NUMBER_PR_CHANGE="",IF(TITLE_NUMBER_PR="","",TITLE_NUMBER_PR),TITLE_NUMBER_PR_CHANGE)</f>
        <v/>
      </c>
      <c r="W33" s="469"/>
      <c r="X33" s="469"/>
      <c r="Y33" s="469"/>
      <c r="Z33" s="469"/>
      <c r="AA33" s="469"/>
      <c r="AB33" s="469"/>
      <c r="AC33" s="469"/>
      <c r="AD33" s="469"/>
      <c r="AE33" s="469"/>
      <c r="AF33" s="42"/>
      <c r="AG33" s="469" t="str">
        <f aca="false">IF(TITLE_NUMBER_PR_CHANGE="",IF(TITLE_NUMBER_PR="","",TITLE_NUMBER_PR),TITLE_NUMBER_PR_CHANGE)</f>
        <v/>
      </c>
      <c r="AH33" s="469"/>
      <c r="AI33" s="469"/>
      <c r="AJ33" s="469"/>
      <c r="AK33" s="469"/>
      <c r="AL33" s="469"/>
      <c r="AM33" s="469"/>
      <c r="AN33" s="469"/>
      <c r="AO33" s="469"/>
      <c r="AP33" s="469"/>
      <c r="AQ33" s="42"/>
      <c r="AR33" s="42"/>
      <c r="AS33" s="470"/>
      <c r="AT33" s="118"/>
      <c r="AU33" s="118"/>
      <c r="AV33" s="118"/>
      <c r="AW33" s="118"/>
      <c r="AX33" s="118"/>
      <c r="AY33" s="175" t="n">
        <v>0</v>
      </c>
    </row>
    <row r="34" s="175" customFormat="true" ht="0.75" hidden="false" customHeight="true" outlineLevel="0" collapsed="false">
      <c r="A34" s="140"/>
      <c r="B34" s="140"/>
      <c r="C34" s="140"/>
      <c r="D34" s="140"/>
      <c r="E34" s="140"/>
      <c r="F34" s="140"/>
      <c r="G34" s="140"/>
      <c r="H34" s="140"/>
      <c r="I34" s="140"/>
      <c r="J34" s="140"/>
      <c r="K34" s="140"/>
      <c r="L34" s="414"/>
      <c r="M34" s="140"/>
      <c r="N34" s="140"/>
      <c r="O34" s="140"/>
      <c r="S34" s="42"/>
      <c r="T34" s="42"/>
      <c r="U34" s="128"/>
      <c r="V34" s="42"/>
      <c r="W34" s="42"/>
      <c r="X34" s="42"/>
      <c r="Y34" s="42"/>
      <c r="Z34" s="42"/>
      <c r="AA34" s="42"/>
      <c r="AB34" s="42"/>
      <c r="AC34" s="42"/>
      <c r="AD34" s="42"/>
      <c r="AE34" s="42"/>
      <c r="AF34" s="47" t="s">
        <v>440</v>
      </c>
      <c r="AG34" s="42"/>
      <c r="AH34" s="42"/>
      <c r="AI34" s="42"/>
      <c r="AJ34" s="42"/>
      <c r="AK34" s="42"/>
      <c r="AL34" s="42"/>
      <c r="AM34" s="42"/>
      <c r="AN34" s="42"/>
      <c r="AO34" s="42"/>
      <c r="AP34" s="42"/>
      <c r="AQ34" s="47" t="s">
        <v>440</v>
      </c>
      <c r="AT34" s="118"/>
      <c r="AU34" s="118"/>
      <c r="AV34" s="118"/>
      <c r="AW34" s="118"/>
      <c r="AX34" s="118"/>
      <c r="AY34" s="175" t="n">
        <v>1</v>
      </c>
    </row>
    <row r="35" customFormat="false" ht="14.25" hidden="false" customHeight="true" outlineLevel="0" collapsed="false">
      <c r="Q35" s="464"/>
      <c r="R35" s="464"/>
      <c r="S35" s="465"/>
      <c r="T35" s="80"/>
      <c r="U35" s="472"/>
      <c r="V35" s="473"/>
      <c r="W35" s="473"/>
      <c r="X35" s="473"/>
      <c r="Y35" s="473"/>
      <c r="Z35" s="473"/>
      <c r="AA35" s="473"/>
      <c r="AB35" s="473"/>
      <c r="AC35" s="473"/>
      <c r="AD35" s="473"/>
      <c r="AE35" s="473"/>
      <c r="AF35" s="473"/>
      <c r="AG35" s="473"/>
      <c r="AH35" s="473"/>
      <c r="AI35" s="473"/>
      <c r="AJ35" s="473"/>
      <c r="AK35" s="473"/>
      <c r="AL35" s="473"/>
      <c r="AM35" s="473"/>
      <c r="AN35" s="473"/>
      <c r="AO35" s="473"/>
      <c r="AP35" s="473"/>
      <c r="AQ35" s="473"/>
      <c r="AY35" s="42" t="n">
        <v>14</v>
      </c>
    </row>
    <row r="36" customFormat="false" ht="14.25" hidden="false" customHeight="true" outlineLevel="0" collapsed="false">
      <c r="Q36" s="464"/>
      <c r="R36" s="464"/>
      <c r="S36" s="134" t="s">
        <v>313</v>
      </c>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t="s">
        <v>314</v>
      </c>
      <c r="AY36" s="42" t="n">
        <v>14</v>
      </c>
    </row>
    <row r="37" customFormat="false" ht="14.25" hidden="false" customHeight="true" outlineLevel="0" collapsed="false">
      <c r="Q37" s="464"/>
      <c r="R37" s="464"/>
      <c r="S37" s="416" t="s">
        <v>87</v>
      </c>
      <c r="T37" s="391" t="s">
        <v>441</v>
      </c>
      <c r="U37" s="475"/>
      <c r="V37" s="296" t="s">
        <v>442</v>
      </c>
      <c r="W37" s="296"/>
      <c r="X37" s="296"/>
      <c r="Y37" s="296"/>
      <c r="Z37" s="296"/>
      <c r="AA37" s="296"/>
      <c r="AB37" s="296"/>
      <c r="AC37" s="296"/>
      <c r="AD37" s="296"/>
      <c r="AE37" s="296"/>
      <c r="AF37" s="391" t="s">
        <v>443</v>
      </c>
      <c r="AG37" s="296" t="s">
        <v>442</v>
      </c>
      <c r="AH37" s="296"/>
      <c r="AI37" s="296"/>
      <c r="AJ37" s="296"/>
      <c r="AK37" s="296"/>
      <c r="AL37" s="296"/>
      <c r="AM37" s="296"/>
      <c r="AN37" s="296"/>
      <c r="AO37" s="296"/>
      <c r="AP37" s="296"/>
      <c r="AQ37" s="391" t="s">
        <v>444</v>
      </c>
      <c r="AR37" s="476" t="s">
        <v>445</v>
      </c>
      <c r="AS37" s="134"/>
      <c r="AY37" s="42" t="n">
        <v>14</v>
      </c>
    </row>
    <row r="38" s="42" customFormat="true" ht="19.5" hidden="false" customHeight="true" outlineLevel="0" collapsed="false">
      <c r="A38" s="45"/>
      <c r="B38" s="45"/>
      <c r="C38" s="45"/>
      <c r="D38" s="45"/>
      <c r="E38" s="45"/>
      <c r="F38" s="45"/>
      <c r="G38" s="45"/>
      <c r="H38" s="45"/>
      <c r="I38" s="45"/>
      <c r="J38" s="45"/>
      <c r="K38" s="45"/>
      <c r="L38" s="44"/>
      <c r="M38" s="51"/>
      <c r="N38" s="51"/>
      <c r="O38" s="51"/>
      <c r="P38" s="50"/>
      <c r="Q38" s="464"/>
      <c r="R38" s="464"/>
      <c r="S38" s="416"/>
      <c r="T38" s="391"/>
      <c r="U38" s="477"/>
      <c r="V38" s="146" t="s">
        <v>545</v>
      </c>
      <c r="W38" s="597" t="s">
        <v>546</v>
      </c>
      <c r="X38" s="597"/>
      <c r="Y38" s="597"/>
      <c r="Z38" s="597" t="s">
        <v>547</v>
      </c>
      <c r="AA38" s="597"/>
      <c r="AB38" s="597"/>
      <c r="AC38" s="134" t="s">
        <v>449</v>
      </c>
      <c r="AD38" s="134"/>
      <c r="AE38" s="134"/>
      <c r="AF38" s="391"/>
      <c r="AG38" s="146" t="s">
        <v>545</v>
      </c>
      <c r="AH38" s="597" t="s">
        <v>546</v>
      </c>
      <c r="AI38" s="597"/>
      <c r="AJ38" s="597"/>
      <c r="AK38" s="597" t="s">
        <v>547</v>
      </c>
      <c r="AL38" s="597"/>
      <c r="AM38" s="597"/>
      <c r="AN38" s="134" t="s">
        <v>449</v>
      </c>
      <c r="AO38" s="134"/>
      <c r="AP38" s="134"/>
      <c r="AQ38" s="391"/>
      <c r="AR38" s="476"/>
      <c r="AS38" s="134"/>
      <c r="AT38" s="47"/>
      <c r="AU38" s="47"/>
      <c r="AV38" s="47"/>
      <c r="AW38" s="47"/>
      <c r="AX38" s="47"/>
      <c r="AY38" s="42" t="n">
        <v>19</v>
      </c>
    </row>
    <row r="39" customFormat="false" ht="19.5" hidden="false" customHeight="true" outlineLevel="0" collapsed="false">
      <c r="Q39" s="464"/>
      <c r="R39" s="464"/>
      <c r="S39" s="416"/>
      <c r="T39" s="391"/>
      <c r="U39" s="477"/>
      <c r="V39" s="146"/>
      <c r="W39" s="597" t="s">
        <v>548</v>
      </c>
      <c r="X39" s="597" t="s">
        <v>549</v>
      </c>
      <c r="Y39" s="597"/>
      <c r="Z39" s="597" t="s">
        <v>550</v>
      </c>
      <c r="AA39" s="597" t="s">
        <v>549</v>
      </c>
      <c r="AB39" s="597"/>
      <c r="AC39" s="134"/>
      <c r="AD39" s="134"/>
      <c r="AE39" s="134"/>
      <c r="AF39" s="391"/>
      <c r="AG39" s="146"/>
      <c r="AH39" s="597" t="s">
        <v>548</v>
      </c>
      <c r="AI39" s="597" t="s">
        <v>549</v>
      </c>
      <c r="AJ39" s="597"/>
      <c r="AK39" s="597" t="s">
        <v>550</v>
      </c>
      <c r="AL39" s="597" t="s">
        <v>549</v>
      </c>
      <c r="AM39" s="597"/>
      <c r="AN39" s="134"/>
      <c r="AO39" s="134"/>
      <c r="AP39" s="134"/>
      <c r="AQ39" s="391"/>
      <c r="AR39" s="476"/>
      <c r="AS39" s="134"/>
      <c r="AY39" s="42" t="n">
        <v>19</v>
      </c>
    </row>
    <row r="40" customFormat="false" ht="61.5" hidden="false" customHeight="true" outlineLevel="0" collapsed="false">
      <c r="A40" s="140"/>
      <c r="B40" s="140" t="s">
        <v>150</v>
      </c>
      <c r="C40" s="140" t="s">
        <v>151</v>
      </c>
      <c r="D40" s="140" t="s">
        <v>152</v>
      </c>
      <c r="E40" s="414" t="s">
        <v>450</v>
      </c>
      <c r="F40" s="414" t="s">
        <v>451</v>
      </c>
      <c r="G40" s="414" t="s">
        <v>452</v>
      </c>
      <c r="H40" s="414"/>
      <c r="I40" s="414" t="s">
        <v>503</v>
      </c>
      <c r="J40" s="414" t="s">
        <v>455</v>
      </c>
      <c r="K40" s="414" t="s">
        <v>504</v>
      </c>
      <c r="L40" s="414" t="s">
        <v>431</v>
      </c>
      <c r="Q40" s="464"/>
      <c r="R40" s="464"/>
      <c r="S40" s="416"/>
      <c r="T40" s="391"/>
      <c r="U40" s="478"/>
      <c r="V40" s="146"/>
      <c r="W40" s="597"/>
      <c r="X40" s="597" t="s">
        <v>551</v>
      </c>
      <c r="Y40" s="597" t="s">
        <v>552</v>
      </c>
      <c r="Z40" s="597"/>
      <c r="AA40" s="597" t="s">
        <v>553</v>
      </c>
      <c r="AB40" s="597" t="s">
        <v>554</v>
      </c>
      <c r="AC40" s="185" t="s">
        <v>459</v>
      </c>
      <c r="AD40" s="185" t="s">
        <v>460</v>
      </c>
      <c r="AE40" s="185"/>
      <c r="AF40" s="391"/>
      <c r="AG40" s="146"/>
      <c r="AH40" s="597"/>
      <c r="AI40" s="597" t="s">
        <v>551</v>
      </c>
      <c r="AJ40" s="597" t="s">
        <v>552</v>
      </c>
      <c r="AK40" s="597"/>
      <c r="AL40" s="597" t="s">
        <v>553</v>
      </c>
      <c r="AM40" s="597" t="s">
        <v>554</v>
      </c>
      <c r="AN40" s="185" t="s">
        <v>459</v>
      </c>
      <c r="AO40" s="185" t="s">
        <v>460</v>
      </c>
      <c r="AP40" s="185"/>
      <c r="AQ40" s="391"/>
      <c r="AR40" s="476"/>
      <c r="AS40" s="134"/>
      <c r="AY40" s="42" t="n">
        <v>59</v>
      </c>
    </row>
    <row r="41" s="120" customFormat="true" ht="11.25" hidden="true" customHeight="true" outlineLevel="0" collapsed="false">
      <c r="A41" s="140"/>
      <c r="B41" s="140"/>
      <c r="C41" s="140"/>
      <c r="D41" s="140"/>
      <c r="E41" s="140"/>
      <c r="F41" s="140"/>
      <c r="G41" s="140"/>
      <c r="H41" s="140"/>
      <c r="I41" s="140"/>
      <c r="J41" s="140"/>
      <c r="K41" s="140"/>
      <c r="L41" s="414"/>
      <c r="M41" s="51"/>
      <c r="N41" s="51"/>
      <c r="O41" s="51"/>
      <c r="P41" s="479"/>
      <c r="Q41" s="480"/>
      <c r="R41" s="481" t="n">
        <v>1</v>
      </c>
      <c r="S41" s="482" t="s">
        <v>120</v>
      </c>
      <c r="T41" s="483" t="s">
        <v>102</v>
      </c>
      <c r="U41" s="484" t="str">
        <f aca="true">OFFSET(U41,0,-1)</f>
        <v>2</v>
      </c>
      <c r="V41" s="485" t="n">
        <f aca="true">OFFSET(V41,0,-1)+1</f>
        <v>3</v>
      </c>
      <c r="W41" s="485"/>
      <c r="X41" s="485"/>
      <c r="Y41" s="485"/>
      <c r="Z41" s="485"/>
      <c r="AA41" s="485"/>
      <c r="AB41" s="485" t="n">
        <f aca="true">OFFSET(AB41,0,-1)+1</f>
        <v>1</v>
      </c>
      <c r="AC41" s="485" t="n">
        <f aca="true">OFFSET(AC41,0,-1)+1</f>
        <v>2</v>
      </c>
      <c r="AD41" s="485" t="n">
        <f aca="true">OFFSET(AD41,0,-1)+1</f>
        <v>3</v>
      </c>
      <c r="AE41" s="485"/>
      <c r="AF41" s="485" t="n">
        <f aca="true">OFFSET(AF41,0,-2)+1</f>
        <v>4</v>
      </c>
      <c r="AG41" s="485" t="n">
        <f aca="true">OFFSET(AG41,0,-1)+1</f>
        <v>5</v>
      </c>
      <c r="AH41" s="485"/>
      <c r="AI41" s="485"/>
      <c r="AJ41" s="485"/>
      <c r="AK41" s="485"/>
      <c r="AL41" s="485"/>
      <c r="AM41" s="485" t="n">
        <f aca="true">OFFSET(AM41,0,-1)+1</f>
        <v>1</v>
      </c>
      <c r="AN41" s="485" t="n">
        <f aca="true">OFFSET(AN41,0,-1)+1</f>
        <v>2</v>
      </c>
      <c r="AO41" s="485" t="n">
        <f aca="true">OFFSET(AO41,0,-1)+1</f>
        <v>3</v>
      </c>
      <c r="AP41" s="485"/>
      <c r="AQ41" s="485" t="n">
        <f aca="true">OFFSET(AQ41,0,-2)+1</f>
        <v>4</v>
      </c>
      <c r="AR41" s="484" t="n">
        <f aca="true">OFFSET(AR41,0,-1)</f>
        <v>4</v>
      </c>
      <c r="AS41" s="485" t="n">
        <f aca="true">OFFSET(AS41,0,-1)+1</f>
        <v>5</v>
      </c>
      <c r="AT41" s="47"/>
      <c r="AU41" s="47"/>
      <c r="AV41" s="47"/>
      <c r="AW41" s="47"/>
      <c r="AX41" s="47"/>
      <c r="AY41" s="120" t="n">
        <v>0</v>
      </c>
    </row>
    <row r="42" customFormat="false" ht="24" hidden="false" customHeight="true" outlineLevel="0" collapsed="false">
      <c r="A42" s="412" t="s">
        <v>269</v>
      </c>
      <c r="B42" s="412"/>
      <c r="C42" s="412"/>
      <c r="D42" s="412"/>
      <c r="E42" s="413" t="n">
        <v>1</v>
      </c>
      <c r="F42" s="412"/>
      <c r="G42" s="412"/>
      <c r="H42" s="412"/>
      <c r="I42" s="412"/>
      <c r="J42" s="412"/>
      <c r="K42" s="412"/>
      <c r="L42" s="414"/>
      <c r="M42" s="40"/>
      <c r="N42" s="40"/>
      <c r="O42" s="40"/>
      <c r="Q42" s="132"/>
      <c r="R42" s="415"/>
      <c r="S42" s="416" t="n">
        <f aca="false">INDEX(PT_DIFFERENTIATION_NUM_NTAR,MATCH(A42,PT_DIFFERENTIATION_NTAR_ID,0))</f>
        <v>0</v>
      </c>
      <c r="T42" s="417" t="s">
        <v>138</v>
      </c>
      <c r="U42" s="418"/>
      <c r="V42" s="419"/>
      <c r="W42" s="419"/>
      <c r="X42" s="419"/>
      <c r="Y42" s="419"/>
      <c r="Z42" s="419"/>
      <c r="AA42" s="419"/>
      <c r="AB42" s="419"/>
      <c r="AC42" s="419"/>
      <c r="AD42" s="419"/>
      <c r="AE42" s="419"/>
      <c r="AF42" s="419"/>
      <c r="AG42" s="420" t="str">
        <f aca="false">INDEX(PT_DIFFERENTIATION_NTAR,MATCH(A42,PT_DIFFERENTIATION_NTAR_ID,0))</f>
        <v/>
      </c>
      <c r="AH42" s="420"/>
      <c r="AI42" s="420"/>
      <c r="AJ42" s="420"/>
      <c r="AK42" s="420"/>
      <c r="AL42" s="420"/>
      <c r="AM42" s="420"/>
      <c r="AN42" s="420"/>
      <c r="AO42" s="420"/>
      <c r="AP42" s="420"/>
      <c r="AQ42" s="420"/>
      <c r="AR42" s="420"/>
      <c r="AS42" s="42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18"/>
      <c r="AV42" s="118" t="str">
        <f aca="false">IF(T42="","",T42)</f>
        <v>Наименование тарифа</v>
      </c>
      <c r="AW42" s="118"/>
      <c r="AX42" s="118"/>
      <c r="AY42" s="42" t="n">
        <v>23</v>
      </c>
    </row>
    <row r="43" customFormat="false" ht="24" hidden="false" customHeight="true" outlineLevel="0" collapsed="false">
      <c r="A43" s="412" t="s">
        <v>269</v>
      </c>
      <c r="B43" s="412" t="s">
        <v>270</v>
      </c>
      <c r="C43" s="412"/>
      <c r="D43" s="412"/>
      <c r="E43" s="413"/>
      <c r="F43" s="413" t="n">
        <v>1</v>
      </c>
      <c r="G43" s="412"/>
      <c r="H43" s="412"/>
      <c r="I43" s="412"/>
      <c r="J43" s="412"/>
      <c r="K43" s="412"/>
      <c r="L43" s="414"/>
      <c r="M43" s="40"/>
      <c r="N43" s="40"/>
      <c r="O43" s="40"/>
      <c r="P43" s="43"/>
      <c r="Q43" s="422"/>
      <c r="R43" s="423"/>
      <c r="S43" s="416" t="str">
        <f aca="false">INDEX(PT_DIFFERENTIATION_NUM_TER,MATCH(B43,PT_DIFFERENTIATION_TER_ID,0))</f>
        <v>.</v>
      </c>
      <c r="T43" s="424" t="s">
        <v>410</v>
      </c>
      <c r="U43" s="418"/>
      <c r="V43" s="419"/>
      <c r="W43" s="419"/>
      <c r="X43" s="419"/>
      <c r="Y43" s="419"/>
      <c r="Z43" s="419"/>
      <c r="AA43" s="419"/>
      <c r="AB43" s="419"/>
      <c r="AC43" s="419"/>
      <c r="AD43" s="419"/>
      <c r="AE43" s="419"/>
      <c r="AF43" s="419"/>
      <c r="AG43" s="420" t="str">
        <f aca="false">INDEX(PT_DIFFERENTIATION_TER,MATCH(B43,PT_DIFFERENTIATION_TER_ID,0))</f>
        <v/>
      </c>
      <c r="AH43" s="420"/>
      <c r="AI43" s="420"/>
      <c r="AJ43" s="420"/>
      <c r="AK43" s="420"/>
      <c r="AL43" s="420"/>
      <c r="AM43" s="420"/>
      <c r="AN43" s="420"/>
      <c r="AO43" s="420"/>
      <c r="AP43" s="420"/>
      <c r="AQ43" s="420"/>
      <c r="AR43" s="420"/>
      <c r="AS43" s="421" t="s">
        <v>411</v>
      </c>
      <c r="AU43" s="118"/>
      <c r="AV43" s="118" t="str">
        <f aca="false">IF(T43="","",T43)</f>
        <v>Территория действия тарифа</v>
      </c>
      <c r="AW43" s="118"/>
      <c r="AX43" s="118"/>
      <c r="AY43" s="42" t="n">
        <v>23</v>
      </c>
    </row>
    <row r="44" customFormat="false" ht="24" hidden="false" customHeight="true" outlineLevel="0" collapsed="false">
      <c r="A44" s="412" t="s">
        <v>269</v>
      </c>
      <c r="B44" s="412" t="s">
        <v>270</v>
      </c>
      <c r="C44" s="412" t="s">
        <v>271</v>
      </c>
      <c r="D44" s="412"/>
      <c r="E44" s="413"/>
      <c r="F44" s="413"/>
      <c r="G44" s="413" t="n">
        <v>1</v>
      </c>
      <c r="H44" s="412"/>
      <c r="I44" s="412"/>
      <c r="J44" s="412"/>
      <c r="K44" s="412"/>
      <c r="L44" s="414"/>
      <c r="M44" s="40"/>
      <c r="N44" s="40"/>
      <c r="O44" s="40"/>
      <c r="P44" s="425"/>
      <c r="Q44" s="422"/>
      <c r="R44" s="423"/>
      <c r="S44" s="416" t="str">
        <f aca="false">INDEX(PT_DIFFERENTIATION_NUM_CS,MATCH(C44,PT_DIFFERENTIATION_CS_ID,0))</f>
        <v>..</v>
      </c>
      <c r="T44" s="426" t="s">
        <v>543</v>
      </c>
      <c r="U44" s="418"/>
      <c r="V44" s="419"/>
      <c r="W44" s="419"/>
      <c r="X44" s="419"/>
      <c r="Y44" s="419"/>
      <c r="Z44" s="419"/>
      <c r="AA44" s="419"/>
      <c r="AB44" s="419"/>
      <c r="AC44" s="419"/>
      <c r="AD44" s="419"/>
      <c r="AE44" s="419"/>
      <c r="AF44" s="419"/>
      <c r="AG44" s="420" t="str">
        <f aca="false">INDEX(PT_DIFFERENTIATION_CS,MATCH(C44,PT_DIFFERENTIATION_CS_ID,0))</f>
        <v/>
      </c>
      <c r="AH44" s="420"/>
      <c r="AI44" s="420"/>
      <c r="AJ44" s="420"/>
      <c r="AK44" s="420"/>
      <c r="AL44" s="420"/>
      <c r="AM44" s="420"/>
      <c r="AN44" s="420"/>
      <c r="AO44" s="420"/>
      <c r="AP44" s="420"/>
      <c r="AQ44" s="420"/>
      <c r="AR44" s="420"/>
      <c r="AS44" s="421" t="s">
        <v>544</v>
      </c>
      <c r="AU44" s="118"/>
      <c r="AV44" s="118" t="str">
        <f aca="false">IF(T44="","",T44)</f>
        <v>Наименование централизованной системы горячего водоснабжения</v>
      </c>
      <c r="AW44" s="118"/>
      <c r="AX44" s="118"/>
      <c r="AY44" s="42" t="n">
        <v>23</v>
      </c>
    </row>
    <row r="45" customFormat="false" ht="24" hidden="false" customHeight="true" outlineLevel="0" collapsed="false">
      <c r="A45" s="412" t="s">
        <v>269</v>
      </c>
      <c r="B45" s="412" t="s">
        <v>270</v>
      </c>
      <c r="C45" s="412" t="s">
        <v>271</v>
      </c>
      <c r="D45" s="412" t="s">
        <v>556</v>
      </c>
      <c r="E45" s="413"/>
      <c r="F45" s="413"/>
      <c r="G45" s="413"/>
      <c r="H45" s="571"/>
      <c r="I45" s="428" t="str">
        <f aca="false">S44&amp;".1"</f>
        <v>...1</v>
      </c>
      <c r="J45" s="412"/>
      <c r="K45" s="412"/>
      <c r="L45" s="414"/>
      <c r="P45" s="121" t="n">
        <v>1</v>
      </c>
      <c r="Q45" s="121"/>
      <c r="R45" s="429"/>
      <c r="S45" s="416" t="str">
        <f aca="false">$I45</f>
        <v>...1</v>
      </c>
      <c r="T45" s="430" t="s">
        <v>496</v>
      </c>
      <c r="U45" s="418"/>
      <c r="V45" s="572"/>
      <c r="W45" s="572"/>
      <c r="X45" s="572"/>
      <c r="Y45" s="572"/>
      <c r="Z45" s="572"/>
      <c r="AA45" s="572"/>
      <c r="AB45" s="572"/>
      <c r="AC45" s="572"/>
      <c r="AD45" s="572"/>
      <c r="AE45" s="572"/>
      <c r="AF45" s="572"/>
      <c r="AG45" s="334"/>
      <c r="AH45" s="334"/>
      <c r="AI45" s="334"/>
      <c r="AJ45" s="334"/>
      <c r="AK45" s="334"/>
      <c r="AL45" s="334"/>
      <c r="AM45" s="334"/>
      <c r="AN45" s="334"/>
      <c r="AO45" s="334"/>
      <c r="AP45" s="334"/>
      <c r="AQ45" s="334"/>
      <c r="AR45" s="334"/>
      <c r="AS45" s="421" t="s">
        <v>497</v>
      </c>
      <c r="AU45" s="118"/>
      <c r="AV45" s="118" t="str">
        <f aca="false">IF(T45="","",T45)</f>
        <v>Наименование признака дифференциации</v>
      </c>
      <c r="AW45" s="118"/>
      <c r="AX45" s="118"/>
      <c r="AY45" s="42" t="n">
        <v>23</v>
      </c>
    </row>
    <row r="46" customFormat="false" ht="24" hidden="false" customHeight="true" outlineLevel="0" collapsed="false">
      <c r="A46" s="412" t="s">
        <v>269</v>
      </c>
      <c r="B46" s="412" t="s">
        <v>270</v>
      </c>
      <c r="C46" s="412" t="s">
        <v>271</v>
      </c>
      <c r="D46" s="412" t="s">
        <v>556</v>
      </c>
      <c r="E46" s="413"/>
      <c r="F46" s="413"/>
      <c r="G46" s="413"/>
      <c r="H46" s="413"/>
      <c r="I46" s="428"/>
      <c r="J46" s="428" t="str">
        <f aca="false">I45&amp;".1"</f>
        <v>...1.1</v>
      </c>
      <c r="K46" s="412"/>
      <c r="L46" s="414" t="s">
        <v>419</v>
      </c>
      <c r="P46" s="121"/>
      <c r="Q46" s="121" t="n">
        <v>1</v>
      </c>
      <c r="R46" s="432"/>
      <c r="S46" s="416" t="str">
        <f aca="false">$J46</f>
        <v>...1.1</v>
      </c>
      <c r="T46" s="433" t="s">
        <v>420</v>
      </c>
      <c r="U46" s="418"/>
      <c r="V46" s="431"/>
      <c r="W46" s="431"/>
      <c r="X46" s="431"/>
      <c r="Y46" s="431"/>
      <c r="Z46" s="431"/>
      <c r="AA46" s="431"/>
      <c r="AB46" s="431"/>
      <c r="AC46" s="431"/>
      <c r="AD46" s="431"/>
      <c r="AE46" s="431"/>
      <c r="AF46" s="431"/>
      <c r="AG46" s="431"/>
      <c r="AH46" s="431"/>
      <c r="AI46" s="431"/>
      <c r="AJ46" s="431"/>
      <c r="AK46" s="431"/>
      <c r="AL46" s="431"/>
      <c r="AM46" s="431"/>
      <c r="AN46" s="431"/>
      <c r="AO46" s="431"/>
      <c r="AP46" s="431"/>
      <c r="AQ46" s="431"/>
      <c r="AR46" s="431"/>
      <c r="AS46" s="523" t="s">
        <v>498</v>
      </c>
      <c r="AU46" s="118"/>
      <c r="AV46" s="118" t="str">
        <f aca="false">IF(T46="","",T46)</f>
        <v>Группа потребителей</v>
      </c>
      <c r="AW46" s="118"/>
      <c r="AX46" s="118"/>
      <c r="AY46" s="42" t="n">
        <v>23</v>
      </c>
    </row>
    <row r="47" customFormat="false" ht="24" hidden="false" customHeight="true" outlineLevel="0" collapsed="false">
      <c r="A47" s="412" t="s">
        <v>269</v>
      </c>
      <c r="B47" s="412" t="s">
        <v>270</v>
      </c>
      <c r="C47" s="412" t="s">
        <v>271</v>
      </c>
      <c r="D47" s="412" t="s">
        <v>556</v>
      </c>
      <c r="E47" s="413"/>
      <c r="F47" s="413"/>
      <c r="G47" s="413"/>
      <c r="H47" s="413"/>
      <c r="I47" s="428"/>
      <c r="J47" s="428"/>
      <c r="K47" s="428" t="str">
        <f aca="false">J46&amp;".1"</f>
        <v>...1.1.1</v>
      </c>
      <c r="L47" s="414"/>
      <c r="P47" s="121"/>
      <c r="Q47" s="121"/>
      <c r="R47" s="432" t="n">
        <v>1</v>
      </c>
      <c r="S47" s="416" t="str">
        <f aca="false">$K47</f>
        <v>...1.1.1</v>
      </c>
      <c r="T47" s="573"/>
      <c r="U47" s="418"/>
      <c r="V47" s="458"/>
      <c r="W47" s="458"/>
      <c r="X47" s="458"/>
      <c r="Y47" s="458"/>
      <c r="Z47" s="458"/>
      <c r="AA47" s="458"/>
      <c r="AB47" s="459"/>
      <c r="AC47" s="460"/>
      <c r="AD47" s="461" t="s">
        <v>61</v>
      </c>
      <c r="AE47" s="460"/>
      <c r="AF47" s="461" t="s">
        <v>61</v>
      </c>
      <c r="AG47" s="435"/>
      <c r="AH47" s="435"/>
      <c r="AI47" s="435"/>
      <c r="AJ47" s="435"/>
      <c r="AK47" s="435"/>
      <c r="AL47" s="435"/>
      <c r="AM47" s="437"/>
      <c r="AN47" s="438"/>
      <c r="AO47" s="204" t="s">
        <v>61</v>
      </c>
      <c r="AP47" s="438"/>
      <c r="AQ47" s="204" t="s">
        <v>19</v>
      </c>
      <c r="AR47" s="574"/>
      <c r="AS47" s="57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7" t="e">
        <f aca="false">strcheckdate(V48:AR48)</f>
        <v>#NAME?</v>
      </c>
      <c r="AU47" s="118"/>
      <c r="AV47" s="118" t="str">
        <f aca="false">IF(T47="","",T47)</f>
        <v/>
      </c>
      <c r="AW47" s="118"/>
      <c r="AX47" s="118"/>
      <c r="AY47" s="42" t="n">
        <v>23</v>
      </c>
    </row>
    <row r="48" customFormat="false" ht="12.8" hidden="false" customHeight="false" outlineLevel="0" collapsed="false">
      <c r="A48" s="412" t="s">
        <v>269</v>
      </c>
      <c r="B48" s="412" t="s">
        <v>270</v>
      </c>
      <c r="C48" s="412" t="s">
        <v>271</v>
      </c>
      <c r="D48" s="412" t="s">
        <v>556</v>
      </c>
      <c r="E48" s="413"/>
      <c r="F48" s="413"/>
      <c r="G48" s="413"/>
      <c r="H48" s="413"/>
      <c r="I48" s="428"/>
      <c r="J48" s="428"/>
      <c r="K48" s="428"/>
      <c r="L48" s="414"/>
      <c r="P48" s="121"/>
      <c r="Q48" s="121"/>
      <c r="R48" s="432"/>
      <c r="S48" s="393"/>
      <c r="T48" s="418"/>
      <c r="U48" s="418"/>
      <c r="V48" s="458"/>
      <c r="W48" s="458"/>
      <c r="X48" s="458"/>
      <c r="Y48" s="458"/>
      <c r="Z48" s="458"/>
      <c r="AA48" s="458"/>
      <c r="AB48" s="440" t="str">
        <f aca="false">AC47&amp;"-"&amp;AE47</f>
        <v>-</v>
      </c>
      <c r="AC48" s="460"/>
      <c r="AD48" s="460"/>
      <c r="AE48" s="460"/>
      <c r="AF48" s="460"/>
      <c r="AG48" s="436"/>
      <c r="AH48" s="436"/>
      <c r="AI48" s="436"/>
      <c r="AJ48" s="436"/>
      <c r="AK48" s="436"/>
      <c r="AL48" s="436"/>
      <c r="AM48" s="440" t="str">
        <f aca="false">AN47&amp;"-"&amp;AP47</f>
        <v>-</v>
      </c>
      <c r="AN48" s="438"/>
      <c r="AO48" s="204"/>
      <c r="AP48" s="438"/>
      <c r="AQ48" s="204"/>
      <c r="AR48" s="576"/>
      <c r="AS48" s="575"/>
      <c r="AU48" s="118"/>
      <c r="AV48" s="118" t="str">
        <f aca="false">IF(T48="","",T48)</f>
        <v/>
      </c>
      <c r="AW48" s="118"/>
      <c r="AX48" s="118"/>
      <c r="AY48" s="42" t="n">
        <v>0</v>
      </c>
    </row>
    <row r="49" customFormat="false" ht="21" hidden="false" customHeight="true" outlineLevel="0" collapsed="false">
      <c r="A49" s="412" t="s">
        <v>269</v>
      </c>
      <c r="B49" s="412" t="s">
        <v>270</v>
      </c>
      <c r="C49" s="412" t="s">
        <v>271</v>
      </c>
      <c r="D49" s="412" t="s">
        <v>556</v>
      </c>
      <c r="E49" s="413"/>
      <c r="F49" s="413"/>
      <c r="G49" s="413"/>
      <c r="H49" s="413"/>
      <c r="I49" s="428"/>
      <c r="J49" s="428"/>
      <c r="K49" s="412"/>
      <c r="L49" s="414"/>
      <c r="P49" s="121"/>
      <c r="Q49" s="121"/>
      <c r="R49" s="429"/>
      <c r="S49" s="441"/>
      <c r="T49" s="444" t="s">
        <v>499</v>
      </c>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421" t="s">
        <v>500</v>
      </c>
      <c r="AU49" s="118"/>
      <c r="AV49" s="118" t="str">
        <f aca="false">IF(T49="","",T49)</f>
        <v>Добавить значение признака дифференциации</v>
      </c>
      <c r="AW49" s="118"/>
      <c r="AX49" s="118"/>
      <c r="AY49" s="42" t="n">
        <v>20</v>
      </c>
    </row>
    <row r="50" customFormat="false" ht="21.75" hidden="false" customHeight="true" outlineLevel="0" collapsed="false">
      <c r="A50" s="412" t="s">
        <v>269</v>
      </c>
      <c r="B50" s="412" t="s">
        <v>270</v>
      </c>
      <c r="C50" s="412" t="s">
        <v>271</v>
      </c>
      <c r="D50" s="412" t="s">
        <v>556</v>
      </c>
      <c r="E50" s="413"/>
      <c r="F50" s="413"/>
      <c r="G50" s="413"/>
      <c r="H50" s="413"/>
      <c r="I50" s="428"/>
      <c r="J50" s="412"/>
      <c r="K50" s="412"/>
      <c r="L50" s="414"/>
      <c r="P50" s="121"/>
      <c r="Q50" s="121"/>
      <c r="R50" s="429"/>
      <c r="S50" s="441"/>
      <c r="T50" s="448" t="s">
        <v>425</v>
      </c>
      <c r="U50" s="194"/>
      <c r="V50" s="194"/>
      <c r="W50" s="194"/>
      <c r="X50" s="194"/>
      <c r="Y50" s="194"/>
      <c r="Z50" s="194"/>
      <c r="AA50" s="194"/>
      <c r="AB50" s="194"/>
      <c r="AC50" s="194"/>
      <c r="AD50" s="194"/>
      <c r="AE50" s="194"/>
      <c r="AF50" s="445"/>
      <c r="AG50" s="194"/>
      <c r="AH50" s="194"/>
      <c r="AI50" s="194"/>
      <c r="AJ50" s="194"/>
      <c r="AK50" s="194"/>
      <c r="AL50" s="194"/>
      <c r="AM50" s="194"/>
      <c r="AN50" s="194"/>
      <c r="AO50" s="194"/>
      <c r="AP50" s="194"/>
      <c r="AQ50" s="445"/>
      <c r="AR50" s="194"/>
      <c r="AS50" s="577"/>
      <c r="AU50" s="118"/>
      <c r="AV50" s="118" t="str">
        <f aca="false">IF(T50="","",T50)</f>
        <v>Добавить группу потребителей</v>
      </c>
      <c r="AW50" s="118"/>
      <c r="AX50" s="118"/>
      <c r="AY50" s="42" t="n">
        <v>21</v>
      </c>
    </row>
    <row r="51" customFormat="false" ht="21.75" hidden="false" customHeight="true" outlineLevel="0" collapsed="false">
      <c r="A51" s="412" t="s">
        <v>269</v>
      </c>
      <c r="B51" s="412" t="s">
        <v>270</v>
      </c>
      <c r="C51" s="412" t="s">
        <v>271</v>
      </c>
      <c r="D51" s="412" t="s">
        <v>556</v>
      </c>
      <c r="E51" s="413"/>
      <c r="F51" s="413"/>
      <c r="G51" s="413"/>
      <c r="H51" s="571"/>
      <c r="I51" s="412"/>
      <c r="J51" s="412"/>
      <c r="K51" s="412"/>
      <c r="L51" s="414"/>
      <c r="M51" s="40"/>
      <c r="N51" s="40"/>
      <c r="O51" s="45"/>
      <c r="P51" s="132"/>
      <c r="Q51" s="447"/>
      <c r="R51" s="415"/>
      <c r="S51" s="441"/>
      <c r="T51" s="578" t="s">
        <v>501</v>
      </c>
      <c r="U51" s="194"/>
      <c r="V51" s="194"/>
      <c r="W51" s="194"/>
      <c r="X51" s="194"/>
      <c r="Y51" s="194"/>
      <c r="Z51" s="194"/>
      <c r="AA51" s="194"/>
      <c r="AB51" s="194"/>
      <c r="AC51" s="194"/>
      <c r="AD51" s="194"/>
      <c r="AE51" s="194"/>
      <c r="AF51" s="445"/>
      <c r="AG51" s="194"/>
      <c r="AH51" s="194"/>
      <c r="AI51" s="194"/>
      <c r="AJ51" s="194"/>
      <c r="AK51" s="194"/>
      <c r="AL51" s="194"/>
      <c r="AM51" s="194"/>
      <c r="AN51" s="194"/>
      <c r="AO51" s="194"/>
      <c r="AP51" s="194"/>
      <c r="AQ51" s="445"/>
      <c r="AR51" s="194"/>
      <c r="AS51" s="446"/>
      <c r="AU51" s="118"/>
      <c r="AV51" s="118" t="str">
        <f aca="false">IF(T51="","",T51)</f>
        <v>Добавить наименование признака дифференциации</v>
      </c>
      <c r="AW51" s="118"/>
      <c r="AX51" s="118"/>
      <c r="AY51" s="42" t="n">
        <v>21</v>
      </c>
    </row>
    <row r="52" s="47" customFormat="true" ht="12.8" hidden="false" customHeight="false" outlineLevel="0" collapsed="false">
      <c r="A52" s="122" t="s">
        <v>269</v>
      </c>
      <c r="B52" s="122" t="s">
        <v>270</v>
      </c>
      <c r="C52" s="122"/>
      <c r="D52" s="122"/>
      <c r="E52" s="413"/>
      <c r="F52" s="413"/>
      <c r="G52" s="122"/>
      <c r="H52" s="122"/>
      <c r="I52" s="122"/>
      <c r="J52" s="122"/>
      <c r="K52" s="122"/>
      <c r="L52" s="192"/>
      <c r="M52" s="453"/>
      <c r="N52" s="453"/>
      <c r="P52" s="156"/>
      <c r="Q52" s="449"/>
      <c r="R52" s="156"/>
      <c r="S52" s="454"/>
      <c r="T52" s="457" t="s">
        <v>428</v>
      </c>
      <c r="U52" s="456"/>
      <c r="V52" s="456"/>
      <c r="W52" s="456"/>
      <c r="X52" s="456"/>
      <c r="Y52" s="456"/>
      <c r="Z52" s="456"/>
      <c r="AA52" s="456"/>
      <c r="AB52" s="456"/>
      <c r="AC52" s="456"/>
      <c r="AD52" s="456"/>
      <c r="AE52" s="456"/>
      <c r="AF52" s="456"/>
      <c r="AG52" s="456"/>
      <c r="AH52" s="456"/>
      <c r="AI52" s="456"/>
      <c r="AJ52" s="456"/>
      <c r="AK52" s="456"/>
      <c r="AL52" s="456"/>
      <c r="AM52" s="456"/>
      <c r="AN52" s="456"/>
      <c r="AO52" s="456"/>
      <c r="AP52" s="456"/>
      <c r="AQ52" s="456"/>
      <c r="AR52" s="456"/>
      <c r="AS52" s="456"/>
      <c r="AU52" s="118"/>
      <c r="AV52" s="118" t="str">
        <f aca="false">IF(T52="","",T52)</f>
        <v>Добавить централизованную систему для дифференциации</v>
      </c>
      <c r="AW52" s="118"/>
      <c r="AX52" s="118"/>
      <c r="AY52" s="47" t="n">
        <v>0</v>
      </c>
    </row>
    <row r="53" s="47" customFormat="true" ht="12.8" hidden="false" customHeight="false" outlineLevel="0" collapsed="false">
      <c r="A53" s="122" t="s">
        <v>269</v>
      </c>
      <c r="B53" s="122"/>
      <c r="C53" s="122"/>
      <c r="D53" s="122"/>
      <c r="E53" s="413"/>
      <c r="F53" s="122"/>
      <c r="G53" s="122"/>
      <c r="H53" s="122"/>
      <c r="I53" s="122"/>
      <c r="J53" s="122"/>
      <c r="K53" s="122"/>
      <c r="L53" s="192"/>
      <c r="M53" s="453"/>
      <c r="N53" s="453"/>
      <c r="P53" s="156"/>
      <c r="Q53" s="449"/>
      <c r="R53" s="156"/>
      <c r="S53" s="454"/>
      <c r="T53" s="457" t="s">
        <v>429</v>
      </c>
      <c r="U53" s="456"/>
      <c r="V53" s="456"/>
      <c r="W53" s="456"/>
      <c r="X53" s="456"/>
      <c r="Y53" s="456"/>
      <c r="Z53" s="456"/>
      <c r="AA53" s="456"/>
      <c r="AB53" s="456"/>
      <c r="AC53" s="456"/>
      <c r="AD53" s="456"/>
      <c r="AE53" s="456"/>
      <c r="AF53" s="456"/>
      <c r="AG53" s="456"/>
      <c r="AH53" s="456"/>
      <c r="AI53" s="456"/>
      <c r="AJ53" s="456"/>
      <c r="AK53" s="456"/>
      <c r="AL53" s="456"/>
      <c r="AM53" s="456"/>
      <c r="AN53" s="456"/>
      <c r="AO53" s="456"/>
      <c r="AP53" s="456"/>
      <c r="AQ53" s="456"/>
      <c r="AR53" s="456"/>
      <c r="AS53" s="456"/>
      <c r="AU53" s="118"/>
      <c r="AV53" s="118" t="str">
        <f aca="false">IF(T53="","",T53)</f>
        <v>Добавить территорию для дифференциации</v>
      </c>
      <c r="AW53" s="118"/>
      <c r="AX53" s="118"/>
      <c r="AY53" s="47" t="n">
        <v>0</v>
      </c>
    </row>
    <row r="54" s="47" customFormat="true" ht="12.8" hidden="false" customHeight="false" outlineLevel="0" collapsed="false">
      <c r="A54" s="122"/>
      <c r="B54" s="122"/>
      <c r="C54" s="122"/>
      <c r="D54" s="122"/>
      <c r="E54" s="122"/>
      <c r="F54" s="122"/>
      <c r="G54" s="122"/>
      <c r="H54" s="122"/>
      <c r="I54" s="122"/>
      <c r="J54" s="122"/>
      <c r="K54" s="122"/>
      <c r="L54" s="192"/>
      <c r="M54" s="453"/>
      <c r="N54" s="453"/>
      <c r="P54" s="156"/>
      <c r="Q54" s="449"/>
      <c r="R54" s="156"/>
      <c r="S54" s="454"/>
      <c r="T54" s="457" t="s">
        <v>461</v>
      </c>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U54" s="118"/>
      <c r="AV54" s="118" t="str">
        <f aca="false">IF(T54="","",T54)</f>
        <v>Добавить наименование тарифа</v>
      </c>
      <c r="AW54" s="118"/>
      <c r="AX54" s="118"/>
      <c r="AY54" s="47" t="n">
        <v>0</v>
      </c>
    </row>
    <row r="55" customFormat="false" ht="11.25" hidden="false" customHeight="true" outlineLevel="0" collapsed="false">
      <c r="M55" s="45"/>
      <c r="N55" s="45"/>
      <c r="O55" s="45"/>
      <c r="P55" s="42"/>
      <c r="Q55" s="42"/>
      <c r="R55" s="42"/>
      <c r="S55" s="42"/>
      <c r="AT55" s="42"/>
      <c r="AU55" s="42"/>
      <c r="AV55" s="42"/>
      <c r="AW55" s="42"/>
      <c r="AX55" s="42"/>
      <c r="AY55" s="42" t="n">
        <v>11</v>
      </c>
    </row>
    <row r="56" customFormat="false" ht="14.25" hidden="false" customHeight="true" outlineLevel="0" collapsed="false">
      <c r="O56" s="45"/>
      <c r="S56" s="409"/>
      <c r="T56" s="488"/>
      <c r="U56" s="488"/>
      <c r="V56" s="488"/>
      <c r="W56" s="488"/>
      <c r="X56" s="488"/>
      <c r="Y56" s="488"/>
      <c r="Z56" s="488"/>
      <c r="AA56" s="488"/>
      <c r="AB56" s="488"/>
      <c r="AC56" s="488"/>
      <c r="AD56" s="488"/>
      <c r="AE56" s="488"/>
      <c r="AF56" s="488"/>
      <c r="AG56" s="488"/>
      <c r="AH56" s="488"/>
      <c r="AI56" s="488"/>
      <c r="AJ56" s="488"/>
      <c r="AK56" s="488"/>
      <c r="AL56" s="488"/>
      <c r="AM56" s="488"/>
      <c r="AN56" s="488"/>
      <c r="AO56" s="488"/>
      <c r="AP56" s="488"/>
      <c r="AQ56" s="488"/>
      <c r="AR56" s="488"/>
      <c r="AS56" s="488"/>
      <c r="AY56" s="42" t="n">
        <v>14</v>
      </c>
    </row>
    <row r="57" customFormat="false" ht="14.25" hidden="false" customHeight="true" outlineLevel="0" collapsed="false">
      <c r="O57" s="45"/>
      <c r="AY57" s="42" t="n">
        <v>14</v>
      </c>
    </row>
    <row r="58" customFormat="false" ht="14.25" hidden="false" customHeight="true" outlineLevel="0" collapsed="false">
      <c r="O58" s="45"/>
      <c r="S58" s="409"/>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Y58" s="42" t="n">
        <v>14</v>
      </c>
    </row>
    <row r="59" customFormat="false" ht="22.5" hidden="true" customHeight="true" outlineLevel="0" collapsed="false">
      <c r="A59" s="45" t="s">
        <v>81</v>
      </c>
      <c r="B59" s="45" t="n">
        <v>0</v>
      </c>
      <c r="C59" s="45" t="n">
        <v>0</v>
      </c>
      <c r="D59" s="45" t="n">
        <v>0</v>
      </c>
      <c r="E59" s="45" t="n">
        <v>0</v>
      </c>
      <c r="F59" s="45" t="n">
        <v>0</v>
      </c>
      <c r="G59" s="45" t="n">
        <v>0</v>
      </c>
      <c r="H59" s="45" t="n">
        <v>0</v>
      </c>
      <c r="I59" s="45" t="n">
        <v>0</v>
      </c>
      <c r="J59" s="45" t="n">
        <v>0</v>
      </c>
      <c r="K59" s="45" t="n">
        <v>0</v>
      </c>
      <c r="L59" s="44" t="n">
        <v>0</v>
      </c>
      <c r="M59" s="51" t="n">
        <v>0</v>
      </c>
      <c r="N59" s="51" t="n">
        <v>0</v>
      </c>
      <c r="O59" s="51" t="n">
        <v>0</v>
      </c>
      <c r="P59" s="50" t="n">
        <v>3</v>
      </c>
      <c r="Q59" s="411" t="n">
        <v>3</v>
      </c>
      <c r="R59" s="411" t="n">
        <v>3</v>
      </c>
      <c r="S59" s="75" t="n">
        <v>12</v>
      </c>
      <c r="T59" s="42" t="n">
        <v>35</v>
      </c>
      <c r="U59" s="42" t="n">
        <v>0</v>
      </c>
      <c r="V59" s="42" t="n">
        <v>0</v>
      </c>
      <c r="W59" s="42" t="n">
        <v>0</v>
      </c>
      <c r="X59" s="42" t="n">
        <v>0</v>
      </c>
      <c r="Y59" s="42" t="n">
        <v>0</v>
      </c>
      <c r="Z59" s="42" t="n">
        <v>0</v>
      </c>
      <c r="AA59" s="42" t="n">
        <v>0</v>
      </c>
      <c r="AB59" s="42" t="n">
        <v>0</v>
      </c>
      <c r="AC59" s="42" t="n">
        <v>0</v>
      </c>
      <c r="AD59" s="42" t="n">
        <v>0</v>
      </c>
      <c r="AE59" s="42" t="n">
        <v>0</v>
      </c>
      <c r="AF59" s="42" t="n">
        <v>0</v>
      </c>
      <c r="AG59" s="42" t="n">
        <v>19</v>
      </c>
      <c r="AH59" s="42" t="n">
        <v>19</v>
      </c>
      <c r="AI59" s="42" t="n">
        <v>19</v>
      </c>
      <c r="AJ59" s="42" t="n">
        <v>19</v>
      </c>
      <c r="AK59" s="42" t="n">
        <v>19</v>
      </c>
      <c r="AL59" s="42" t="n">
        <v>19</v>
      </c>
      <c r="AM59" s="42" t="n">
        <v>19</v>
      </c>
      <c r="AN59" s="42" t="n">
        <v>11</v>
      </c>
      <c r="AO59" s="42" t="n">
        <v>3</v>
      </c>
      <c r="AP59" s="42" t="n">
        <v>11</v>
      </c>
      <c r="AQ59" s="42" t="n">
        <v>0</v>
      </c>
      <c r="AR59" s="42" t="n">
        <v>4</v>
      </c>
      <c r="AS59" s="42" t="n">
        <v>115</v>
      </c>
      <c r="AT59" s="47" t="n">
        <v>10</v>
      </c>
      <c r="AU59" s="47" t="n">
        <v>10</v>
      </c>
      <c r="AV59" s="47" t="n">
        <v>10</v>
      </c>
      <c r="AW59" s="47" t="n">
        <v>10</v>
      </c>
      <c r="AX59" s="47" t="n">
        <v>10</v>
      </c>
      <c r="AY59" s="42" t="n">
        <v>23</v>
      </c>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 allowBlank="true" errorStyle="stop" operator="between" promptTitle="checkPeriodRange" showDropDown="false" showErrorMessage="false" showInputMessage="false" sqref="AB8 AM8 AM16 AB48 AM48"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true" outlineLevel="0" max="16" min="16" style="51" width="3.71"/>
    <col collapsed="false" customWidth="true" hidden="true" outlineLevel="0" max="17" min="17" style="463" width="3.71"/>
    <col collapsed="false" customWidth="true" hidden="false" outlineLevel="0" max="18" min="18" style="411" width="3"/>
    <col collapsed="false" customWidth="true" hidden="false" outlineLevel="0" max="19" min="19" style="75" width="12"/>
    <col collapsed="false" customWidth="true" hidden="false" outlineLevel="0" max="20" min="20" style="42" width="31"/>
    <col collapsed="false" customWidth="true" hidden="false" outlineLevel="0" max="21" min="21" style="42" width="0.14"/>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7"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12"/>
      <c r="B2" s="412"/>
      <c r="C2" s="412"/>
      <c r="D2" s="412"/>
      <c r="E2" s="413" t="n">
        <v>1</v>
      </c>
      <c r="F2" s="412"/>
      <c r="G2" s="412"/>
      <c r="H2" s="412"/>
      <c r="I2" s="412"/>
      <c r="J2" s="412"/>
      <c r="K2" s="412"/>
      <c r="L2" s="414"/>
      <c r="M2" s="40"/>
      <c r="N2" s="40"/>
      <c r="O2" s="40"/>
      <c r="Q2" s="54"/>
      <c r="R2" s="415"/>
      <c r="S2" s="416" t="e">
        <f aca="false">INDEX(PT_DIFFERENTIATION_NUM_NTAR,MATCH(A2,PT_DIFFERENTIATION_NTAR_ID,0))</f>
        <v>#N/A</v>
      </c>
      <c r="T2" s="417" t="s">
        <v>138</v>
      </c>
      <c r="U2" s="418"/>
      <c r="V2" s="581"/>
      <c r="W2" s="581"/>
      <c r="X2" s="581"/>
      <c r="Y2" s="581"/>
      <c r="Z2" s="581"/>
      <c r="AA2" s="581"/>
      <c r="AB2" s="581"/>
      <c r="AC2" s="581"/>
      <c r="AD2" s="420" t="e">
        <f aca="false">INDEX(PT_DIFFERENTIATION_NTAR,MATCH(A2,PT_DIFFERENTIATION_NTAR_ID,0))</f>
        <v>#N/A</v>
      </c>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18"/>
      <c r="BF2" s="118" t="str">
        <f aca="false">IF(T2="","",T2)</f>
        <v>Наименование тарифа</v>
      </c>
      <c r="BG2" s="118"/>
      <c r="BH2" s="118"/>
      <c r="BI2" s="42" t="n">
        <v>0</v>
      </c>
    </row>
    <row r="3" customFormat="false" ht="21" hidden="true" customHeight="true" outlineLevel="0" collapsed="false">
      <c r="A3" s="412"/>
      <c r="B3" s="412"/>
      <c r="C3" s="412"/>
      <c r="D3" s="412"/>
      <c r="E3" s="413"/>
      <c r="F3" s="413" t="n">
        <v>1</v>
      </c>
      <c r="G3" s="412"/>
      <c r="H3" s="412"/>
      <c r="I3" s="412"/>
      <c r="J3" s="412"/>
      <c r="K3" s="412"/>
      <c r="L3" s="414"/>
      <c r="M3" s="40"/>
      <c r="N3" s="40"/>
      <c r="O3" s="40"/>
      <c r="P3" s="44"/>
      <c r="Q3" s="533"/>
      <c r="R3" s="423"/>
      <c r="S3" s="416" t="e">
        <f aca="false">INDEX(PT_DIFFERENTIATION_NUM_TER,MATCH(B3,PT_DIFFERENTIATION_TER_ID,0))</f>
        <v>#N/A</v>
      </c>
      <c r="T3" s="424" t="s">
        <v>410</v>
      </c>
      <c r="U3" s="418"/>
      <c r="V3" s="581"/>
      <c r="W3" s="581"/>
      <c r="X3" s="581"/>
      <c r="Y3" s="581"/>
      <c r="Z3" s="581"/>
      <c r="AA3" s="581"/>
      <c r="AB3" s="581"/>
      <c r="AC3" s="581"/>
      <c r="AD3" s="420" t="e">
        <f aca="false">INDEX(PT_DIFFERENTIATION_TER,MATCH(B3,PT_DIFFERENTIATION_TER_ID,0))</f>
        <v>#N/A</v>
      </c>
      <c r="AE3" s="420"/>
      <c r="AF3" s="420"/>
      <c r="AG3" s="420"/>
      <c r="AH3" s="420"/>
      <c r="AI3" s="420"/>
      <c r="AJ3" s="420"/>
      <c r="AK3" s="420"/>
      <c r="AL3" s="420"/>
      <c r="AM3" s="420"/>
      <c r="AN3" s="420"/>
      <c r="AO3" s="420"/>
      <c r="AP3" s="420"/>
      <c r="AQ3" s="420"/>
      <c r="AR3" s="420"/>
      <c r="AS3" s="420"/>
      <c r="AT3" s="420"/>
      <c r="AU3" s="420"/>
      <c r="AV3" s="420"/>
      <c r="AW3" s="420"/>
      <c r="AX3" s="420"/>
      <c r="AY3" s="420"/>
      <c r="AZ3" s="420"/>
      <c r="BA3" s="420"/>
      <c r="BB3" s="420"/>
      <c r="BC3" s="421" t="s">
        <v>411</v>
      </c>
      <c r="BE3" s="118"/>
      <c r="BF3" s="118" t="str">
        <f aca="false">IF(T3="","",T3)</f>
        <v>Территория действия тарифа</v>
      </c>
      <c r="BG3" s="118"/>
      <c r="BH3" s="118"/>
      <c r="BI3" s="42" t="n">
        <v>0</v>
      </c>
    </row>
    <row r="4" customFormat="false" ht="33.75" hidden="true" customHeight="true" outlineLevel="0" collapsed="false">
      <c r="A4" s="412"/>
      <c r="B4" s="412"/>
      <c r="C4" s="412"/>
      <c r="D4" s="412"/>
      <c r="E4" s="413"/>
      <c r="F4" s="413"/>
      <c r="G4" s="413" t="n">
        <v>1</v>
      </c>
      <c r="H4" s="412"/>
      <c r="I4" s="412"/>
      <c r="J4" s="412"/>
      <c r="K4" s="412"/>
      <c r="L4" s="414"/>
      <c r="M4" s="40"/>
      <c r="N4" s="40"/>
      <c r="O4" s="40"/>
      <c r="P4" s="127"/>
      <c r="Q4" s="533"/>
      <c r="R4" s="423"/>
      <c r="S4" s="416" t="e">
        <f aca="false">INDEX(PT_DIFFERENTIATION_NUM_CS,MATCH(C4,PT_DIFFERENTIATION_CS_ID,0))</f>
        <v>#N/A</v>
      </c>
      <c r="T4" s="426" t="s">
        <v>543</v>
      </c>
      <c r="U4" s="418"/>
      <c r="V4" s="581"/>
      <c r="W4" s="581"/>
      <c r="X4" s="581"/>
      <c r="Y4" s="581"/>
      <c r="Z4" s="581"/>
      <c r="AA4" s="581"/>
      <c r="AB4" s="581"/>
      <c r="AC4" s="581"/>
      <c r="AD4" s="420" t="e">
        <f aca="false">INDEX(PT_DIFFERENTIATION_CS,MATCH(C4,PT_DIFFERENTIATION_CS_ID,0))</f>
        <v>#N/A</v>
      </c>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1" t="s">
        <v>544</v>
      </c>
      <c r="BE4" s="118"/>
      <c r="BF4" s="118" t="str">
        <f aca="false">IF(T4="","",T4)</f>
        <v>Наименование централизованной системы горячего водоснабжения</v>
      </c>
      <c r="BG4" s="118"/>
      <c r="BH4" s="118"/>
      <c r="BI4" s="42" t="n">
        <v>0</v>
      </c>
    </row>
    <row r="5" s="47" customFormat="true" ht="14.25" hidden="true" customHeight="true" outlineLevel="0" collapsed="false">
      <c r="A5" s="122"/>
      <c r="B5" s="122"/>
      <c r="C5" s="122"/>
      <c r="D5" s="122"/>
      <c r="E5" s="413"/>
      <c r="F5" s="413"/>
      <c r="G5" s="413"/>
      <c r="H5" s="413" t="n">
        <v>1</v>
      </c>
      <c r="I5" s="122"/>
      <c r="J5" s="122"/>
      <c r="K5" s="122"/>
      <c r="L5" s="192"/>
      <c r="M5" s="46"/>
      <c r="N5" s="46"/>
      <c r="O5" s="46"/>
      <c r="P5" s="591"/>
      <c r="Q5" s="592"/>
      <c r="R5" s="432"/>
      <c r="S5" s="301"/>
      <c r="T5" s="593"/>
      <c r="U5" s="499"/>
      <c r="V5" s="534"/>
      <c r="W5" s="534"/>
      <c r="X5" s="534"/>
      <c r="Y5" s="534"/>
      <c r="Z5" s="534"/>
      <c r="AA5" s="534"/>
      <c r="AB5" s="534"/>
      <c r="AC5" s="534"/>
      <c r="AD5" s="500"/>
      <c r="AE5" s="500"/>
      <c r="AF5" s="500"/>
      <c r="AG5" s="500"/>
      <c r="AH5" s="500"/>
      <c r="AI5" s="500"/>
      <c r="AJ5" s="500"/>
      <c r="AK5" s="500"/>
      <c r="AL5" s="500"/>
      <c r="AM5" s="500"/>
      <c r="AN5" s="500"/>
      <c r="AO5" s="500"/>
      <c r="AP5" s="500"/>
      <c r="AQ5" s="500"/>
      <c r="AR5" s="500"/>
      <c r="AS5" s="500"/>
      <c r="AT5" s="500"/>
      <c r="AU5" s="500"/>
      <c r="AV5" s="500"/>
      <c r="AW5" s="500"/>
      <c r="AX5" s="500"/>
      <c r="AY5" s="500"/>
      <c r="AZ5" s="500"/>
      <c r="BA5" s="500"/>
      <c r="BB5" s="500"/>
      <c r="BC5" s="501" t="s">
        <v>415</v>
      </c>
      <c r="BE5" s="118"/>
      <c r="BF5" s="118" t="str">
        <f aca="false">IF(T5="","",T5)</f>
        <v/>
      </c>
      <c r="BG5" s="118"/>
      <c r="BH5" s="118"/>
      <c r="BI5" s="47" t="n">
        <v>0</v>
      </c>
    </row>
    <row r="6" s="47" customFormat="true" ht="14.25" hidden="true" customHeight="true" outlineLevel="0" collapsed="false">
      <c r="A6" s="122"/>
      <c r="B6" s="122"/>
      <c r="C6" s="122"/>
      <c r="D6" s="122"/>
      <c r="E6" s="413"/>
      <c r="F6" s="413"/>
      <c r="G6" s="413"/>
      <c r="H6" s="413"/>
      <c r="I6" s="428" t="str">
        <f aca="false">S5&amp;".1"</f>
        <v>.1</v>
      </c>
      <c r="J6" s="122"/>
      <c r="K6" s="122"/>
      <c r="L6" s="192" t="s">
        <v>416</v>
      </c>
      <c r="M6" s="506"/>
      <c r="N6" s="506"/>
      <c r="O6" s="506"/>
      <c r="P6" s="121" t="n">
        <v>1</v>
      </c>
      <c r="Q6" s="121"/>
      <c r="R6" s="429"/>
      <c r="S6" s="301"/>
      <c r="T6" s="498"/>
      <c r="U6" s="499"/>
      <c r="V6" s="534"/>
      <c r="W6" s="534"/>
      <c r="X6" s="534"/>
      <c r="Y6" s="534"/>
      <c r="Z6" s="534"/>
      <c r="AA6" s="534"/>
      <c r="AB6" s="534"/>
      <c r="AC6" s="534"/>
      <c r="AD6" s="500"/>
      <c r="AE6" s="500"/>
      <c r="AF6" s="500"/>
      <c r="AG6" s="500"/>
      <c r="AH6" s="500"/>
      <c r="AI6" s="500"/>
      <c r="AJ6" s="500"/>
      <c r="AK6" s="500"/>
      <c r="AL6" s="500"/>
      <c r="AM6" s="500"/>
      <c r="AN6" s="500"/>
      <c r="AO6" s="500"/>
      <c r="AP6" s="500"/>
      <c r="AQ6" s="500"/>
      <c r="AR6" s="500"/>
      <c r="AS6" s="500"/>
      <c r="AT6" s="500"/>
      <c r="AU6" s="500"/>
      <c r="AV6" s="500"/>
      <c r="AW6" s="500"/>
      <c r="AX6" s="500"/>
      <c r="AY6" s="500"/>
      <c r="AZ6" s="500"/>
      <c r="BA6" s="500"/>
      <c r="BB6" s="500"/>
      <c r="BC6" s="501"/>
      <c r="BE6" s="118"/>
      <c r="BF6" s="118" t="str">
        <f aca="false">IF(T6="","",T6)</f>
        <v/>
      </c>
      <c r="BG6" s="118"/>
      <c r="BH6" s="118"/>
      <c r="BI6" s="47" t="n">
        <v>0</v>
      </c>
    </row>
    <row r="7" s="47" customFormat="true" ht="14.25" hidden="true" customHeight="true" outlineLevel="0" collapsed="false">
      <c r="A7" s="122"/>
      <c r="B7" s="122"/>
      <c r="C7" s="122"/>
      <c r="D7" s="122"/>
      <c r="E7" s="413"/>
      <c r="F7" s="413"/>
      <c r="G7" s="413"/>
      <c r="H7" s="413"/>
      <c r="I7" s="428"/>
      <c r="J7" s="428" t="str">
        <f aca="false">S5&amp;".1"</f>
        <v>.1</v>
      </c>
      <c r="K7" s="122"/>
      <c r="L7" s="192"/>
      <c r="M7" s="506"/>
      <c r="N7" s="506"/>
      <c r="O7" s="506"/>
      <c r="P7" s="121"/>
      <c r="Q7" s="121" t="n">
        <v>1</v>
      </c>
      <c r="R7" s="432"/>
      <c r="S7" s="301"/>
      <c r="T7" s="535"/>
      <c r="U7" s="499"/>
      <c r="V7" s="534"/>
      <c r="W7" s="534"/>
      <c r="X7" s="534"/>
      <c r="Y7" s="534"/>
      <c r="Z7" s="534"/>
      <c r="AA7" s="534"/>
      <c r="AB7" s="534"/>
      <c r="AC7" s="534"/>
      <c r="AD7" s="500"/>
      <c r="AE7" s="500"/>
      <c r="AF7" s="500"/>
      <c r="AG7" s="500"/>
      <c r="AH7" s="500"/>
      <c r="AI7" s="500"/>
      <c r="AJ7" s="500"/>
      <c r="AK7" s="500"/>
      <c r="AL7" s="500"/>
      <c r="AM7" s="500"/>
      <c r="AN7" s="500"/>
      <c r="AO7" s="500"/>
      <c r="AP7" s="500"/>
      <c r="AQ7" s="500"/>
      <c r="AR7" s="500"/>
      <c r="AS7" s="500"/>
      <c r="AT7" s="500"/>
      <c r="AU7" s="500"/>
      <c r="AV7" s="500"/>
      <c r="AW7" s="500"/>
      <c r="AX7" s="500"/>
      <c r="AY7" s="500"/>
      <c r="AZ7" s="500"/>
      <c r="BA7" s="500"/>
      <c r="BB7" s="500"/>
      <c r="BC7" s="501"/>
      <c r="BE7" s="118"/>
      <c r="BF7" s="118" t="str">
        <f aca="false">IF(T7="","",T7)</f>
        <v/>
      </c>
      <c r="BG7" s="118"/>
      <c r="BH7" s="118"/>
      <c r="BI7" s="47" t="n">
        <v>0</v>
      </c>
    </row>
    <row r="8" customFormat="false" ht="11.25" hidden="true" customHeight="true" outlineLevel="0" collapsed="false">
      <c r="A8" s="412"/>
      <c r="B8" s="412"/>
      <c r="C8" s="412"/>
      <c r="D8" s="412"/>
      <c r="E8" s="413"/>
      <c r="F8" s="413"/>
      <c r="G8" s="413"/>
      <c r="H8" s="413"/>
      <c r="I8" s="428"/>
      <c r="J8" s="428"/>
      <c r="K8" s="428" t="e">
        <f aca="false">S4&amp;".1"</f>
        <v>#N/A</v>
      </c>
      <c r="L8" s="414"/>
      <c r="P8" s="121"/>
      <c r="Q8" s="121"/>
      <c r="R8" s="536" t="n">
        <v>1</v>
      </c>
      <c r="S8" s="474" t="e">
        <f aca="false">$K8</f>
        <v>#N/A</v>
      </c>
      <c r="T8" s="573"/>
      <c r="U8" s="418"/>
      <c r="V8" s="435"/>
      <c r="W8" s="437"/>
      <c r="X8" s="435"/>
      <c r="Y8" s="437"/>
      <c r="Z8" s="438"/>
      <c r="AA8" s="204" t="s">
        <v>61</v>
      </c>
      <c r="AB8" s="438"/>
      <c r="AC8" s="204" t="s">
        <v>61</v>
      </c>
      <c r="AD8" s="204" t="s">
        <v>61</v>
      </c>
      <c r="AE8" s="538"/>
      <c r="AF8" s="297" t="n">
        <v>1</v>
      </c>
      <c r="AG8" s="585"/>
      <c r="AH8" s="204" t="s">
        <v>61</v>
      </c>
      <c r="AI8" s="538"/>
      <c r="AJ8" s="297" t="n">
        <v>1</v>
      </c>
      <c r="AK8" s="76"/>
      <c r="AL8" s="204" t="s">
        <v>61</v>
      </c>
      <c r="AM8" s="265"/>
      <c r="AN8" s="297" t="n">
        <v>1</v>
      </c>
      <c r="AO8" s="594"/>
      <c r="AP8" s="595" t="s">
        <v>61</v>
      </c>
      <c r="AQ8" s="539"/>
      <c r="AR8" s="297" t="n">
        <v>1</v>
      </c>
      <c r="AS8" s="84"/>
      <c r="AT8" s="435"/>
      <c r="AU8" s="437"/>
      <c r="AV8" s="435"/>
      <c r="AW8" s="437"/>
      <c r="AX8" s="438"/>
      <c r="AY8" s="204" t="s">
        <v>61</v>
      </c>
      <c r="AZ8" s="438"/>
      <c r="BA8" s="204" t="s">
        <v>61</v>
      </c>
      <c r="BB8" s="486"/>
      <c r="BC8" s="439" t="s">
        <v>514</v>
      </c>
      <c r="BE8" s="118"/>
      <c r="BF8" s="118" t="str">
        <f aca="false">IF(T8="","",T8)</f>
        <v/>
      </c>
      <c r="BG8" s="118"/>
      <c r="BH8" s="118"/>
      <c r="BI8" s="42" t="n">
        <v>0</v>
      </c>
    </row>
    <row r="9" customFormat="false" ht="11.25" hidden="true" customHeight="true" outlineLevel="0" collapsed="false">
      <c r="A9" s="412"/>
      <c r="B9" s="412"/>
      <c r="C9" s="412"/>
      <c r="D9" s="412"/>
      <c r="E9" s="413"/>
      <c r="F9" s="413"/>
      <c r="G9" s="413"/>
      <c r="H9" s="413"/>
      <c r="I9" s="428"/>
      <c r="J9" s="428"/>
      <c r="K9" s="428"/>
      <c r="L9" s="414"/>
      <c r="P9" s="121"/>
      <c r="Q9" s="121"/>
      <c r="R9" s="536"/>
      <c r="S9" s="474"/>
      <c r="T9" s="573"/>
      <c r="U9" s="418"/>
      <c r="V9" s="528"/>
      <c r="W9" s="542"/>
      <c r="X9" s="528"/>
      <c r="Y9" s="542"/>
      <c r="Z9" s="528"/>
      <c r="AA9" s="528"/>
      <c r="AB9" s="528"/>
      <c r="AC9" s="528"/>
      <c r="AD9" s="204"/>
      <c r="AE9" s="538"/>
      <c r="AF9" s="297"/>
      <c r="AG9" s="585"/>
      <c r="AH9" s="204"/>
      <c r="AI9" s="538"/>
      <c r="AJ9" s="297"/>
      <c r="AK9" s="76"/>
      <c r="AL9" s="204"/>
      <c r="AM9" s="265"/>
      <c r="AN9" s="297"/>
      <c r="AO9" s="594"/>
      <c r="AP9" s="595"/>
      <c r="AQ9" s="541"/>
      <c r="AR9" s="168"/>
      <c r="AS9" s="168" t="s">
        <v>515</v>
      </c>
      <c r="AT9" s="528"/>
      <c r="AU9" s="542"/>
      <c r="AV9" s="528"/>
      <c r="AW9" s="542"/>
      <c r="AX9" s="528"/>
      <c r="AY9" s="528"/>
      <c r="AZ9" s="528"/>
      <c r="BA9" s="528"/>
      <c r="BB9" s="540"/>
      <c r="BC9" s="439"/>
      <c r="BE9" s="118"/>
      <c r="BF9" s="118"/>
      <c r="BG9" s="118"/>
      <c r="BH9" s="118"/>
      <c r="BI9" s="42" t="n">
        <v>0</v>
      </c>
    </row>
    <row r="10" customFormat="false" ht="11.25" hidden="true" customHeight="true" outlineLevel="0" collapsed="false">
      <c r="A10" s="412"/>
      <c r="B10" s="412"/>
      <c r="C10" s="412"/>
      <c r="D10" s="412"/>
      <c r="E10" s="413"/>
      <c r="F10" s="413"/>
      <c r="G10" s="413"/>
      <c r="H10" s="413"/>
      <c r="I10" s="428"/>
      <c r="J10" s="428"/>
      <c r="K10" s="428"/>
      <c r="L10" s="414"/>
      <c r="P10" s="121"/>
      <c r="Q10" s="121"/>
      <c r="R10" s="536"/>
      <c r="S10" s="474"/>
      <c r="T10" s="573"/>
      <c r="U10" s="418"/>
      <c r="V10" s="528"/>
      <c r="W10" s="542"/>
      <c r="X10" s="528"/>
      <c r="Y10" s="542"/>
      <c r="Z10" s="528"/>
      <c r="AA10" s="528"/>
      <c r="AB10" s="528"/>
      <c r="AC10" s="528"/>
      <c r="AD10" s="204"/>
      <c r="AE10" s="538"/>
      <c r="AF10" s="297"/>
      <c r="AG10" s="585"/>
      <c r="AH10" s="204"/>
      <c r="AI10" s="538"/>
      <c r="AJ10" s="297"/>
      <c r="AK10" s="76"/>
      <c r="AL10" s="204"/>
      <c r="AM10" s="541"/>
      <c r="AN10" s="596"/>
      <c r="AO10" s="596" t="s">
        <v>516</v>
      </c>
      <c r="AP10" s="168"/>
      <c r="AQ10" s="168"/>
      <c r="AR10" s="168"/>
      <c r="AS10" s="528"/>
      <c r="AT10" s="528"/>
      <c r="AU10" s="542"/>
      <c r="AV10" s="528"/>
      <c r="AW10" s="542"/>
      <c r="AX10" s="528"/>
      <c r="AY10" s="528"/>
      <c r="AZ10" s="528"/>
      <c r="BA10" s="528"/>
      <c r="BB10" s="540"/>
      <c r="BC10" s="439"/>
      <c r="BE10" s="118"/>
      <c r="BF10" s="118"/>
      <c r="BG10" s="118"/>
      <c r="BH10" s="118"/>
      <c r="BI10" s="42" t="n">
        <v>0</v>
      </c>
    </row>
    <row r="11" customFormat="false" ht="11.25" hidden="true" customHeight="true" outlineLevel="0" collapsed="false">
      <c r="A11" s="412"/>
      <c r="B11" s="412"/>
      <c r="C11" s="412"/>
      <c r="D11" s="412"/>
      <c r="E11" s="413"/>
      <c r="F11" s="413"/>
      <c r="G11" s="413"/>
      <c r="H11" s="413"/>
      <c r="I11" s="428"/>
      <c r="J11" s="428"/>
      <c r="K11" s="428"/>
      <c r="L11" s="414"/>
      <c r="P11" s="121"/>
      <c r="Q11" s="121"/>
      <c r="R11" s="536"/>
      <c r="S11" s="474"/>
      <c r="T11" s="573"/>
      <c r="U11" s="418"/>
      <c r="V11" s="528"/>
      <c r="W11" s="542"/>
      <c r="X11" s="528"/>
      <c r="Y11" s="542"/>
      <c r="Z11" s="528"/>
      <c r="AA11" s="528"/>
      <c r="AB11" s="528"/>
      <c r="AC11" s="528"/>
      <c r="AD11" s="204"/>
      <c r="AE11" s="538"/>
      <c r="AF11" s="297"/>
      <c r="AG11" s="585"/>
      <c r="AH11" s="204"/>
      <c r="AI11" s="544"/>
      <c r="AJ11" s="161"/>
      <c r="AK11" s="379" t="s">
        <v>517</v>
      </c>
      <c r="AL11" s="528"/>
      <c r="AM11" s="528"/>
      <c r="AN11" s="528"/>
      <c r="AO11" s="528"/>
      <c r="AP11" s="528"/>
      <c r="AQ11" s="528"/>
      <c r="AR11" s="528"/>
      <c r="AS11" s="528"/>
      <c r="AT11" s="528"/>
      <c r="AU11" s="542"/>
      <c r="AV11" s="528"/>
      <c r="AW11" s="542"/>
      <c r="AX11" s="528"/>
      <c r="AY11" s="528"/>
      <c r="AZ11" s="528"/>
      <c r="BA11" s="528"/>
      <c r="BB11" s="540"/>
      <c r="BC11" s="439"/>
      <c r="BE11" s="118"/>
      <c r="BF11" s="118"/>
      <c r="BG11" s="118"/>
      <c r="BH11" s="118"/>
      <c r="BI11" s="42" t="n">
        <v>0</v>
      </c>
    </row>
    <row r="12" customFormat="false" ht="11.25" hidden="true" customHeight="true" outlineLevel="0" collapsed="false">
      <c r="A12" s="412"/>
      <c r="B12" s="412"/>
      <c r="C12" s="412"/>
      <c r="D12" s="412"/>
      <c r="E12" s="413"/>
      <c r="F12" s="413"/>
      <c r="G12" s="413"/>
      <c r="H12" s="413"/>
      <c r="I12" s="428"/>
      <c r="J12" s="428"/>
      <c r="K12" s="428"/>
      <c r="L12" s="414"/>
      <c r="P12" s="121"/>
      <c r="Q12" s="121"/>
      <c r="R12" s="536"/>
      <c r="S12" s="474"/>
      <c r="T12" s="573"/>
      <c r="U12" s="418"/>
      <c r="V12" s="528"/>
      <c r="W12" s="529" t="str">
        <f aca="false">Z8&amp;"-"&amp;AB8</f>
        <v>-</v>
      </c>
      <c r="X12" s="528"/>
      <c r="Y12" s="529" t="str">
        <f aca="false">AB8&amp;"-"&amp;AD8</f>
        <v>-да</v>
      </c>
      <c r="Z12" s="528"/>
      <c r="AA12" s="528"/>
      <c r="AB12" s="528"/>
      <c r="AC12" s="528"/>
      <c r="AD12" s="204"/>
      <c r="AE12" s="546"/>
      <c r="AF12" s="547"/>
      <c r="AG12" s="168" t="s">
        <v>518</v>
      </c>
      <c r="AH12" s="528"/>
      <c r="AI12" s="528"/>
      <c r="AJ12" s="528"/>
      <c r="AK12" s="528"/>
      <c r="AL12" s="528"/>
      <c r="AM12" s="528"/>
      <c r="AN12" s="528"/>
      <c r="AO12" s="528"/>
      <c r="AP12" s="528"/>
      <c r="AQ12" s="528"/>
      <c r="AR12" s="528"/>
      <c r="AS12" s="528"/>
      <c r="AT12" s="528"/>
      <c r="AU12" s="529" t="str">
        <f aca="false">AX8&amp;"-"&amp;AZ8</f>
        <v>-</v>
      </c>
      <c r="AV12" s="528"/>
      <c r="AW12" s="529" t="str">
        <f aca="false">AZ8&amp;"-"&amp;BB8</f>
        <v>-</v>
      </c>
      <c r="AX12" s="528"/>
      <c r="AY12" s="528"/>
      <c r="AZ12" s="528"/>
      <c r="BA12" s="528"/>
      <c r="BB12" s="545" t="str">
        <f aca="false">BE8&amp;"-"&amp;BG8</f>
        <v>-</v>
      </c>
      <c r="BC12" s="439"/>
      <c r="BE12" s="118"/>
      <c r="BF12" s="118" t="str">
        <f aca="false">IF(T12="","",T12)</f>
        <v/>
      </c>
      <c r="BG12" s="118"/>
      <c r="BH12" s="118"/>
      <c r="BI12" s="42" t="n">
        <v>0</v>
      </c>
    </row>
    <row r="13" customFormat="false" ht="11.25" hidden="true" customHeight="true" outlineLevel="0" collapsed="false">
      <c r="A13" s="412"/>
      <c r="B13" s="412"/>
      <c r="C13" s="412"/>
      <c r="D13" s="412"/>
      <c r="E13" s="413"/>
      <c r="F13" s="413"/>
      <c r="G13" s="413"/>
      <c r="H13" s="413"/>
      <c r="I13" s="428"/>
      <c r="J13" s="428"/>
      <c r="K13" s="412"/>
      <c r="L13" s="414"/>
      <c r="P13" s="121"/>
      <c r="Q13" s="121"/>
      <c r="R13" s="429"/>
      <c r="S13" s="441"/>
      <c r="T13" s="444" t="s">
        <v>481</v>
      </c>
      <c r="U13" s="194"/>
      <c r="V13" s="194"/>
      <c r="W13" s="194"/>
      <c r="X13" s="194"/>
      <c r="Y13" s="194"/>
      <c r="Z13" s="194"/>
      <c r="AA13" s="194"/>
      <c r="AB13" s="194"/>
      <c r="AC13" s="194"/>
      <c r="AD13" s="569"/>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443"/>
      <c r="BC13" s="439"/>
      <c r="BE13" s="118"/>
      <c r="BF13" s="118" t="str">
        <f aca="false">IF(T13="","",T13)</f>
        <v>Добавить строку</v>
      </c>
      <c r="BG13" s="118"/>
      <c r="BH13" s="118"/>
      <c r="BI13" s="42" t="n">
        <v>0</v>
      </c>
    </row>
    <row r="14" s="47" customFormat="true" ht="14.25" hidden="true" customHeight="true" outlineLevel="0" collapsed="false">
      <c r="A14" s="122"/>
      <c r="B14" s="122"/>
      <c r="C14" s="122"/>
      <c r="D14" s="122"/>
      <c r="E14" s="413"/>
      <c r="F14" s="413"/>
      <c r="G14" s="413"/>
      <c r="H14" s="413"/>
      <c r="I14" s="428"/>
      <c r="J14" s="122"/>
      <c r="K14" s="122"/>
      <c r="L14" s="192"/>
      <c r="M14" s="506"/>
      <c r="N14" s="506"/>
      <c r="O14" s="506"/>
      <c r="P14" s="121"/>
      <c r="Q14" s="121"/>
      <c r="R14" s="429"/>
      <c r="S14" s="502"/>
      <c r="T14" s="503"/>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4"/>
      <c r="BC14" s="505"/>
      <c r="BE14" s="118"/>
      <c r="BF14" s="118" t="str">
        <f aca="false">IF(T14="","",T14)</f>
        <v/>
      </c>
      <c r="BG14" s="118"/>
      <c r="BH14" s="118"/>
      <c r="BI14" s="47" t="n">
        <v>0</v>
      </c>
    </row>
    <row r="15" s="47" customFormat="true" ht="14.25" hidden="true" customHeight="true" outlineLevel="0" collapsed="false">
      <c r="A15" s="122"/>
      <c r="B15" s="122"/>
      <c r="C15" s="122"/>
      <c r="D15" s="122"/>
      <c r="E15" s="413"/>
      <c r="F15" s="413"/>
      <c r="G15" s="413"/>
      <c r="H15" s="413"/>
      <c r="I15" s="122"/>
      <c r="J15" s="122"/>
      <c r="K15" s="122"/>
      <c r="L15" s="192"/>
      <c r="M15" s="46"/>
      <c r="N15" s="46"/>
      <c r="P15" s="156"/>
      <c r="Q15" s="449"/>
      <c r="R15" s="548"/>
      <c r="S15" s="502"/>
      <c r="T15" s="503"/>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4"/>
      <c r="AY15" s="504"/>
      <c r="AZ15" s="504"/>
      <c r="BA15" s="504"/>
      <c r="BB15" s="504"/>
      <c r="BC15" s="505"/>
      <c r="BE15" s="118"/>
      <c r="BF15" s="118" t="str">
        <f aca="false">IF(T15="","",T15)</f>
        <v/>
      </c>
      <c r="BG15" s="118"/>
      <c r="BH15" s="118"/>
      <c r="BI15" s="47" t="n">
        <v>0</v>
      </c>
    </row>
    <row r="16" s="47" customFormat="true" ht="14.25" hidden="true" customHeight="true" outlineLevel="0" collapsed="false">
      <c r="A16" s="122"/>
      <c r="B16" s="122"/>
      <c r="C16" s="122"/>
      <c r="D16" s="122"/>
      <c r="E16" s="413"/>
      <c r="F16" s="413"/>
      <c r="G16" s="413"/>
      <c r="H16" s="122"/>
      <c r="I16" s="122"/>
      <c r="J16" s="122"/>
      <c r="K16" s="122"/>
      <c r="L16" s="192"/>
      <c r="M16" s="46"/>
      <c r="N16" s="46"/>
      <c r="P16" s="156"/>
      <c r="Q16" s="449"/>
      <c r="R16" s="156"/>
      <c r="S16" s="454"/>
      <c r="T16" s="457"/>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6"/>
      <c r="AR16" s="456"/>
      <c r="AS16" s="456"/>
      <c r="AT16" s="456"/>
      <c r="AU16" s="456"/>
      <c r="AV16" s="456"/>
      <c r="AW16" s="456"/>
      <c r="AX16" s="456"/>
      <c r="AY16" s="456"/>
      <c r="AZ16" s="456"/>
      <c r="BA16" s="456"/>
      <c r="BB16" s="456"/>
      <c r="BC16" s="456"/>
      <c r="BE16" s="118"/>
      <c r="BF16" s="118" t="str">
        <f aca="false">IF(T16="","",T16)</f>
        <v/>
      </c>
      <c r="BG16" s="118"/>
      <c r="BH16" s="118"/>
      <c r="BI16" s="47" t="n">
        <v>0</v>
      </c>
    </row>
    <row r="17" s="47" customFormat="true" ht="14.25" hidden="true" customHeight="true" outlineLevel="0" collapsed="false">
      <c r="A17" s="122"/>
      <c r="B17" s="122"/>
      <c r="C17" s="122"/>
      <c r="D17" s="122"/>
      <c r="E17" s="413"/>
      <c r="F17" s="413"/>
      <c r="G17" s="122"/>
      <c r="H17" s="122"/>
      <c r="I17" s="122"/>
      <c r="J17" s="122"/>
      <c r="K17" s="122"/>
      <c r="L17" s="192"/>
      <c r="M17" s="453"/>
      <c r="N17" s="453"/>
      <c r="P17" s="156"/>
      <c r="Q17" s="449"/>
      <c r="R17" s="156"/>
      <c r="S17" s="454"/>
      <c r="T17" s="457" t="s">
        <v>428</v>
      </c>
      <c r="U17" s="456"/>
      <c r="V17" s="456"/>
      <c r="W17" s="456"/>
      <c r="X17" s="456"/>
      <c r="Y17" s="456"/>
      <c r="Z17" s="456"/>
      <c r="AA17" s="456"/>
      <c r="AB17" s="456"/>
      <c r="AC17" s="456"/>
      <c r="AD17" s="456"/>
      <c r="AE17" s="456"/>
      <c r="AF17" s="456"/>
      <c r="AG17" s="456"/>
      <c r="AH17" s="456"/>
      <c r="AI17" s="456"/>
      <c r="AJ17" s="456"/>
      <c r="AK17" s="456"/>
      <c r="AL17" s="456"/>
      <c r="AM17" s="456"/>
      <c r="AN17" s="456"/>
      <c r="AO17" s="456"/>
      <c r="AP17" s="456"/>
      <c r="AQ17" s="456"/>
      <c r="AR17" s="456"/>
      <c r="AS17" s="456"/>
      <c r="AT17" s="456"/>
      <c r="AU17" s="456"/>
      <c r="AV17" s="456"/>
      <c r="AW17" s="456"/>
      <c r="AX17" s="456"/>
      <c r="AY17" s="456"/>
      <c r="AZ17" s="456"/>
      <c r="BA17" s="456"/>
      <c r="BB17" s="456"/>
      <c r="BC17" s="456"/>
      <c r="BE17" s="118"/>
      <c r="BF17" s="118" t="str">
        <f aca="false">IF(T17="","",T17)</f>
        <v>Добавить централизованную систему для дифференциации</v>
      </c>
      <c r="BG17" s="118"/>
      <c r="BH17" s="118"/>
      <c r="BI17" s="47" t="n">
        <v>0</v>
      </c>
    </row>
    <row r="18" s="47" customFormat="true" ht="14.25" hidden="true" customHeight="true" outlineLevel="0" collapsed="false">
      <c r="A18" s="122"/>
      <c r="B18" s="122"/>
      <c r="C18" s="122"/>
      <c r="D18" s="122"/>
      <c r="E18" s="413"/>
      <c r="F18" s="122"/>
      <c r="G18" s="122"/>
      <c r="H18" s="122"/>
      <c r="I18" s="122"/>
      <c r="J18" s="122"/>
      <c r="K18" s="122"/>
      <c r="L18" s="192"/>
      <c r="M18" s="453"/>
      <c r="N18" s="453"/>
      <c r="P18" s="156"/>
      <c r="Q18" s="449"/>
      <c r="R18" s="156"/>
      <c r="S18" s="454"/>
      <c r="T18" s="457" t="s">
        <v>429</v>
      </c>
      <c r="U18" s="456"/>
      <c r="V18" s="456"/>
      <c r="W18" s="456"/>
      <c r="X18" s="456"/>
      <c r="Y18" s="456"/>
      <c r="Z18" s="456"/>
      <c r="AA18" s="456"/>
      <c r="AB18" s="456"/>
      <c r="AC18" s="456"/>
      <c r="AD18" s="456"/>
      <c r="AE18" s="456"/>
      <c r="AF18" s="456"/>
      <c r="AG18" s="456"/>
      <c r="AH18" s="456"/>
      <c r="AI18" s="456"/>
      <c r="AJ18" s="456"/>
      <c r="AK18" s="456"/>
      <c r="AL18" s="456"/>
      <c r="AM18" s="456"/>
      <c r="AN18" s="456"/>
      <c r="AO18" s="456"/>
      <c r="AP18" s="456"/>
      <c r="AQ18" s="456"/>
      <c r="AR18" s="456"/>
      <c r="AS18" s="456"/>
      <c r="AT18" s="456"/>
      <c r="AU18" s="456"/>
      <c r="AV18" s="456"/>
      <c r="AW18" s="456"/>
      <c r="AX18" s="456"/>
      <c r="AY18" s="456"/>
      <c r="AZ18" s="456"/>
      <c r="BA18" s="456"/>
      <c r="BB18" s="456"/>
      <c r="BC18" s="456"/>
      <c r="BE18" s="118"/>
      <c r="BF18" s="118" t="str">
        <f aca="false">IF(T18="","",T18)</f>
        <v>Добавить территорию для дифференциации</v>
      </c>
      <c r="BG18" s="118"/>
      <c r="BH18" s="118"/>
      <c r="BI18" s="47" t="n">
        <v>0</v>
      </c>
    </row>
    <row r="19" customFormat="false" ht="14.25" hidden="true" customHeight="true" outlineLevel="0" collapsed="false">
      <c r="BI19" s="42" t="n">
        <v>0</v>
      </c>
    </row>
    <row r="20" customFormat="false" ht="14.25" hidden="true" customHeight="true" outlineLevel="0" collapsed="false">
      <c r="AD20" s="456" t="s">
        <v>19</v>
      </c>
      <c r="AE20" s="549"/>
      <c r="AF20" s="456" t="n">
        <v>1</v>
      </c>
      <c r="AG20" s="550"/>
      <c r="AH20" s="456" t="s">
        <v>19</v>
      </c>
      <c r="AI20" s="549"/>
      <c r="AJ20" s="456" t="n">
        <v>1</v>
      </c>
      <c r="AK20" s="550"/>
      <c r="AL20" s="456" t="s">
        <v>19</v>
      </c>
      <c r="AM20" s="551"/>
      <c r="AN20" s="456" t="n">
        <v>1</v>
      </c>
      <c r="AO20" s="123"/>
      <c r="AP20" s="456" t="s">
        <v>19</v>
      </c>
      <c r="AQ20" s="551"/>
      <c r="AR20" s="456" t="n">
        <v>1</v>
      </c>
      <c r="AS20" s="123"/>
      <c r="AT20" s="436"/>
      <c r="AU20" s="497"/>
      <c r="AV20" s="436"/>
      <c r="AW20" s="497"/>
      <c r="AX20" s="555"/>
      <c r="AY20" s="556" t="s">
        <v>61</v>
      </c>
      <c r="AZ20" s="555"/>
      <c r="BA20" s="556" t="s">
        <v>61</v>
      </c>
      <c r="BI20" s="42" t="n">
        <v>0</v>
      </c>
    </row>
    <row r="21" customFormat="false" ht="14.25" hidden="true" customHeight="true" outlineLevel="0" collapsed="false">
      <c r="BD21" s="120"/>
      <c r="BE21" s="120"/>
      <c r="BF21" s="120"/>
      <c r="BG21" s="120"/>
      <c r="BH21" s="120"/>
      <c r="BI21" s="42" t="n">
        <v>0</v>
      </c>
    </row>
    <row r="22" customFormat="false" ht="14.25" hidden="true" customHeight="true" outlineLevel="0" collapsed="false">
      <c r="O22" s="462" t="s">
        <v>430</v>
      </c>
      <c r="Z22" s="495"/>
      <c r="AB22" s="495"/>
      <c r="AX22" s="495"/>
      <c r="AZ22" s="495"/>
      <c r="BD22" s="120"/>
      <c r="BE22" s="120"/>
      <c r="BF22" s="120"/>
      <c r="BG22" s="120"/>
      <c r="BH22" s="120"/>
      <c r="BI22" s="42" t="n">
        <v>0</v>
      </c>
    </row>
    <row r="23" customFormat="false" ht="14.25" hidden="true" customHeight="true" outlineLevel="0" collapsed="false">
      <c r="BD23" s="120"/>
      <c r="BE23" s="120"/>
      <c r="BF23" s="120"/>
      <c r="BG23" s="120"/>
      <c r="BH23" s="120"/>
      <c r="BI23" s="42" t="n">
        <v>0</v>
      </c>
    </row>
    <row r="24" s="557" customFormat="true" ht="14.25" hidden="true" customHeight="true" outlineLevel="0" collapsed="false">
      <c r="M24" s="558"/>
      <c r="N24" s="558"/>
      <c r="O24" s="557" t="s">
        <v>431</v>
      </c>
      <c r="P24" s="558"/>
      <c r="Q24" s="559"/>
      <c r="R24" s="559"/>
      <c r="AA24" s="557" t="s">
        <v>433</v>
      </c>
      <c r="AC24" s="557" t="s">
        <v>434</v>
      </c>
      <c r="AD24" s="557" t="s">
        <v>482</v>
      </c>
      <c r="AH24" s="557" t="s">
        <v>482</v>
      </c>
      <c r="AK24" s="557" t="s">
        <v>519</v>
      </c>
      <c r="AL24" s="557" t="s">
        <v>482</v>
      </c>
      <c r="AP24" s="557" t="s">
        <v>482</v>
      </c>
      <c r="AY24" s="557" t="s">
        <v>433</v>
      </c>
      <c r="BA24" s="557" t="s">
        <v>434</v>
      </c>
      <c r="BD24" s="560"/>
      <c r="BE24" s="560"/>
      <c r="BF24" s="560"/>
      <c r="BG24" s="560"/>
      <c r="BH24" s="560"/>
      <c r="BI24" s="557" t="n">
        <v>0</v>
      </c>
    </row>
    <row r="25" customFormat="false" ht="14.25" hidden="true" customHeight="true" outlineLevel="0" collapsed="false">
      <c r="O25" s="414"/>
      <c r="BD25" s="120"/>
      <c r="BE25" s="120"/>
      <c r="BF25" s="120"/>
      <c r="BG25" s="120"/>
      <c r="BH25" s="120"/>
      <c r="BI25" s="42" t="n">
        <v>0</v>
      </c>
    </row>
    <row r="26" customFormat="false" ht="14.25" hidden="true" customHeight="true" outlineLevel="0" collapsed="false">
      <c r="O26" s="414"/>
      <c r="BD26" s="120"/>
      <c r="BE26" s="120"/>
      <c r="BF26" s="120"/>
      <c r="BG26" s="120"/>
      <c r="BH26" s="120"/>
      <c r="BI26" s="42" t="n">
        <v>0</v>
      </c>
    </row>
    <row r="27" customFormat="false" ht="14.25" hidden="false" customHeight="true" outlineLevel="0" collapsed="false">
      <c r="Q27" s="561"/>
      <c r="R27" s="464"/>
      <c r="S27" s="465"/>
      <c r="T27" s="80"/>
      <c r="U27" s="80"/>
      <c r="BI27" s="42" t="n">
        <v>14</v>
      </c>
    </row>
    <row r="28" customFormat="false" ht="14.25" hidden="false" customHeight="true" outlineLevel="0" collapsed="false">
      <c r="Q28" s="561"/>
      <c r="R28" s="464"/>
      <c r="S28" s="220" t="str">
        <f aca="false">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c r="BI28" s="42" t="n">
        <v>14</v>
      </c>
    </row>
    <row r="29" customFormat="false" ht="14.25" hidden="false" customHeight="true" outlineLevel="0" collapsed="false">
      <c r="Q29" s="561"/>
      <c r="R29" s="464"/>
      <c r="S29" s="261" t="str">
        <f aca="false">IF(org=0,"Не определено",org)</f>
        <v>ООО "Газпром теплоэнерго Ярославль"</v>
      </c>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22"/>
      <c r="BI29" s="42" t="n">
        <v>14</v>
      </c>
    </row>
    <row r="30" customFormat="false" ht="14.25" hidden="true" customHeight="true" outlineLevel="0" collapsed="false">
      <c r="Q30" s="561"/>
      <c r="R30" s="464"/>
      <c r="S30" s="465"/>
      <c r="T30" s="80"/>
      <c r="U30" s="80"/>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466"/>
      <c r="AY30" s="466"/>
      <c r="AZ30" s="466"/>
      <c r="BA30" s="466"/>
      <c r="BI30" s="42" t="n">
        <v>0</v>
      </c>
    </row>
    <row r="31" s="175" customFormat="true" ht="25.5" hidden="true" customHeight="true" outlineLevel="0" collapsed="false">
      <c r="A31" s="140"/>
      <c r="B31" s="140"/>
      <c r="C31" s="140"/>
      <c r="D31" s="140"/>
      <c r="E31" s="140"/>
      <c r="F31" s="140"/>
      <c r="G31" s="140"/>
      <c r="H31" s="140"/>
      <c r="I31" s="140"/>
      <c r="J31" s="140"/>
      <c r="K31" s="140"/>
      <c r="L31" s="414"/>
      <c r="M31" s="140"/>
      <c r="N31" s="140"/>
      <c r="O31" s="140"/>
      <c r="P31" s="140"/>
      <c r="Q31" s="140"/>
      <c r="S31" s="467" t="s">
        <v>40</v>
      </c>
      <c r="T31" s="467"/>
      <c r="U31" s="468"/>
      <c r="V31" s="469" t="str">
        <f aca="false">IF(TITLE_NAME_OR_PR_CHANGE="",IF(TITLE_NAME_OR_PR="","",TITLE_NAME_OR_PR),TITLE_NAME_OR_PR_CHANGE)</f>
        <v/>
      </c>
      <c r="W31" s="469"/>
      <c r="X31" s="469"/>
      <c r="Y31" s="469"/>
      <c r="Z31" s="469"/>
      <c r="AA31" s="469"/>
      <c r="AB31" s="469"/>
      <c r="AC31" s="42"/>
      <c r="AD31" s="469" t="str">
        <f aca="false">IF(TITLE_NAME_OR_PR_CHANGE="",IF(TITLE_NAME_OR_PR="","",TITLE_NAME_OR_PR),TITLE_NAME_OR_PR_CHANGE)</f>
        <v/>
      </c>
      <c r="AE31" s="469"/>
      <c r="AF31" s="469"/>
      <c r="AG31" s="469"/>
      <c r="AH31" s="469"/>
      <c r="AI31" s="469"/>
      <c r="AJ31" s="469"/>
      <c r="AK31" s="469"/>
      <c r="AL31" s="469"/>
      <c r="AM31" s="469"/>
      <c r="AN31" s="469"/>
      <c r="AO31" s="469"/>
      <c r="AP31" s="469"/>
      <c r="AQ31" s="469"/>
      <c r="AR31" s="469"/>
      <c r="AS31" s="469"/>
      <c r="AT31" s="469"/>
      <c r="AU31" s="469"/>
      <c r="AV31" s="469"/>
      <c r="AW31" s="469"/>
      <c r="AX31" s="469"/>
      <c r="AY31" s="469"/>
      <c r="AZ31" s="469"/>
      <c r="BA31" s="42"/>
      <c r="BB31" s="42"/>
      <c r="BC31" s="470"/>
      <c r="BD31" s="118"/>
      <c r="BE31" s="118"/>
      <c r="BF31" s="118"/>
      <c r="BG31" s="118"/>
      <c r="BH31" s="118"/>
      <c r="BI31" s="175" t="n">
        <v>0</v>
      </c>
    </row>
    <row r="32" s="175" customFormat="true" ht="18.75" hidden="true" customHeight="true" outlineLevel="0" collapsed="false">
      <c r="A32" s="140"/>
      <c r="B32" s="140"/>
      <c r="C32" s="140"/>
      <c r="D32" s="140"/>
      <c r="E32" s="140"/>
      <c r="F32" s="140"/>
      <c r="G32" s="140"/>
      <c r="H32" s="140"/>
      <c r="I32" s="140"/>
      <c r="J32" s="140"/>
      <c r="K32" s="140"/>
      <c r="L32" s="414"/>
      <c r="M32" s="140"/>
      <c r="N32" s="140"/>
      <c r="O32" s="140"/>
      <c r="P32" s="140"/>
      <c r="Q32" s="140"/>
      <c r="S32" s="467" t="s">
        <v>436</v>
      </c>
      <c r="T32" s="467"/>
      <c r="U32" s="468"/>
      <c r="V32" s="471" t="str">
        <f aca="false">IF(TITLE_DATE_PR_CHANGE="",IF(TITLE_DATE_PR="","",TITLE_DATE_PR),TITLE_DATE_PR_CHANGE)</f>
        <v/>
      </c>
      <c r="W32" s="471"/>
      <c r="X32" s="471"/>
      <c r="Y32" s="471"/>
      <c r="Z32" s="471"/>
      <c r="AA32" s="471"/>
      <c r="AB32" s="471"/>
      <c r="AC32" s="42"/>
      <c r="AD32" s="471" t="str">
        <f aca="false">IF(TITLE_DATE_PR_CHANGE="",IF(TITLE_DATE_PR="","",TITLE_DATE_PR),TITLE_DATE_PR_CHANGE)</f>
        <v/>
      </c>
      <c r="AE32" s="471"/>
      <c r="AF32" s="471"/>
      <c r="AG32" s="471"/>
      <c r="AH32" s="471"/>
      <c r="AI32" s="471"/>
      <c r="AJ32" s="471"/>
      <c r="AK32" s="471"/>
      <c r="AL32" s="471"/>
      <c r="AM32" s="471"/>
      <c r="AN32" s="471"/>
      <c r="AO32" s="471"/>
      <c r="AP32" s="471"/>
      <c r="AQ32" s="471"/>
      <c r="AR32" s="471"/>
      <c r="AS32" s="471"/>
      <c r="AT32" s="471"/>
      <c r="AU32" s="471"/>
      <c r="AV32" s="471"/>
      <c r="AW32" s="471"/>
      <c r="AX32" s="471"/>
      <c r="AY32" s="471"/>
      <c r="AZ32" s="471"/>
      <c r="BA32" s="42"/>
      <c r="BB32" s="42"/>
      <c r="BC32" s="470"/>
      <c r="BD32" s="118"/>
      <c r="BE32" s="118"/>
      <c r="BF32" s="118"/>
      <c r="BG32" s="118"/>
      <c r="BH32" s="118"/>
      <c r="BI32" s="175" t="n">
        <v>0</v>
      </c>
    </row>
    <row r="33" s="175" customFormat="true" ht="18.75" hidden="true" customHeight="true" outlineLevel="0" collapsed="false">
      <c r="A33" s="140"/>
      <c r="B33" s="140"/>
      <c r="C33" s="140"/>
      <c r="D33" s="140"/>
      <c r="E33" s="140"/>
      <c r="F33" s="140"/>
      <c r="G33" s="140"/>
      <c r="H33" s="140"/>
      <c r="I33" s="140"/>
      <c r="J33" s="140"/>
      <c r="K33" s="140"/>
      <c r="L33" s="414"/>
      <c r="M33" s="140"/>
      <c r="N33" s="140"/>
      <c r="O33" s="140"/>
      <c r="P33" s="140"/>
      <c r="Q33" s="140"/>
      <c r="S33" s="467" t="s">
        <v>437</v>
      </c>
      <c r="T33" s="467"/>
      <c r="U33" s="468"/>
      <c r="V33" s="469" t="str">
        <f aca="false">IF(TITLE_NUMBER_PR_CHANGE="",IF(TITLE_NUMBER_PR="","",TITLE_NUMBER_PR),TITLE_NUMBER_PR_CHANGE)</f>
        <v/>
      </c>
      <c r="W33" s="469"/>
      <c r="X33" s="469"/>
      <c r="Y33" s="469"/>
      <c r="Z33" s="469"/>
      <c r="AA33" s="469"/>
      <c r="AB33" s="469"/>
      <c r="AC33" s="42"/>
      <c r="AD33" s="469" t="str">
        <f aca="false">IF(TITLE_NUMBER_PR_CHANGE="",IF(TITLE_NUMBER_PR="","",TITLE_NUMBER_PR),TITLE_NUMBER_PR_CHANGE)</f>
        <v/>
      </c>
      <c r="AE33" s="469"/>
      <c r="AF33" s="469"/>
      <c r="AG33" s="469"/>
      <c r="AH33" s="469"/>
      <c r="AI33" s="469"/>
      <c r="AJ33" s="469"/>
      <c r="AK33" s="469"/>
      <c r="AL33" s="469"/>
      <c r="AM33" s="469"/>
      <c r="AN33" s="469"/>
      <c r="AO33" s="469"/>
      <c r="AP33" s="469"/>
      <c r="AQ33" s="469"/>
      <c r="AR33" s="469"/>
      <c r="AS33" s="469"/>
      <c r="AT33" s="469"/>
      <c r="AU33" s="469"/>
      <c r="AV33" s="469"/>
      <c r="AW33" s="469"/>
      <c r="AX33" s="469"/>
      <c r="AY33" s="469"/>
      <c r="AZ33" s="469"/>
      <c r="BA33" s="42"/>
      <c r="BB33" s="42"/>
      <c r="BC33" s="470"/>
      <c r="BD33" s="118"/>
      <c r="BE33" s="118"/>
      <c r="BF33" s="118"/>
      <c r="BG33" s="118"/>
      <c r="BH33" s="118"/>
      <c r="BI33" s="175" t="n">
        <v>0</v>
      </c>
    </row>
    <row r="34" s="175" customFormat="true" ht="18.75" hidden="true" customHeight="true" outlineLevel="0" collapsed="false">
      <c r="A34" s="140"/>
      <c r="B34" s="140"/>
      <c r="C34" s="140"/>
      <c r="D34" s="140"/>
      <c r="E34" s="140"/>
      <c r="F34" s="140"/>
      <c r="G34" s="140"/>
      <c r="H34" s="140"/>
      <c r="I34" s="140"/>
      <c r="J34" s="140"/>
      <c r="K34" s="140"/>
      <c r="L34" s="414"/>
      <c r="M34" s="140"/>
      <c r="N34" s="140"/>
      <c r="O34" s="140"/>
      <c r="P34" s="140"/>
      <c r="Q34" s="140"/>
      <c r="S34" s="467" t="s">
        <v>41</v>
      </c>
      <c r="T34" s="467"/>
      <c r="U34" s="468"/>
      <c r="V34" s="469" t="str">
        <f aca="false">IF(TITLE_IST_PUB_CHANGE="",IF(TITLE_IST_PUB="","",TITLE_IST_PUB),TITLE_IST_PUB_CHANGE)</f>
        <v/>
      </c>
      <c r="W34" s="469"/>
      <c r="X34" s="469"/>
      <c r="Y34" s="469"/>
      <c r="Z34" s="469"/>
      <c r="AA34" s="469"/>
      <c r="AB34" s="469"/>
      <c r="AC34" s="42"/>
      <c r="AD34" s="469" t="str">
        <f aca="false">IF(TITLE_IST_PUB_CHANGE="",IF(TITLE_IST_PUB="","",TITLE_IST_PUB),TITLE_IST_PUB_CHANGE)</f>
        <v/>
      </c>
      <c r="AE34" s="469"/>
      <c r="AF34" s="469"/>
      <c r="AG34" s="469"/>
      <c r="AH34" s="469"/>
      <c r="AI34" s="469"/>
      <c r="AJ34" s="469"/>
      <c r="AK34" s="469"/>
      <c r="AL34" s="469"/>
      <c r="AM34" s="469"/>
      <c r="AN34" s="469"/>
      <c r="AO34" s="469"/>
      <c r="AP34" s="469"/>
      <c r="AQ34" s="469"/>
      <c r="AR34" s="469"/>
      <c r="AS34" s="469"/>
      <c r="AT34" s="469"/>
      <c r="AU34" s="469"/>
      <c r="AV34" s="469"/>
      <c r="AW34" s="469"/>
      <c r="AX34" s="469"/>
      <c r="AY34" s="469"/>
      <c r="AZ34" s="469"/>
      <c r="BA34" s="42"/>
      <c r="BB34" s="42"/>
      <c r="BC34" s="470"/>
      <c r="BD34" s="118"/>
      <c r="BE34" s="118"/>
      <c r="BF34" s="118"/>
      <c r="BG34" s="118"/>
      <c r="BH34" s="118"/>
      <c r="BI34" s="175" t="n">
        <v>0</v>
      </c>
    </row>
    <row r="35" customFormat="false" ht="14.25" hidden="true" customHeight="true" outlineLevel="0" collapsed="false">
      <c r="Q35" s="561"/>
      <c r="R35" s="464"/>
      <c r="S35" s="465"/>
      <c r="T35" s="80"/>
      <c r="U35" s="80"/>
      <c r="V35" s="466"/>
      <c r="W35" s="466"/>
      <c r="X35" s="466"/>
      <c r="Y35" s="466"/>
      <c r="Z35" s="466"/>
      <c r="AA35" s="466"/>
      <c r="AB35" s="466"/>
      <c r="AC35" s="466"/>
      <c r="AD35" s="466"/>
      <c r="AE35" s="466"/>
      <c r="AF35" s="466"/>
      <c r="AG35" s="466"/>
      <c r="AH35" s="466"/>
      <c r="AI35" s="466"/>
      <c r="AJ35" s="466"/>
      <c r="AK35" s="466"/>
      <c r="AL35" s="466"/>
      <c r="AM35" s="466"/>
      <c r="AN35" s="466"/>
      <c r="AO35" s="466"/>
      <c r="AP35" s="466"/>
      <c r="AQ35" s="466"/>
      <c r="AR35" s="466"/>
      <c r="AS35" s="466"/>
      <c r="AT35" s="466"/>
      <c r="AU35" s="466"/>
      <c r="AV35" s="466"/>
      <c r="AW35" s="466"/>
      <c r="AX35" s="466"/>
      <c r="AY35" s="466"/>
      <c r="AZ35" s="466"/>
      <c r="BA35" s="466"/>
      <c r="BI35" s="42" t="n">
        <v>0</v>
      </c>
    </row>
    <row r="36" s="175" customFormat="true" ht="18.75" hidden="true" customHeight="true" outlineLevel="0" collapsed="false">
      <c r="A36" s="140"/>
      <c r="B36" s="140"/>
      <c r="C36" s="140"/>
      <c r="D36" s="140"/>
      <c r="E36" s="140"/>
      <c r="F36" s="140"/>
      <c r="G36" s="140"/>
      <c r="H36" s="140"/>
      <c r="I36" s="140"/>
      <c r="J36" s="140"/>
      <c r="K36" s="140"/>
      <c r="L36" s="414"/>
      <c r="M36" s="140"/>
      <c r="N36" s="140"/>
      <c r="O36" s="140"/>
      <c r="P36" s="140"/>
      <c r="Q36" s="140"/>
      <c r="S36" s="467" t="s">
        <v>436</v>
      </c>
      <c r="T36" s="467"/>
      <c r="U36" s="468"/>
      <c r="V36" s="471" t="str">
        <f aca="false">IF(TITLE_DATE_PR_CHANGE="",IF(TITLE_DATE_PR="","",TITLE_DATE_PR),TITLE_DATE_PR_CHANGE)</f>
        <v/>
      </c>
      <c r="W36" s="471"/>
      <c r="X36" s="471"/>
      <c r="Y36" s="471"/>
      <c r="Z36" s="471"/>
      <c r="AA36" s="471"/>
      <c r="AB36" s="471"/>
      <c r="AC36" s="42"/>
      <c r="AD36" s="471" t="str">
        <f aca="false">IF(TITLE_DATE_PR_CHANGE="",IF(TITLE_DATE_PR="","",TITLE_DATE_PR),TITLE_DATE_PR_CHANGE)</f>
        <v/>
      </c>
      <c r="AE36" s="471"/>
      <c r="AF36" s="471"/>
      <c r="AG36" s="471"/>
      <c r="AH36" s="471"/>
      <c r="AI36" s="471"/>
      <c r="AJ36" s="471"/>
      <c r="AK36" s="471"/>
      <c r="AL36" s="471"/>
      <c r="AM36" s="471"/>
      <c r="AN36" s="471"/>
      <c r="AO36" s="471"/>
      <c r="AP36" s="471"/>
      <c r="AQ36" s="471"/>
      <c r="AR36" s="471"/>
      <c r="AS36" s="471"/>
      <c r="AT36" s="471"/>
      <c r="AU36" s="471"/>
      <c r="AV36" s="471"/>
      <c r="AW36" s="471"/>
      <c r="AX36" s="471"/>
      <c r="AY36" s="471"/>
      <c r="AZ36" s="471"/>
      <c r="BA36" s="42"/>
      <c r="BB36" s="42"/>
      <c r="BC36" s="470"/>
      <c r="BD36" s="118"/>
      <c r="BE36" s="118"/>
      <c r="BF36" s="118"/>
      <c r="BG36" s="118"/>
      <c r="BH36" s="118"/>
      <c r="BI36" s="175" t="n">
        <v>0</v>
      </c>
    </row>
    <row r="37" s="175" customFormat="true" ht="18.75" hidden="true" customHeight="true" outlineLevel="0" collapsed="false">
      <c r="A37" s="140"/>
      <c r="B37" s="140"/>
      <c r="C37" s="140"/>
      <c r="D37" s="140"/>
      <c r="E37" s="140"/>
      <c r="F37" s="140"/>
      <c r="G37" s="140"/>
      <c r="H37" s="140"/>
      <c r="I37" s="140"/>
      <c r="J37" s="140"/>
      <c r="K37" s="140"/>
      <c r="L37" s="414"/>
      <c r="M37" s="140"/>
      <c r="N37" s="140"/>
      <c r="O37" s="140"/>
      <c r="P37" s="140"/>
      <c r="Q37" s="140"/>
      <c r="S37" s="467" t="s">
        <v>437</v>
      </c>
      <c r="T37" s="467"/>
      <c r="U37" s="468"/>
      <c r="V37" s="469" t="str">
        <f aca="false">IF(TITLE_NUMBER_PR_CHANGE="",IF(TITLE_NUMBER_PR="","",TITLE_NUMBER_PR),TITLE_NUMBER_PR_CHANGE)</f>
        <v/>
      </c>
      <c r="W37" s="469"/>
      <c r="X37" s="469"/>
      <c r="Y37" s="469"/>
      <c r="Z37" s="469"/>
      <c r="AA37" s="469"/>
      <c r="AB37" s="469"/>
      <c r="AC37" s="42"/>
      <c r="AD37" s="469" t="str">
        <f aca="false">IF(TITLE_NUMBER_PR_CHANGE="",IF(TITLE_NUMBER_PR="","",TITLE_NUMBER_PR),TITLE_NUMBER_PR_CHANGE)</f>
        <v/>
      </c>
      <c r="AE37" s="469"/>
      <c r="AF37" s="469"/>
      <c r="AG37" s="469"/>
      <c r="AH37" s="469"/>
      <c r="AI37" s="469"/>
      <c r="AJ37" s="469"/>
      <c r="AK37" s="469"/>
      <c r="AL37" s="469"/>
      <c r="AM37" s="469"/>
      <c r="AN37" s="469"/>
      <c r="AO37" s="469"/>
      <c r="AP37" s="469"/>
      <c r="AQ37" s="469"/>
      <c r="AR37" s="469"/>
      <c r="AS37" s="469"/>
      <c r="AT37" s="469"/>
      <c r="AU37" s="469"/>
      <c r="AV37" s="469"/>
      <c r="AW37" s="469"/>
      <c r="AX37" s="469"/>
      <c r="AY37" s="469"/>
      <c r="AZ37" s="469"/>
      <c r="BA37" s="42"/>
      <c r="BB37" s="42"/>
      <c r="BC37" s="470"/>
      <c r="BD37" s="118"/>
      <c r="BE37" s="118"/>
      <c r="BF37" s="118"/>
      <c r="BG37" s="118"/>
      <c r="BH37" s="118"/>
      <c r="BI37" s="175" t="n">
        <v>0</v>
      </c>
    </row>
    <row r="38" s="175" customFormat="true" ht="12.8" hidden="false" customHeight="false" outlineLevel="0" collapsed="false">
      <c r="A38" s="140"/>
      <c r="B38" s="140"/>
      <c r="C38" s="140"/>
      <c r="D38" s="140"/>
      <c r="E38" s="140"/>
      <c r="F38" s="140"/>
      <c r="G38" s="140"/>
      <c r="H38" s="140"/>
      <c r="I38" s="140"/>
      <c r="J38" s="140"/>
      <c r="K38" s="140"/>
      <c r="L38" s="414"/>
      <c r="M38" s="140"/>
      <c r="N38" s="140"/>
      <c r="O38" s="140"/>
      <c r="P38" s="140"/>
      <c r="Q38" s="140"/>
      <c r="S38" s="42"/>
      <c r="T38" s="42"/>
      <c r="U38" s="128"/>
      <c r="V38" s="42"/>
      <c r="W38" s="42"/>
      <c r="X38" s="42"/>
      <c r="Y38" s="42"/>
      <c r="Z38" s="42"/>
      <c r="AA38" s="42"/>
      <c r="AB38" s="42"/>
      <c r="AC38" s="47" t="s">
        <v>440</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7" t="s">
        <v>440</v>
      </c>
      <c r="BD38" s="118"/>
      <c r="BE38" s="118"/>
      <c r="BF38" s="118"/>
      <c r="BG38" s="118"/>
      <c r="BH38" s="118"/>
      <c r="BI38" s="175" t="n">
        <v>0</v>
      </c>
    </row>
    <row r="39" customFormat="false" ht="14.25" hidden="false" customHeight="true" outlineLevel="0" collapsed="false">
      <c r="Q39" s="561"/>
      <c r="R39" s="464"/>
      <c r="S39" s="465"/>
      <c r="T39" s="80"/>
      <c r="U39" s="472"/>
      <c r="V39" s="473"/>
      <c r="W39" s="473"/>
      <c r="X39" s="473"/>
      <c r="Y39" s="473"/>
      <c r="Z39" s="473"/>
      <c r="AA39" s="473"/>
      <c r="AB39" s="473"/>
      <c r="AC39" s="473"/>
      <c r="AD39" s="473"/>
      <c r="AE39" s="473"/>
      <c r="AF39" s="473"/>
      <c r="AG39" s="473"/>
      <c r="AH39" s="473"/>
      <c r="AI39" s="473"/>
      <c r="AJ39" s="473"/>
      <c r="AK39" s="473"/>
      <c r="AL39" s="473"/>
      <c r="AM39" s="473"/>
      <c r="AN39" s="473"/>
      <c r="AO39" s="473"/>
      <c r="AP39" s="473"/>
      <c r="AQ39" s="473"/>
      <c r="AR39" s="473"/>
      <c r="AS39" s="473"/>
      <c r="AT39" s="473"/>
      <c r="AU39" s="473"/>
      <c r="AV39" s="473"/>
      <c r="AW39" s="473"/>
      <c r="AX39" s="473"/>
      <c r="AY39" s="473"/>
      <c r="AZ39" s="473"/>
      <c r="BA39" s="473"/>
      <c r="BI39" s="42" t="n">
        <v>14</v>
      </c>
    </row>
    <row r="40" customFormat="false" ht="14.25" hidden="false" customHeight="true" outlineLevel="0" collapsed="false">
      <c r="Q40" s="561"/>
      <c r="R40" s="464"/>
      <c r="S40" s="134" t="s">
        <v>313</v>
      </c>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t="s">
        <v>314</v>
      </c>
      <c r="BI40" s="42" t="n">
        <v>14</v>
      </c>
    </row>
    <row r="41" customFormat="false" ht="14.25" hidden="false" customHeight="true" outlineLevel="0" collapsed="false">
      <c r="Q41" s="561"/>
      <c r="R41" s="464"/>
      <c r="S41" s="416" t="s">
        <v>87</v>
      </c>
      <c r="T41" s="391" t="s">
        <v>520</v>
      </c>
      <c r="U41" s="475"/>
      <c r="V41" s="296" t="s">
        <v>442</v>
      </c>
      <c r="W41" s="296"/>
      <c r="X41" s="296"/>
      <c r="Y41" s="296"/>
      <c r="Z41" s="296"/>
      <c r="AA41" s="296"/>
      <c r="AB41" s="296"/>
      <c r="AC41" s="391" t="s">
        <v>443</v>
      </c>
      <c r="AD41" s="296" t="s">
        <v>521</v>
      </c>
      <c r="AE41" s="296"/>
      <c r="AF41" s="296"/>
      <c r="AG41" s="296"/>
      <c r="AH41" s="296" t="s">
        <v>522</v>
      </c>
      <c r="AI41" s="296"/>
      <c r="AJ41" s="296"/>
      <c r="AK41" s="296"/>
      <c r="AL41" s="296" t="s">
        <v>523</v>
      </c>
      <c r="AM41" s="296"/>
      <c r="AN41" s="296"/>
      <c r="AO41" s="296"/>
      <c r="AP41" s="296" t="s">
        <v>524</v>
      </c>
      <c r="AQ41" s="296"/>
      <c r="AR41" s="296"/>
      <c r="AS41" s="296"/>
      <c r="AT41" s="296" t="s">
        <v>442</v>
      </c>
      <c r="AU41" s="296"/>
      <c r="AV41" s="296"/>
      <c r="AW41" s="296"/>
      <c r="AX41" s="296"/>
      <c r="AY41" s="296"/>
      <c r="AZ41" s="296"/>
      <c r="BA41" s="391" t="s">
        <v>443</v>
      </c>
      <c r="BB41" s="476" t="s">
        <v>445</v>
      </c>
      <c r="BC41" s="134"/>
      <c r="BI41" s="42" t="n">
        <v>14</v>
      </c>
    </row>
    <row r="42" customFormat="false" ht="35.25" hidden="false" customHeight="true" outlineLevel="0" collapsed="false">
      <c r="Q42" s="561"/>
      <c r="R42" s="464"/>
      <c r="S42" s="416"/>
      <c r="T42" s="391"/>
      <c r="U42" s="477"/>
      <c r="V42" s="134" t="s">
        <v>525</v>
      </c>
      <c r="W42" s="134"/>
      <c r="X42" s="134" t="s">
        <v>526</v>
      </c>
      <c r="Y42" s="134"/>
      <c r="Z42" s="134" t="s">
        <v>527</v>
      </c>
      <c r="AA42" s="134"/>
      <c r="AB42" s="134"/>
      <c r="AC42" s="391"/>
      <c r="AD42" s="296"/>
      <c r="AE42" s="296"/>
      <c r="AF42" s="296"/>
      <c r="AG42" s="296"/>
      <c r="AH42" s="296"/>
      <c r="AI42" s="296"/>
      <c r="AJ42" s="296"/>
      <c r="AK42" s="296"/>
      <c r="AL42" s="296"/>
      <c r="AM42" s="296"/>
      <c r="AN42" s="296"/>
      <c r="AO42" s="296"/>
      <c r="AP42" s="296"/>
      <c r="AQ42" s="296"/>
      <c r="AR42" s="296"/>
      <c r="AS42" s="296"/>
      <c r="AT42" s="134" t="s">
        <v>525</v>
      </c>
      <c r="AU42" s="134"/>
      <c r="AV42" s="134" t="s">
        <v>526</v>
      </c>
      <c r="AW42" s="134"/>
      <c r="AX42" s="134" t="s">
        <v>527</v>
      </c>
      <c r="AY42" s="134"/>
      <c r="AZ42" s="134"/>
      <c r="BA42" s="391"/>
      <c r="BB42" s="476"/>
      <c r="BC42" s="134"/>
      <c r="BI42" s="42" t="n">
        <v>34</v>
      </c>
    </row>
    <row r="43" customFormat="false" ht="14.25" hidden="false" customHeight="true" outlineLevel="0" collapsed="false">
      <c r="Q43" s="561"/>
      <c r="R43" s="464"/>
      <c r="S43" s="416"/>
      <c r="T43" s="391"/>
      <c r="U43" s="477"/>
      <c r="V43" s="134"/>
      <c r="W43" s="134"/>
      <c r="X43" s="134"/>
      <c r="Y43" s="134"/>
      <c r="Z43" s="134"/>
      <c r="AA43" s="134"/>
      <c r="AB43" s="134"/>
      <c r="AC43" s="391"/>
      <c r="AD43" s="296"/>
      <c r="AE43" s="296"/>
      <c r="AF43" s="296"/>
      <c r="AG43" s="296"/>
      <c r="AH43" s="296"/>
      <c r="AI43" s="296"/>
      <c r="AJ43" s="296"/>
      <c r="AK43" s="296"/>
      <c r="AL43" s="296"/>
      <c r="AM43" s="296"/>
      <c r="AN43" s="296"/>
      <c r="AO43" s="296"/>
      <c r="AP43" s="296"/>
      <c r="AQ43" s="296"/>
      <c r="AR43" s="296"/>
      <c r="AS43" s="296"/>
      <c r="AT43" s="134"/>
      <c r="AU43" s="134"/>
      <c r="AV43" s="134"/>
      <c r="AW43" s="134"/>
      <c r="AX43" s="134"/>
      <c r="AY43" s="134"/>
      <c r="AZ43" s="134"/>
      <c r="BA43" s="391"/>
      <c r="BB43" s="476"/>
      <c r="BC43" s="134"/>
      <c r="BI43" s="42" t="n">
        <v>14</v>
      </c>
    </row>
    <row r="44" customFormat="false" ht="14.25" hidden="false" customHeight="true" outlineLevel="0" collapsed="false">
      <c r="A44" s="140"/>
      <c r="B44" s="140" t="s">
        <v>150</v>
      </c>
      <c r="C44" s="140" t="s">
        <v>151</v>
      </c>
      <c r="D44" s="140" t="s">
        <v>152</v>
      </c>
      <c r="E44" s="414" t="s">
        <v>450</v>
      </c>
      <c r="F44" s="414" t="s">
        <v>451</v>
      </c>
      <c r="G44" s="414" t="s">
        <v>452</v>
      </c>
      <c r="H44" s="414" t="s">
        <v>453</v>
      </c>
      <c r="I44" s="414" t="s">
        <v>454</v>
      </c>
      <c r="J44" s="414" t="s">
        <v>455</v>
      </c>
      <c r="K44" s="414" t="s">
        <v>456</v>
      </c>
      <c r="L44" s="414" t="s">
        <v>431</v>
      </c>
      <c r="Q44" s="561"/>
      <c r="R44" s="464"/>
      <c r="S44" s="416"/>
      <c r="T44" s="391"/>
      <c r="U44" s="478"/>
      <c r="V44" s="391" t="s">
        <v>491</v>
      </c>
      <c r="W44" s="391" t="s">
        <v>492</v>
      </c>
      <c r="X44" s="391" t="s">
        <v>491</v>
      </c>
      <c r="Y44" s="391" t="s">
        <v>492</v>
      </c>
      <c r="Z44" s="185" t="s">
        <v>459</v>
      </c>
      <c r="AA44" s="185" t="s">
        <v>460</v>
      </c>
      <c r="AB44" s="185"/>
      <c r="AC44" s="391"/>
      <c r="AD44" s="296"/>
      <c r="AE44" s="296"/>
      <c r="AF44" s="296"/>
      <c r="AG44" s="296"/>
      <c r="AH44" s="296"/>
      <c r="AI44" s="296"/>
      <c r="AJ44" s="296"/>
      <c r="AK44" s="296"/>
      <c r="AL44" s="296"/>
      <c r="AM44" s="296"/>
      <c r="AN44" s="296"/>
      <c r="AO44" s="296"/>
      <c r="AP44" s="296"/>
      <c r="AQ44" s="296"/>
      <c r="AR44" s="296"/>
      <c r="AS44" s="296"/>
      <c r="AT44" s="391" t="s">
        <v>491</v>
      </c>
      <c r="AU44" s="391" t="s">
        <v>492</v>
      </c>
      <c r="AV44" s="391" t="s">
        <v>491</v>
      </c>
      <c r="AW44" s="391" t="s">
        <v>492</v>
      </c>
      <c r="AX44" s="185" t="s">
        <v>459</v>
      </c>
      <c r="AY44" s="185" t="s">
        <v>460</v>
      </c>
      <c r="AZ44" s="185"/>
      <c r="BA44" s="391"/>
      <c r="BB44" s="476"/>
      <c r="BC44" s="134"/>
      <c r="BI44" s="42" t="n">
        <v>14</v>
      </c>
    </row>
    <row r="45" s="120" customFormat="true" ht="12.8" hidden="false" customHeight="false" outlineLevel="0" collapsed="false">
      <c r="A45" s="140"/>
      <c r="B45" s="140"/>
      <c r="C45" s="140"/>
      <c r="D45" s="140"/>
      <c r="E45" s="140"/>
      <c r="F45" s="140"/>
      <c r="G45" s="140"/>
      <c r="H45" s="140"/>
      <c r="I45" s="140"/>
      <c r="J45" s="140"/>
      <c r="K45" s="140"/>
      <c r="L45" s="414"/>
      <c r="M45" s="51"/>
      <c r="N45" s="51"/>
      <c r="O45" s="51"/>
      <c r="P45" s="506"/>
      <c r="Q45" s="481"/>
      <c r="R45" s="481" t="n">
        <v>1</v>
      </c>
      <c r="S45" s="482" t="s">
        <v>120</v>
      </c>
      <c r="T45" s="483" t="s">
        <v>102</v>
      </c>
      <c r="U45" s="484" t="str">
        <f aca="true">OFFSET(U45,0,-1)</f>
        <v>2</v>
      </c>
      <c r="V45" s="485" t="n">
        <f aca="true">OFFSET(V45,0,-1)+1</f>
        <v>3</v>
      </c>
      <c r="W45" s="485" t="n">
        <f aca="true">OFFSET(W45,0,-1)+1</f>
        <v>4</v>
      </c>
      <c r="X45" s="485" t="n">
        <f aca="true">OFFSET(X45,0,-1)+1</f>
        <v>5</v>
      </c>
      <c r="Y45" s="485" t="n">
        <f aca="true">OFFSET(Y45,0,-1)+1</f>
        <v>6</v>
      </c>
      <c r="Z45" s="485" t="n">
        <f aca="true">OFFSET(Z45,0,-1)+1</f>
        <v>7</v>
      </c>
      <c r="AA45" s="485" t="n">
        <f aca="true">OFFSET(AA45,0,-1)+1</f>
        <v>8</v>
      </c>
      <c r="AB45" s="485"/>
      <c r="AC45" s="485" t="n">
        <f aca="true">OFFSET(AC45,0,-2)+1</f>
        <v>9</v>
      </c>
      <c r="AD45" s="485" t="n">
        <f aca="true">OFFSET(AD45,0,-1)+1</f>
        <v>10</v>
      </c>
      <c r="AE45" s="485"/>
      <c r="AF45" s="485"/>
      <c r="AG45" s="485"/>
      <c r="AH45" s="485"/>
      <c r="AI45" s="485"/>
      <c r="AJ45" s="485"/>
      <c r="AK45" s="485"/>
      <c r="AL45" s="485"/>
      <c r="AM45" s="485"/>
      <c r="AN45" s="485"/>
      <c r="AO45" s="485"/>
      <c r="AP45" s="485"/>
      <c r="AQ45" s="485"/>
      <c r="AR45" s="485"/>
      <c r="AS45" s="485"/>
      <c r="AT45" s="485"/>
      <c r="AU45" s="485"/>
      <c r="AV45" s="485"/>
      <c r="AW45" s="485" t="n">
        <f aca="true">OFFSET(AW45,0,-1)+1</f>
        <v>1</v>
      </c>
      <c r="AX45" s="485" t="n">
        <f aca="true">OFFSET(AX45,0,-1)+1</f>
        <v>2</v>
      </c>
      <c r="AY45" s="485" t="n">
        <f aca="true">OFFSET(AY45,0,-1)+1</f>
        <v>3</v>
      </c>
      <c r="AZ45" s="485"/>
      <c r="BA45" s="485" t="n">
        <f aca="true">OFFSET(BA45,0,-2)+1</f>
        <v>4</v>
      </c>
      <c r="BB45" s="484" t="n">
        <f aca="true">OFFSET(BB45,0,-1)</f>
        <v>4</v>
      </c>
      <c r="BC45" s="485" t="n">
        <f aca="true">OFFSET(BC45,0,-1)+1</f>
        <v>5</v>
      </c>
      <c r="BD45" s="47"/>
      <c r="BE45" s="47"/>
      <c r="BF45" s="47"/>
      <c r="BG45" s="47"/>
      <c r="BH45" s="47"/>
      <c r="BI45" s="120" t="n">
        <v>0</v>
      </c>
    </row>
    <row r="46" customFormat="false" ht="21.75" hidden="false" customHeight="true" outlineLevel="0" collapsed="false">
      <c r="A46" s="412" t="s">
        <v>274</v>
      </c>
      <c r="B46" s="412"/>
      <c r="C46" s="412"/>
      <c r="D46" s="412"/>
      <c r="E46" s="413" t="n">
        <v>1</v>
      </c>
      <c r="F46" s="412"/>
      <c r="G46" s="412"/>
      <c r="H46" s="412"/>
      <c r="I46" s="412"/>
      <c r="J46" s="412"/>
      <c r="K46" s="412"/>
      <c r="L46" s="414"/>
      <c r="M46" s="40"/>
      <c r="N46" s="40"/>
      <c r="O46" s="40"/>
      <c r="Q46" s="54"/>
      <c r="R46" s="415"/>
      <c r="S46" s="416" t="n">
        <f aca="false">INDEX(PT_DIFFERENTIATION_NUM_NTAR,MATCH(A46,PT_DIFFERENTIATION_NTAR_ID,0))</f>
        <v>0</v>
      </c>
      <c r="T46" s="417" t="s">
        <v>138</v>
      </c>
      <c r="U46" s="418"/>
      <c r="V46" s="581"/>
      <c r="W46" s="581"/>
      <c r="X46" s="581"/>
      <c r="Y46" s="581"/>
      <c r="Z46" s="581"/>
      <c r="AA46" s="581"/>
      <c r="AB46" s="581"/>
      <c r="AC46" s="581"/>
      <c r="AD46" s="420" t="str">
        <f aca="false">INDEX(PT_DIFFERENTIATION_NTAR,MATCH(A46,PT_DIFFERENTIATION_NTAR_ID,0))</f>
        <v/>
      </c>
      <c r="AE46" s="420"/>
      <c r="AF46" s="420"/>
      <c r="AG46" s="420"/>
      <c r="AH46" s="420"/>
      <c r="AI46" s="420"/>
      <c r="AJ46" s="420"/>
      <c r="AK46" s="420"/>
      <c r="AL46" s="420"/>
      <c r="AM46" s="420"/>
      <c r="AN46" s="420"/>
      <c r="AO46" s="420"/>
      <c r="AP46" s="420"/>
      <c r="AQ46" s="420"/>
      <c r="AR46" s="420"/>
      <c r="AS46" s="420"/>
      <c r="AT46" s="420"/>
      <c r="AU46" s="420"/>
      <c r="AV46" s="420"/>
      <c r="AW46" s="420"/>
      <c r="AX46" s="420"/>
      <c r="AY46" s="420"/>
      <c r="AZ46" s="420"/>
      <c r="BA46" s="420"/>
      <c r="BB46" s="420"/>
      <c r="BC46" s="42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18"/>
      <c r="BF46" s="118" t="str">
        <f aca="false">IF(T46="","",T46)</f>
        <v>Наименование тарифа</v>
      </c>
      <c r="BG46" s="118"/>
      <c r="BH46" s="118"/>
      <c r="BI46" s="42" t="n">
        <v>21</v>
      </c>
    </row>
    <row r="47" customFormat="false" ht="21.75" hidden="false" customHeight="true" outlineLevel="0" collapsed="false">
      <c r="A47" s="412" t="s">
        <v>274</v>
      </c>
      <c r="B47" s="412" t="s">
        <v>275</v>
      </c>
      <c r="C47" s="412"/>
      <c r="D47" s="412"/>
      <c r="E47" s="413"/>
      <c r="F47" s="413" t="n">
        <v>1</v>
      </c>
      <c r="G47" s="412"/>
      <c r="H47" s="412"/>
      <c r="I47" s="412"/>
      <c r="J47" s="412"/>
      <c r="K47" s="412"/>
      <c r="L47" s="414"/>
      <c r="M47" s="40"/>
      <c r="N47" s="40"/>
      <c r="O47" s="40"/>
      <c r="P47" s="44"/>
      <c r="Q47" s="533"/>
      <c r="R47" s="423"/>
      <c r="S47" s="416" t="str">
        <f aca="false">INDEX(PT_DIFFERENTIATION_NUM_TER,MATCH(B47,PT_DIFFERENTIATION_TER_ID,0))</f>
        <v>.</v>
      </c>
      <c r="T47" s="424" t="s">
        <v>410</v>
      </c>
      <c r="U47" s="418"/>
      <c r="V47" s="581"/>
      <c r="W47" s="581"/>
      <c r="X47" s="581"/>
      <c r="Y47" s="581"/>
      <c r="Z47" s="581"/>
      <c r="AA47" s="581"/>
      <c r="AB47" s="581"/>
      <c r="AC47" s="581"/>
      <c r="AD47" s="420" t="str">
        <f aca="false">INDEX(PT_DIFFERENTIATION_TER,MATCH(B47,PT_DIFFERENTIATION_TER_ID,0))</f>
        <v/>
      </c>
      <c r="AE47" s="420"/>
      <c r="AF47" s="420"/>
      <c r="AG47" s="420"/>
      <c r="AH47" s="420"/>
      <c r="AI47" s="420"/>
      <c r="AJ47" s="420"/>
      <c r="AK47" s="420"/>
      <c r="AL47" s="420"/>
      <c r="AM47" s="420"/>
      <c r="AN47" s="420"/>
      <c r="AO47" s="420"/>
      <c r="AP47" s="420"/>
      <c r="AQ47" s="420"/>
      <c r="AR47" s="420"/>
      <c r="AS47" s="420"/>
      <c r="AT47" s="420"/>
      <c r="AU47" s="420"/>
      <c r="AV47" s="420"/>
      <c r="AW47" s="420"/>
      <c r="AX47" s="420"/>
      <c r="AY47" s="420"/>
      <c r="AZ47" s="420"/>
      <c r="BA47" s="420"/>
      <c r="BB47" s="420"/>
      <c r="BC47" s="421" t="s">
        <v>411</v>
      </c>
      <c r="BE47" s="118"/>
      <c r="BF47" s="118" t="str">
        <f aca="false">IF(T47="","",T47)</f>
        <v>Территория действия тарифа</v>
      </c>
      <c r="BG47" s="118"/>
      <c r="BH47" s="118"/>
      <c r="BI47" s="42" t="n">
        <v>21</v>
      </c>
    </row>
    <row r="48" customFormat="false" ht="35.25" hidden="false" customHeight="true" outlineLevel="0" collapsed="false">
      <c r="A48" s="412" t="s">
        <v>274</v>
      </c>
      <c r="B48" s="412" t="s">
        <v>275</v>
      </c>
      <c r="C48" s="412" t="s">
        <v>276</v>
      </c>
      <c r="D48" s="412"/>
      <c r="E48" s="413"/>
      <c r="F48" s="413"/>
      <c r="G48" s="413" t="n">
        <v>1</v>
      </c>
      <c r="H48" s="412"/>
      <c r="I48" s="412"/>
      <c r="J48" s="412"/>
      <c r="K48" s="412"/>
      <c r="L48" s="414"/>
      <c r="M48" s="40"/>
      <c r="N48" s="40"/>
      <c r="O48" s="40"/>
      <c r="P48" s="127"/>
      <c r="Q48" s="533"/>
      <c r="R48" s="423"/>
      <c r="S48" s="416" t="str">
        <f aca="false">INDEX(PT_DIFFERENTIATION_NUM_CS,MATCH(C48,PT_DIFFERENTIATION_CS_ID,0))</f>
        <v>..</v>
      </c>
      <c r="T48" s="426" t="s">
        <v>543</v>
      </c>
      <c r="U48" s="418"/>
      <c r="V48" s="581"/>
      <c r="W48" s="581"/>
      <c r="X48" s="581"/>
      <c r="Y48" s="581"/>
      <c r="Z48" s="581"/>
      <c r="AA48" s="581"/>
      <c r="AB48" s="581"/>
      <c r="AC48" s="581"/>
      <c r="AD48" s="420" t="str">
        <f aca="false">INDEX(PT_DIFFERENTIATION_CS,MATCH(C48,PT_DIFFERENTIATION_CS_ID,0))</f>
        <v/>
      </c>
      <c r="AE48" s="420"/>
      <c r="AF48" s="420"/>
      <c r="AG48" s="420"/>
      <c r="AH48" s="420"/>
      <c r="AI48" s="420"/>
      <c r="AJ48" s="420"/>
      <c r="AK48" s="420"/>
      <c r="AL48" s="420"/>
      <c r="AM48" s="420"/>
      <c r="AN48" s="420"/>
      <c r="AO48" s="420"/>
      <c r="AP48" s="420"/>
      <c r="AQ48" s="420"/>
      <c r="AR48" s="420"/>
      <c r="AS48" s="420"/>
      <c r="AT48" s="420"/>
      <c r="AU48" s="420"/>
      <c r="AV48" s="420"/>
      <c r="AW48" s="420"/>
      <c r="AX48" s="420"/>
      <c r="AY48" s="420"/>
      <c r="AZ48" s="420"/>
      <c r="BA48" s="420"/>
      <c r="BB48" s="420"/>
      <c r="BC48" s="421" t="s">
        <v>544</v>
      </c>
      <c r="BE48" s="118"/>
      <c r="BF48" s="118" t="str">
        <f aca="false">IF(T48="","",T48)</f>
        <v>Наименование централизованной системы горячего водоснабжения</v>
      </c>
      <c r="BG48" s="118"/>
      <c r="BH48" s="118"/>
      <c r="BI48" s="42" t="n">
        <v>34</v>
      </c>
    </row>
    <row r="49" s="47" customFormat="true" ht="12.8" hidden="false" customHeight="false" outlineLevel="0" collapsed="false">
      <c r="A49" s="122" t="s">
        <v>274</v>
      </c>
      <c r="B49" s="122" t="s">
        <v>275</v>
      </c>
      <c r="C49" s="122" t="s">
        <v>276</v>
      </c>
      <c r="D49" s="122" t="s">
        <v>557</v>
      </c>
      <c r="E49" s="413"/>
      <c r="F49" s="413"/>
      <c r="G49" s="413"/>
      <c r="H49" s="413" t="n">
        <v>1</v>
      </c>
      <c r="I49" s="122"/>
      <c r="J49" s="122"/>
      <c r="K49" s="122"/>
      <c r="L49" s="192"/>
      <c r="M49" s="46"/>
      <c r="N49" s="46"/>
      <c r="O49" s="46"/>
      <c r="P49" s="591"/>
      <c r="Q49" s="592"/>
      <c r="R49" s="432"/>
      <c r="S49" s="301"/>
      <c r="T49" s="593"/>
      <c r="U49" s="499"/>
      <c r="V49" s="534"/>
      <c r="W49" s="534"/>
      <c r="X49" s="534"/>
      <c r="Y49" s="534"/>
      <c r="Z49" s="534"/>
      <c r="AA49" s="534"/>
      <c r="AB49" s="534"/>
      <c r="AC49" s="534"/>
      <c r="AD49" s="500"/>
      <c r="AE49" s="500"/>
      <c r="AF49" s="500"/>
      <c r="AG49" s="500"/>
      <c r="AH49" s="500"/>
      <c r="AI49" s="500"/>
      <c r="AJ49" s="500"/>
      <c r="AK49" s="500"/>
      <c r="AL49" s="500"/>
      <c r="AM49" s="500"/>
      <c r="AN49" s="500"/>
      <c r="AO49" s="500"/>
      <c r="AP49" s="500"/>
      <c r="AQ49" s="500"/>
      <c r="AR49" s="500"/>
      <c r="AS49" s="500"/>
      <c r="AT49" s="500"/>
      <c r="AU49" s="500"/>
      <c r="AV49" s="500"/>
      <c r="AW49" s="500"/>
      <c r="AX49" s="500"/>
      <c r="AY49" s="500"/>
      <c r="AZ49" s="500"/>
      <c r="BA49" s="500"/>
      <c r="BB49" s="500"/>
      <c r="BC49" s="501" t="s">
        <v>415</v>
      </c>
      <c r="BE49" s="118"/>
      <c r="BF49" s="118" t="str">
        <f aca="false">IF(T49="","",T49)</f>
        <v/>
      </c>
      <c r="BG49" s="118"/>
      <c r="BH49" s="118"/>
      <c r="BI49" s="47" t="n">
        <v>0</v>
      </c>
    </row>
    <row r="50" s="47" customFormat="true" ht="12.8" hidden="false" customHeight="false" outlineLevel="0" collapsed="false">
      <c r="A50" s="122" t="s">
        <v>274</v>
      </c>
      <c r="B50" s="122" t="s">
        <v>275</v>
      </c>
      <c r="C50" s="122" t="s">
        <v>276</v>
      </c>
      <c r="D50" s="122" t="s">
        <v>557</v>
      </c>
      <c r="E50" s="413"/>
      <c r="F50" s="413"/>
      <c r="G50" s="413"/>
      <c r="H50" s="413"/>
      <c r="I50" s="428" t="str">
        <f aca="false">S49&amp;".1"</f>
        <v>.1</v>
      </c>
      <c r="J50" s="122"/>
      <c r="K50" s="122"/>
      <c r="L50" s="192" t="s">
        <v>416</v>
      </c>
      <c r="M50" s="506"/>
      <c r="N50" s="506"/>
      <c r="O50" s="506"/>
      <c r="P50" s="121" t="n">
        <v>1</v>
      </c>
      <c r="Q50" s="121"/>
      <c r="R50" s="429"/>
      <c r="S50" s="301"/>
      <c r="T50" s="498"/>
      <c r="U50" s="499"/>
      <c r="V50" s="534"/>
      <c r="W50" s="534"/>
      <c r="X50" s="534"/>
      <c r="Y50" s="534"/>
      <c r="Z50" s="534"/>
      <c r="AA50" s="534"/>
      <c r="AB50" s="534"/>
      <c r="AC50" s="534"/>
      <c r="AD50" s="500"/>
      <c r="AE50" s="500"/>
      <c r="AF50" s="500"/>
      <c r="AG50" s="500"/>
      <c r="AH50" s="500"/>
      <c r="AI50" s="500"/>
      <c r="AJ50" s="500"/>
      <c r="AK50" s="500"/>
      <c r="AL50" s="500"/>
      <c r="AM50" s="500"/>
      <c r="AN50" s="500"/>
      <c r="AO50" s="500"/>
      <c r="AP50" s="500"/>
      <c r="AQ50" s="500"/>
      <c r="AR50" s="500"/>
      <c r="AS50" s="500"/>
      <c r="AT50" s="500"/>
      <c r="AU50" s="500"/>
      <c r="AV50" s="500"/>
      <c r="AW50" s="500"/>
      <c r="AX50" s="500"/>
      <c r="AY50" s="500"/>
      <c r="AZ50" s="500"/>
      <c r="BA50" s="500"/>
      <c r="BB50" s="500"/>
      <c r="BC50" s="501"/>
      <c r="BE50" s="118"/>
      <c r="BF50" s="118" t="str">
        <f aca="false">IF(T50="","",T50)</f>
        <v/>
      </c>
      <c r="BG50" s="118"/>
      <c r="BH50" s="118"/>
      <c r="BI50" s="47" t="n">
        <v>0</v>
      </c>
    </row>
    <row r="51" s="47" customFormat="true" ht="12.8" hidden="false" customHeight="false" outlineLevel="0" collapsed="false">
      <c r="A51" s="122" t="s">
        <v>274</v>
      </c>
      <c r="B51" s="122" t="s">
        <v>275</v>
      </c>
      <c r="C51" s="122" t="s">
        <v>276</v>
      </c>
      <c r="D51" s="122" t="s">
        <v>557</v>
      </c>
      <c r="E51" s="413"/>
      <c r="F51" s="413"/>
      <c r="G51" s="413"/>
      <c r="H51" s="413"/>
      <c r="I51" s="428"/>
      <c r="J51" s="428" t="str">
        <f aca="false">S49&amp;".1"</f>
        <v>.1</v>
      </c>
      <c r="K51" s="122"/>
      <c r="L51" s="192"/>
      <c r="M51" s="506"/>
      <c r="N51" s="506"/>
      <c r="O51" s="506"/>
      <c r="P51" s="121"/>
      <c r="Q51" s="121" t="n">
        <v>1</v>
      </c>
      <c r="R51" s="432"/>
      <c r="S51" s="301"/>
      <c r="T51" s="535"/>
      <c r="U51" s="499"/>
      <c r="V51" s="534"/>
      <c r="W51" s="534"/>
      <c r="X51" s="534"/>
      <c r="Y51" s="534"/>
      <c r="Z51" s="534"/>
      <c r="AA51" s="534"/>
      <c r="AB51" s="534"/>
      <c r="AC51" s="534"/>
      <c r="AD51" s="500"/>
      <c r="AE51" s="500"/>
      <c r="AF51" s="500"/>
      <c r="AG51" s="500"/>
      <c r="AH51" s="500"/>
      <c r="AI51" s="500"/>
      <c r="AJ51" s="500"/>
      <c r="AK51" s="500"/>
      <c r="AL51" s="500"/>
      <c r="AM51" s="500"/>
      <c r="AN51" s="500"/>
      <c r="AO51" s="500"/>
      <c r="AP51" s="500"/>
      <c r="AQ51" s="500"/>
      <c r="AR51" s="500"/>
      <c r="AS51" s="500"/>
      <c r="AT51" s="500"/>
      <c r="AU51" s="500"/>
      <c r="AV51" s="500"/>
      <c r="AW51" s="500"/>
      <c r="AX51" s="500"/>
      <c r="AY51" s="500"/>
      <c r="AZ51" s="500"/>
      <c r="BA51" s="500"/>
      <c r="BB51" s="500"/>
      <c r="BC51" s="501"/>
      <c r="BE51" s="118"/>
      <c r="BF51" s="118" t="str">
        <f aca="false">IF(T51="","",T51)</f>
        <v/>
      </c>
      <c r="BG51" s="118"/>
      <c r="BH51" s="118"/>
      <c r="BI51" s="47" t="n">
        <v>0</v>
      </c>
    </row>
    <row r="52" customFormat="false" ht="11.25" hidden="false" customHeight="true" outlineLevel="0" collapsed="false">
      <c r="A52" s="412" t="s">
        <v>274</v>
      </c>
      <c r="B52" s="412" t="s">
        <v>275</v>
      </c>
      <c r="C52" s="412" t="s">
        <v>276</v>
      </c>
      <c r="D52" s="412" t="s">
        <v>557</v>
      </c>
      <c r="E52" s="413"/>
      <c r="F52" s="413"/>
      <c r="G52" s="413"/>
      <c r="H52" s="413"/>
      <c r="I52" s="428"/>
      <c r="J52" s="428"/>
      <c r="K52" s="428" t="str">
        <f aca="false">S48&amp;".1"</f>
        <v>...1</v>
      </c>
      <c r="L52" s="414"/>
      <c r="P52" s="121"/>
      <c r="Q52" s="121"/>
      <c r="R52" s="432" t="n">
        <v>1</v>
      </c>
      <c r="S52" s="474" t="str">
        <f aca="false">$K52</f>
        <v>...1</v>
      </c>
      <c r="T52" s="573"/>
      <c r="U52" s="418"/>
      <c r="V52" s="435"/>
      <c r="W52" s="437"/>
      <c r="X52" s="435"/>
      <c r="Y52" s="437"/>
      <c r="Z52" s="438"/>
      <c r="AA52" s="204" t="s">
        <v>61</v>
      </c>
      <c r="AB52" s="438"/>
      <c r="AC52" s="204" t="s">
        <v>61</v>
      </c>
      <c r="AD52" s="204" t="s">
        <v>61</v>
      </c>
      <c r="AE52" s="538"/>
      <c r="AF52" s="297" t="n">
        <v>1</v>
      </c>
      <c r="AG52" s="585"/>
      <c r="AH52" s="204" t="s">
        <v>61</v>
      </c>
      <c r="AI52" s="538"/>
      <c r="AJ52" s="297" t="n">
        <v>1</v>
      </c>
      <c r="AK52" s="76"/>
      <c r="AL52" s="204" t="s">
        <v>61</v>
      </c>
      <c r="AM52" s="265"/>
      <c r="AN52" s="297" t="n">
        <v>1</v>
      </c>
      <c r="AO52" s="594"/>
      <c r="AP52" s="595" t="s">
        <v>61</v>
      </c>
      <c r="AQ52" s="539"/>
      <c r="AR52" s="297" t="n">
        <v>1</v>
      </c>
      <c r="AS52" s="84"/>
      <c r="AT52" s="435"/>
      <c r="AU52" s="437"/>
      <c r="AV52" s="435"/>
      <c r="AW52" s="437"/>
      <c r="AX52" s="438"/>
      <c r="AY52" s="204" t="s">
        <v>61</v>
      </c>
      <c r="AZ52" s="438"/>
      <c r="BA52" s="204" t="s">
        <v>61</v>
      </c>
      <c r="BB52" s="486"/>
      <c r="BC52" s="439" t="s">
        <v>514</v>
      </c>
      <c r="BE52" s="118"/>
      <c r="BF52" s="118" t="str">
        <f aca="false">IF(T52="","",T52)</f>
        <v/>
      </c>
      <c r="BG52" s="118"/>
      <c r="BH52" s="118"/>
      <c r="BI52" s="42" t="n">
        <v>11</v>
      </c>
    </row>
    <row r="53" customFormat="false" ht="11.25" hidden="false" customHeight="true" outlineLevel="0" collapsed="false">
      <c r="A53" s="412"/>
      <c r="B53" s="412"/>
      <c r="C53" s="412"/>
      <c r="D53" s="412"/>
      <c r="E53" s="413"/>
      <c r="F53" s="413"/>
      <c r="G53" s="413"/>
      <c r="H53" s="413"/>
      <c r="I53" s="428"/>
      <c r="J53" s="428"/>
      <c r="K53" s="428"/>
      <c r="L53" s="414"/>
      <c r="P53" s="121"/>
      <c r="Q53" s="121"/>
      <c r="R53" s="432"/>
      <c r="S53" s="474"/>
      <c r="T53" s="573"/>
      <c r="U53" s="418"/>
      <c r="V53" s="528"/>
      <c r="W53" s="542"/>
      <c r="X53" s="528"/>
      <c r="Y53" s="542"/>
      <c r="Z53" s="528"/>
      <c r="AA53" s="528"/>
      <c r="AB53" s="528"/>
      <c r="AC53" s="528"/>
      <c r="AD53" s="204"/>
      <c r="AE53" s="538"/>
      <c r="AF53" s="297"/>
      <c r="AG53" s="585"/>
      <c r="AH53" s="204"/>
      <c r="AI53" s="538"/>
      <c r="AJ53" s="297"/>
      <c r="AK53" s="76"/>
      <c r="AL53" s="204"/>
      <c r="AM53" s="265"/>
      <c r="AN53" s="297"/>
      <c r="AO53" s="594"/>
      <c r="AP53" s="595"/>
      <c r="AQ53" s="541"/>
      <c r="AR53" s="168"/>
      <c r="AS53" s="168" t="s">
        <v>515</v>
      </c>
      <c r="AT53" s="528"/>
      <c r="AU53" s="542"/>
      <c r="AV53" s="528"/>
      <c r="AW53" s="542"/>
      <c r="AX53" s="528"/>
      <c r="AY53" s="528"/>
      <c r="AZ53" s="528"/>
      <c r="BA53" s="528"/>
      <c r="BB53" s="540"/>
      <c r="BC53" s="439"/>
      <c r="BE53" s="118"/>
      <c r="BF53" s="118"/>
      <c r="BG53" s="118"/>
      <c r="BH53" s="118"/>
      <c r="BI53" s="42" t="n">
        <v>11</v>
      </c>
    </row>
    <row r="54" customFormat="false" ht="11.25" hidden="false" customHeight="true" outlineLevel="0" collapsed="false">
      <c r="A54" s="412" t="s">
        <v>274</v>
      </c>
      <c r="B54" s="412"/>
      <c r="C54" s="412"/>
      <c r="D54" s="412"/>
      <c r="E54" s="413"/>
      <c r="F54" s="413"/>
      <c r="G54" s="413"/>
      <c r="H54" s="413"/>
      <c r="I54" s="428"/>
      <c r="J54" s="428"/>
      <c r="K54" s="428"/>
      <c r="L54" s="414"/>
      <c r="P54" s="121"/>
      <c r="Q54" s="121"/>
      <c r="R54" s="432"/>
      <c r="S54" s="474"/>
      <c r="T54" s="573"/>
      <c r="U54" s="418"/>
      <c r="V54" s="528"/>
      <c r="W54" s="542"/>
      <c r="X54" s="528"/>
      <c r="Y54" s="542"/>
      <c r="Z54" s="528"/>
      <c r="AA54" s="528"/>
      <c r="AB54" s="528"/>
      <c r="AC54" s="528"/>
      <c r="AD54" s="204"/>
      <c r="AE54" s="538"/>
      <c r="AF54" s="297"/>
      <c r="AG54" s="585"/>
      <c r="AH54" s="204"/>
      <c r="AI54" s="538"/>
      <c r="AJ54" s="297"/>
      <c r="AK54" s="76"/>
      <c r="AL54" s="204"/>
      <c r="AM54" s="541"/>
      <c r="AN54" s="596"/>
      <c r="AO54" s="596" t="s">
        <v>516</v>
      </c>
      <c r="AP54" s="168"/>
      <c r="AQ54" s="168"/>
      <c r="AR54" s="168"/>
      <c r="AS54" s="528"/>
      <c r="AT54" s="528"/>
      <c r="AU54" s="542"/>
      <c r="AV54" s="528"/>
      <c r="AW54" s="542"/>
      <c r="AX54" s="528"/>
      <c r="AY54" s="528"/>
      <c r="AZ54" s="528"/>
      <c r="BA54" s="528"/>
      <c r="BB54" s="540"/>
      <c r="BC54" s="439"/>
      <c r="BE54" s="118"/>
      <c r="BF54" s="118"/>
      <c r="BG54" s="118"/>
      <c r="BH54" s="118"/>
      <c r="BI54" s="42" t="n">
        <v>11</v>
      </c>
    </row>
    <row r="55" customFormat="false" ht="11.25" hidden="false" customHeight="true" outlineLevel="0" collapsed="false">
      <c r="A55" s="412" t="s">
        <v>274</v>
      </c>
      <c r="B55" s="412"/>
      <c r="C55" s="412"/>
      <c r="D55" s="412"/>
      <c r="E55" s="413"/>
      <c r="F55" s="413"/>
      <c r="G55" s="413"/>
      <c r="H55" s="413"/>
      <c r="I55" s="428"/>
      <c r="J55" s="428"/>
      <c r="K55" s="428"/>
      <c r="L55" s="414"/>
      <c r="P55" s="121"/>
      <c r="Q55" s="121"/>
      <c r="R55" s="432"/>
      <c r="S55" s="474"/>
      <c r="T55" s="573"/>
      <c r="U55" s="418"/>
      <c r="V55" s="528"/>
      <c r="W55" s="542"/>
      <c r="X55" s="528"/>
      <c r="Y55" s="542"/>
      <c r="Z55" s="528"/>
      <c r="AA55" s="528"/>
      <c r="AB55" s="528"/>
      <c r="AC55" s="528"/>
      <c r="AD55" s="204"/>
      <c r="AE55" s="538"/>
      <c r="AF55" s="297"/>
      <c r="AG55" s="585"/>
      <c r="AH55" s="204"/>
      <c r="AI55" s="544"/>
      <c r="AJ55" s="161"/>
      <c r="AK55" s="379" t="s">
        <v>517</v>
      </c>
      <c r="AL55" s="528"/>
      <c r="AM55" s="528"/>
      <c r="AN55" s="528"/>
      <c r="AO55" s="528"/>
      <c r="AP55" s="528"/>
      <c r="AQ55" s="528"/>
      <c r="AR55" s="528"/>
      <c r="AS55" s="528"/>
      <c r="AT55" s="528"/>
      <c r="AU55" s="542"/>
      <c r="AV55" s="528"/>
      <c r="AW55" s="542"/>
      <c r="AX55" s="528"/>
      <c r="AY55" s="528"/>
      <c r="AZ55" s="528"/>
      <c r="BA55" s="528"/>
      <c r="BB55" s="540"/>
      <c r="BC55" s="439"/>
      <c r="BE55" s="118"/>
      <c r="BF55" s="118"/>
      <c r="BG55" s="118"/>
      <c r="BH55" s="118"/>
      <c r="BI55" s="42" t="n">
        <v>11</v>
      </c>
    </row>
    <row r="56" customFormat="false" ht="11.25" hidden="false" customHeight="true" outlineLevel="0" collapsed="false">
      <c r="A56" s="412" t="s">
        <v>274</v>
      </c>
      <c r="B56" s="412" t="s">
        <v>275</v>
      </c>
      <c r="C56" s="412" t="s">
        <v>276</v>
      </c>
      <c r="D56" s="412" t="s">
        <v>557</v>
      </c>
      <c r="E56" s="413"/>
      <c r="F56" s="413"/>
      <c r="G56" s="413"/>
      <c r="H56" s="413"/>
      <c r="I56" s="428"/>
      <c r="J56" s="428"/>
      <c r="K56" s="428"/>
      <c r="L56" s="414"/>
      <c r="P56" s="121"/>
      <c r="Q56" s="121"/>
      <c r="R56" s="432"/>
      <c r="S56" s="474"/>
      <c r="T56" s="573"/>
      <c r="U56" s="418"/>
      <c r="V56" s="528"/>
      <c r="W56" s="529" t="str">
        <f aca="false">Z52&amp;"-"&amp;AB52</f>
        <v>-</v>
      </c>
      <c r="X56" s="528"/>
      <c r="Y56" s="529" t="str">
        <f aca="false">AB52&amp;"-"&amp;AD52</f>
        <v>-да</v>
      </c>
      <c r="Z56" s="528"/>
      <c r="AA56" s="528"/>
      <c r="AB56" s="528"/>
      <c r="AC56" s="528"/>
      <c r="AD56" s="204"/>
      <c r="AE56" s="546"/>
      <c r="AF56" s="547"/>
      <c r="AG56" s="168" t="s">
        <v>518</v>
      </c>
      <c r="AH56" s="528"/>
      <c r="AI56" s="528"/>
      <c r="AJ56" s="528"/>
      <c r="AK56" s="528"/>
      <c r="AL56" s="528"/>
      <c r="AM56" s="528"/>
      <c r="AN56" s="528"/>
      <c r="AO56" s="528"/>
      <c r="AP56" s="528"/>
      <c r="AQ56" s="528"/>
      <c r="AR56" s="528"/>
      <c r="AS56" s="528"/>
      <c r="AT56" s="528"/>
      <c r="AU56" s="529" t="str">
        <f aca="false">AX52&amp;"-"&amp;AZ52</f>
        <v>-</v>
      </c>
      <c r="AV56" s="528"/>
      <c r="AW56" s="529" t="str">
        <f aca="false">AZ52&amp;"-"&amp;BB52</f>
        <v>-</v>
      </c>
      <c r="AX56" s="528"/>
      <c r="AY56" s="528"/>
      <c r="AZ56" s="528"/>
      <c r="BA56" s="528"/>
      <c r="BB56" s="545" t="str">
        <f aca="false">BE52&amp;"-"&amp;BG52</f>
        <v>-</v>
      </c>
      <c r="BC56" s="439"/>
      <c r="BE56" s="118"/>
      <c r="BF56" s="118" t="str">
        <f aca="false">IF(T56="","",T56)</f>
        <v/>
      </c>
      <c r="BG56" s="118"/>
      <c r="BH56" s="118"/>
      <c r="BI56" s="42" t="n">
        <v>11</v>
      </c>
    </row>
    <row r="57" customFormat="false" ht="11.25" hidden="false" customHeight="true" outlineLevel="0" collapsed="false">
      <c r="A57" s="412" t="s">
        <v>274</v>
      </c>
      <c r="B57" s="412" t="s">
        <v>275</v>
      </c>
      <c r="C57" s="412" t="s">
        <v>276</v>
      </c>
      <c r="D57" s="412" t="s">
        <v>557</v>
      </c>
      <c r="E57" s="413"/>
      <c r="F57" s="413"/>
      <c r="G57" s="413"/>
      <c r="H57" s="413"/>
      <c r="I57" s="428"/>
      <c r="J57" s="428"/>
      <c r="K57" s="412"/>
      <c r="L57" s="414"/>
      <c r="P57" s="121"/>
      <c r="Q57" s="121"/>
      <c r="R57" s="429"/>
      <c r="S57" s="441"/>
      <c r="T57" s="444" t="s">
        <v>481</v>
      </c>
      <c r="U57" s="194"/>
      <c r="V57" s="194"/>
      <c r="W57" s="194"/>
      <c r="X57" s="194"/>
      <c r="Y57" s="194"/>
      <c r="Z57" s="194"/>
      <c r="AA57" s="194"/>
      <c r="AB57" s="194"/>
      <c r="AC57" s="443"/>
      <c r="AD57" s="569"/>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443"/>
      <c r="BC57" s="439"/>
      <c r="BE57" s="118"/>
      <c r="BF57" s="118" t="str">
        <f aca="false">IF(T57="","",T57)</f>
        <v>Добавить строку</v>
      </c>
      <c r="BG57" s="118"/>
      <c r="BH57" s="118"/>
      <c r="BI57" s="42" t="n">
        <v>11</v>
      </c>
    </row>
    <row r="58" s="47" customFormat="true" ht="12.8" hidden="false" customHeight="false" outlineLevel="0" collapsed="false">
      <c r="A58" s="122" t="s">
        <v>274</v>
      </c>
      <c r="B58" s="122" t="s">
        <v>275</v>
      </c>
      <c r="C58" s="122" t="s">
        <v>276</v>
      </c>
      <c r="D58" s="122" t="s">
        <v>557</v>
      </c>
      <c r="E58" s="413"/>
      <c r="F58" s="413"/>
      <c r="G58" s="413"/>
      <c r="H58" s="413"/>
      <c r="I58" s="428"/>
      <c r="J58" s="122"/>
      <c r="K58" s="122"/>
      <c r="L58" s="192"/>
      <c r="M58" s="506"/>
      <c r="N58" s="506"/>
      <c r="O58" s="506"/>
      <c r="P58" s="121"/>
      <c r="Q58" s="121"/>
      <c r="R58" s="429"/>
      <c r="S58" s="502"/>
      <c r="T58" s="503"/>
      <c r="U58" s="504"/>
      <c r="V58" s="504"/>
      <c r="W58" s="504"/>
      <c r="X58" s="504"/>
      <c r="Y58" s="504"/>
      <c r="Z58" s="504"/>
      <c r="AA58" s="504"/>
      <c r="AB58" s="504"/>
      <c r="AC58" s="504"/>
      <c r="AD58" s="504"/>
      <c r="AE58" s="504"/>
      <c r="AF58" s="504"/>
      <c r="AG58" s="504"/>
      <c r="AH58" s="504"/>
      <c r="AI58" s="504"/>
      <c r="AJ58" s="504"/>
      <c r="AK58" s="504"/>
      <c r="AL58" s="504"/>
      <c r="AM58" s="504"/>
      <c r="AN58" s="504"/>
      <c r="AO58" s="504"/>
      <c r="AP58" s="504"/>
      <c r="AQ58" s="504"/>
      <c r="AR58" s="504"/>
      <c r="AS58" s="504"/>
      <c r="AT58" s="504"/>
      <c r="AU58" s="504"/>
      <c r="AV58" s="504"/>
      <c r="AW58" s="504"/>
      <c r="AX58" s="504"/>
      <c r="AY58" s="504"/>
      <c r="AZ58" s="504"/>
      <c r="BA58" s="504"/>
      <c r="BB58" s="504"/>
      <c r="BC58" s="505"/>
      <c r="BE58" s="118"/>
      <c r="BF58" s="118" t="str">
        <f aca="false">IF(T58="","",T58)</f>
        <v/>
      </c>
      <c r="BG58" s="118"/>
      <c r="BH58" s="118"/>
      <c r="BI58" s="47" t="n">
        <v>0</v>
      </c>
    </row>
    <row r="59" s="47" customFormat="true" ht="12.8" hidden="false" customHeight="false" outlineLevel="0" collapsed="false">
      <c r="A59" s="122" t="s">
        <v>274</v>
      </c>
      <c r="B59" s="122" t="s">
        <v>275</v>
      </c>
      <c r="C59" s="122" t="s">
        <v>276</v>
      </c>
      <c r="D59" s="122" t="s">
        <v>557</v>
      </c>
      <c r="E59" s="413"/>
      <c r="F59" s="413"/>
      <c r="G59" s="413"/>
      <c r="H59" s="413"/>
      <c r="I59" s="122"/>
      <c r="J59" s="122"/>
      <c r="K59" s="122"/>
      <c r="L59" s="192"/>
      <c r="M59" s="46"/>
      <c r="N59" s="46"/>
      <c r="P59" s="156"/>
      <c r="Q59" s="449"/>
      <c r="R59" s="548"/>
      <c r="S59" s="502"/>
      <c r="T59" s="503"/>
      <c r="U59" s="504"/>
      <c r="V59" s="504"/>
      <c r="W59" s="504"/>
      <c r="X59" s="504"/>
      <c r="Y59" s="504"/>
      <c r="Z59" s="504"/>
      <c r="AA59" s="504"/>
      <c r="AB59" s="504"/>
      <c r="AC59" s="504"/>
      <c r="AD59" s="504"/>
      <c r="AE59" s="504"/>
      <c r="AF59" s="504"/>
      <c r="AG59" s="504"/>
      <c r="AH59" s="504"/>
      <c r="AI59" s="504"/>
      <c r="AJ59" s="504"/>
      <c r="AK59" s="504"/>
      <c r="AL59" s="504"/>
      <c r="AM59" s="504"/>
      <c r="AN59" s="504"/>
      <c r="AO59" s="504"/>
      <c r="AP59" s="504"/>
      <c r="AQ59" s="504"/>
      <c r="AR59" s="504"/>
      <c r="AS59" s="504"/>
      <c r="AT59" s="504"/>
      <c r="AU59" s="504"/>
      <c r="AV59" s="504"/>
      <c r="AW59" s="504"/>
      <c r="AX59" s="504"/>
      <c r="AY59" s="504"/>
      <c r="AZ59" s="504"/>
      <c r="BA59" s="504"/>
      <c r="BB59" s="504"/>
      <c r="BC59" s="505"/>
      <c r="BE59" s="118"/>
      <c r="BF59" s="118" t="str">
        <f aca="false">IF(T59="","",T59)</f>
        <v/>
      </c>
      <c r="BG59" s="118"/>
      <c r="BH59" s="118"/>
      <c r="BI59" s="47" t="n">
        <v>0</v>
      </c>
    </row>
    <row r="60" s="47" customFormat="true" ht="12.8" hidden="false" customHeight="false" outlineLevel="0" collapsed="false">
      <c r="A60" s="122" t="s">
        <v>274</v>
      </c>
      <c r="B60" s="122" t="s">
        <v>275</v>
      </c>
      <c r="C60" s="122" t="s">
        <v>276</v>
      </c>
      <c r="D60" s="122"/>
      <c r="E60" s="413"/>
      <c r="F60" s="413"/>
      <c r="G60" s="413"/>
      <c r="H60" s="122"/>
      <c r="I60" s="122"/>
      <c r="J60" s="122"/>
      <c r="K60" s="122"/>
      <c r="L60" s="192"/>
      <c r="M60" s="46"/>
      <c r="N60" s="46"/>
      <c r="P60" s="156"/>
      <c r="Q60" s="449"/>
      <c r="R60" s="156"/>
      <c r="S60" s="454"/>
      <c r="T60" s="457"/>
      <c r="U60" s="456"/>
      <c r="V60" s="456"/>
      <c r="W60" s="456"/>
      <c r="X60" s="456"/>
      <c r="Y60" s="456"/>
      <c r="Z60" s="456"/>
      <c r="AA60" s="456"/>
      <c r="AB60" s="456"/>
      <c r="AC60" s="456"/>
      <c r="AD60" s="456"/>
      <c r="AE60" s="456"/>
      <c r="AF60" s="456"/>
      <c r="AG60" s="456"/>
      <c r="AH60" s="456"/>
      <c r="AI60" s="456"/>
      <c r="AJ60" s="456"/>
      <c r="AK60" s="456"/>
      <c r="AL60" s="456"/>
      <c r="AM60" s="456"/>
      <c r="AN60" s="456"/>
      <c r="AO60" s="456"/>
      <c r="AP60" s="456"/>
      <c r="AQ60" s="456"/>
      <c r="AR60" s="456"/>
      <c r="AS60" s="456"/>
      <c r="AT60" s="456"/>
      <c r="AU60" s="456"/>
      <c r="AV60" s="456"/>
      <c r="AW60" s="456"/>
      <c r="AX60" s="456"/>
      <c r="AY60" s="456"/>
      <c r="AZ60" s="456"/>
      <c r="BA60" s="456"/>
      <c r="BB60" s="456"/>
      <c r="BC60" s="456"/>
      <c r="BE60" s="118"/>
      <c r="BF60" s="118" t="str">
        <f aca="false">IF(T60="","",T60)</f>
        <v/>
      </c>
      <c r="BG60" s="118"/>
      <c r="BH60" s="118"/>
      <c r="BI60" s="47" t="n">
        <v>0</v>
      </c>
    </row>
    <row r="61" s="47" customFormat="true" ht="12.8" hidden="false" customHeight="false" outlineLevel="0" collapsed="false">
      <c r="A61" s="122" t="s">
        <v>274</v>
      </c>
      <c r="B61" s="122" t="s">
        <v>275</v>
      </c>
      <c r="C61" s="122"/>
      <c r="D61" s="122"/>
      <c r="E61" s="413"/>
      <c r="F61" s="413"/>
      <c r="G61" s="122"/>
      <c r="H61" s="122"/>
      <c r="I61" s="122"/>
      <c r="J61" s="122"/>
      <c r="K61" s="122"/>
      <c r="L61" s="192"/>
      <c r="M61" s="453"/>
      <c r="N61" s="453"/>
      <c r="P61" s="156"/>
      <c r="Q61" s="449"/>
      <c r="R61" s="156"/>
      <c r="S61" s="454"/>
      <c r="T61" s="457" t="s">
        <v>428</v>
      </c>
      <c r="U61" s="456"/>
      <c r="V61" s="456"/>
      <c r="W61" s="456"/>
      <c r="X61" s="456"/>
      <c r="Y61" s="456"/>
      <c r="Z61" s="456"/>
      <c r="AA61" s="456"/>
      <c r="AB61" s="456"/>
      <c r="AC61" s="456"/>
      <c r="AD61" s="456"/>
      <c r="AE61" s="456"/>
      <c r="AF61" s="456"/>
      <c r="AG61" s="456"/>
      <c r="AH61" s="456"/>
      <c r="AI61" s="456"/>
      <c r="AJ61" s="456"/>
      <c r="AK61" s="456"/>
      <c r="AL61" s="456"/>
      <c r="AM61" s="456"/>
      <c r="AN61" s="456"/>
      <c r="AO61" s="456"/>
      <c r="AP61" s="456"/>
      <c r="AQ61" s="456"/>
      <c r="AR61" s="456"/>
      <c r="AS61" s="456"/>
      <c r="AT61" s="456"/>
      <c r="AU61" s="456"/>
      <c r="AV61" s="456"/>
      <c r="AW61" s="456"/>
      <c r="AX61" s="456"/>
      <c r="AY61" s="456"/>
      <c r="AZ61" s="456"/>
      <c r="BA61" s="456"/>
      <c r="BB61" s="456"/>
      <c r="BC61" s="456"/>
      <c r="BE61" s="118"/>
      <c r="BF61" s="118" t="str">
        <f aca="false">IF(T61="","",T61)</f>
        <v>Добавить централизованную систему для дифференциации</v>
      </c>
      <c r="BG61" s="118"/>
      <c r="BH61" s="118"/>
      <c r="BI61" s="47" t="n">
        <v>0</v>
      </c>
    </row>
    <row r="62" s="47" customFormat="true" ht="12.8" hidden="false" customHeight="false" outlineLevel="0" collapsed="false">
      <c r="A62" s="122" t="s">
        <v>274</v>
      </c>
      <c r="B62" s="122"/>
      <c r="C62" s="122"/>
      <c r="D62" s="122"/>
      <c r="E62" s="413"/>
      <c r="F62" s="122"/>
      <c r="G62" s="122"/>
      <c r="H62" s="122"/>
      <c r="I62" s="122"/>
      <c r="J62" s="122"/>
      <c r="K62" s="122"/>
      <c r="L62" s="192"/>
      <c r="M62" s="453"/>
      <c r="N62" s="453"/>
      <c r="P62" s="156"/>
      <c r="Q62" s="449"/>
      <c r="R62" s="156"/>
      <c r="S62" s="454"/>
      <c r="T62" s="457" t="s">
        <v>429</v>
      </c>
      <c r="U62" s="456"/>
      <c r="V62" s="456"/>
      <c r="W62" s="456"/>
      <c r="X62" s="456"/>
      <c r="Y62" s="456"/>
      <c r="Z62" s="456"/>
      <c r="AA62" s="456"/>
      <c r="AB62" s="456"/>
      <c r="AC62" s="456"/>
      <c r="AD62" s="456"/>
      <c r="AE62" s="456"/>
      <c r="AF62" s="456"/>
      <c r="AG62" s="456"/>
      <c r="AH62" s="456"/>
      <c r="AI62" s="456"/>
      <c r="AJ62" s="456"/>
      <c r="AK62" s="456"/>
      <c r="AL62" s="456"/>
      <c r="AM62" s="456"/>
      <c r="AN62" s="456"/>
      <c r="AO62" s="456"/>
      <c r="AP62" s="456"/>
      <c r="AQ62" s="456"/>
      <c r="AR62" s="456"/>
      <c r="AS62" s="456"/>
      <c r="AT62" s="456"/>
      <c r="AU62" s="456"/>
      <c r="AV62" s="456"/>
      <c r="AW62" s="456"/>
      <c r="AX62" s="456"/>
      <c r="AY62" s="456"/>
      <c r="AZ62" s="456"/>
      <c r="BA62" s="456"/>
      <c r="BB62" s="456"/>
      <c r="BC62" s="456"/>
      <c r="BE62" s="118"/>
      <c r="BF62" s="118" t="str">
        <f aca="false">IF(T62="","",T62)</f>
        <v>Добавить территорию для дифференциации</v>
      </c>
      <c r="BG62" s="118"/>
      <c r="BH62" s="118"/>
      <c r="BI62" s="47" t="n">
        <v>0</v>
      </c>
    </row>
    <row r="63" s="47" customFormat="true" ht="12.8" hidden="false" customHeight="false" outlineLevel="0" collapsed="false">
      <c r="A63" s="122"/>
      <c r="B63" s="122"/>
      <c r="C63" s="122"/>
      <c r="D63" s="122"/>
      <c r="E63" s="122"/>
      <c r="F63" s="122"/>
      <c r="G63" s="122"/>
      <c r="H63" s="122"/>
      <c r="I63" s="122"/>
      <c r="J63" s="122"/>
      <c r="K63" s="122"/>
      <c r="L63" s="192"/>
      <c r="M63" s="453"/>
      <c r="N63" s="453"/>
      <c r="P63" s="156"/>
      <c r="Q63" s="449"/>
      <c r="R63" s="156"/>
      <c r="S63" s="454"/>
      <c r="T63" s="457" t="s">
        <v>461</v>
      </c>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56"/>
      <c r="AX63" s="456"/>
      <c r="AY63" s="456"/>
      <c r="AZ63" s="456"/>
      <c r="BA63" s="456"/>
      <c r="BB63" s="456"/>
      <c r="BC63" s="456"/>
      <c r="BE63" s="118"/>
      <c r="BF63" s="118" t="str">
        <f aca="false">IF(T63="","",T63)</f>
        <v>Добавить наименование тарифа</v>
      </c>
      <c r="BG63" s="118"/>
      <c r="BH63" s="118"/>
      <c r="BI63" s="47"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9.5" hidden="false" customHeight="true" outlineLevel="0" collapsed="false">
      <c r="O65" s="45"/>
      <c r="S65" s="409"/>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488"/>
      <c r="AY65" s="488"/>
      <c r="AZ65" s="488"/>
      <c r="BA65" s="488"/>
      <c r="BB65" s="488"/>
      <c r="BC65" s="488"/>
      <c r="BI65" s="42" t="n">
        <v>19</v>
      </c>
    </row>
    <row r="66" customFormat="false" ht="14.25" hidden="false" customHeight="true" outlineLevel="0" collapsed="false">
      <c r="O66" s="45"/>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c r="AW66" s="488"/>
      <c r="AX66" s="488"/>
      <c r="AY66" s="488"/>
      <c r="AZ66" s="488"/>
      <c r="BA66" s="488"/>
      <c r="BB66" s="488"/>
      <c r="BC66" s="488"/>
      <c r="BI66" s="42" t="n">
        <v>14</v>
      </c>
    </row>
    <row r="67" customFormat="false" ht="19.5" hidden="false" customHeight="true" outlineLevel="0" collapsed="false">
      <c r="O67" s="45"/>
      <c r="S67" s="409"/>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c r="AX67" s="488"/>
      <c r="AY67" s="488"/>
      <c r="AZ67" s="488"/>
      <c r="BA67" s="488"/>
      <c r="BB67" s="488"/>
      <c r="BC67" s="488"/>
      <c r="BI67" s="42" t="n">
        <v>19</v>
      </c>
    </row>
    <row r="68" customFormat="false" ht="14.25" hidden="false" customHeight="true" outlineLevel="0" collapsed="false">
      <c r="O68" s="45"/>
      <c r="BI68" s="42" t="n">
        <v>14</v>
      </c>
    </row>
    <row r="69" customFormat="false" ht="14.25" hidden="true" customHeight="true" outlineLevel="0" collapsed="false">
      <c r="A69" s="45" t="s">
        <v>81</v>
      </c>
      <c r="B69" s="45" t="n">
        <v>0</v>
      </c>
      <c r="C69" s="45" t="n">
        <v>0</v>
      </c>
      <c r="D69" s="45" t="n">
        <v>0</v>
      </c>
      <c r="E69" s="45" t="n">
        <v>0</v>
      </c>
      <c r="F69" s="45" t="n">
        <v>0</v>
      </c>
      <c r="G69" s="45" t="n">
        <v>0</v>
      </c>
      <c r="H69" s="45" t="n">
        <v>0</v>
      </c>
      <c r="I69" s="45" t="n">
        <v>0</v>
      </c>
      <c r="J69" s="45" t="n">
        <v>0</v>
      </c>
      <c r="K69" s="45" t="n">
        <v>0</v>
      </c>
      <c r="L69" s="44" t="n">
        <v>0</v>
      </c>
      <c r="M69" s="51" t="n">
        <v>0</v>
      </c>
      <c r="N69" s="51" t="n">
        <v>0</v>
      </c>
      <c r="O69" s="51" t="n">
        <v>0</v>
      </c>
      <c r="P69" s="51" t="n">
        <v>0</v>
      </c>
      <c r="Q69" s="463" t="n">
        <v>0</v>
      </c>
      <c r="R69" s="411" t="n">
        <v>3</v>
      </c>
      <c r="S69" s="75"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7" t="n">
        <v>10</v>
      </c>
      <c r="BE69" s="47" t="n">
        <v>10</v>
      </c>
      <c r="BF69" s="47" t="n">
        <v>10</v>
      </c>
      <c r="BG69" s="47" t="n">
        <v>10</v>
      </c>
      <c r="BH69" s="47"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I32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J92" activeCellId="0" sqref="J92"/>
    </sheetView>
  </sheetViews>
  <sheetFormatPr defaultColWidth="9.14453125" defaultRowHeight="11.25" zeroHeight="false" outlineLevelRow="0" outlineLevelCol="0"/>
  <cols>
    <col collapsed="false" customWidth="true" hidden="true" outlineLevel="0" max="1" min="1" style="598" width="10.71"/>
    <col collapsed="false" customWidth="true" hidden="true" outlineLevel="0" max="2" min="2" style="45" width="16.85"/>
    <col collapsed="false" customWidth="true" hidden="true" outlineLevel="0" max="3" min="3" style="47" width="5.57"/>
    <col collapsed="false" customWidth="true" hidden="false" outlineLevel="0" max="4" min="4" style="42" width="3"/>
    <col collapsed="false" customWidth="true" hidden="false" outlineLevel="0" max="5" min="5" style="42" width="7"/>
    <col collapsed="false" customWidth="true" hidden="false" outlineLevel="0" max="6" min="6" style="42" width="54"/>
    <col collapsed="false" customWidth="true" hidden="false" outlineLevel="0" max="7" min="7" style="42" width="10"/>
    <col collapsed="false" customWidth="true" hidden="true" outlineLevel="0" max="8" min="8" style="42" width="40.71"/>
    <col collapsed="false" customWidth="true" hidden="false" outlineLevel="0" max="12" min="9" style="42" width="40.71"/>
    <col collapsed="false" customWidth="true" hidden="false" outlineLevel="0" max="13" min="13" style="42" width="102"/>
    <col collapsed="false" customWidth="true" hidden="false" outlineLevel="0" max="14" min="14" style="45" width="9"/>
    <col collapsed="false" customWidth="true" hidden="false" outlineLevel="0" max="15" min="15" style="47" width="5"/>
    <col collapsed="false" customWidth="true" hidden="false" outlineLevel="0" max="16" min="16" style="47" width="3"/>
    <col collapsed="false" customWidth="true" hidden="false" outlineLevel="0" max="20" min="17" style="45" width="3"/>
    <col collapsed="false" customWidth="true" hidden="false" outlineLevel="0" max="21" min="21" style="47" width="10"/>
    <col collapsed="false" customWidth="true" hidden="false" outlineLevel="0" max="22" min="22" style="45" width="34"/>
    <col collapsed="false" customWidth="true" hidden="false" outlineLevel="0" max="23" min="23" style="45" width="9"/>
    <col collapsed="false" customWidth="true" hidden="false" outlineLevel="0" max="24" min="24" style="599" width="8"/>
    <col collapsed="false" customWidth="true" hidden="false" outlineLevel="0" max="34" min="25" style="45" width="8"/>
    <col collapsed="false" customWidth="false" hidden="true" outlineLevel="0" max="35" min="35" style="42" width="9.14"/>
  </cols>
  <sheetData>
    <row r="1" customFormat="false" ht="22.5" hidden="true" customHeight="true" outlineLevel="0" collapsed="false">
      <c r="AI1" s="42" t="s">
        <v>14</v>
      </c>
    </row>
    <row r="2" customFormat="false" ht="23.25" hidden="true" customHeight="true" outlineLevel="0" collapsed="false">
      <c r="B2" s="43"/>
      <c r="C2" s="456" t="s">
        <v>558</v>
      </c>
      <c r="D2" s="114"/>
      <c r="E2" s="600" t="n">
        <f aca="false">B2</f>
        <v>0</v>
      </c>
      <c r="F2" s="601"/>
      <c r="G2" s="146" t="s">
        <v>559</v>
      </c>
      <c r="H2" s="146" t="s">
        <v>559</v>
      </c>
      <c r="I2" s="146" t="s">
        <v>559</v>
      </c>
      <c r="J2" s="146" t="s">
        <v>559</v>
      </c>
      <c r="K2" s="146" t="s">
        <v>559</v>
      </c>
      <c r="L2" s="146" t="s">
        <v>559</v>
      </c>
      <c r="M2" s="417" t="s">
        <v>560</v>
      </c>
      <c r="N2" s="602"/>
      <c r="AI2" s="42" t="n">
        <v>0</v>
      </c>
    </row>
    <row r="3" s="47" customFormat="true" ht="0.75" hidden="true" customHeight="true" outlineLevel="0" collapsed="false">
      <c r="B3" s="43"/>
      <c r="C3" s="456"/>
      <c r="D3" s="456"/>
      <c r="E3" s="603"/>
      <c r="F3" s="604" t="s">
        <v>561</v>
      </c>
      <c r="G3" s="147"/>
      <c r="H3" s="147" t="n">
        <f aca="false">H4*H5+H6</f>
        <v>0</v>
      </c>
      <c r="I3" s="147" t="n">
        <f aca="false">I4*I5+I6</f>
        <v>0</v>
      </c>
      <c r="J3" s="147" t="n">
        <f aca="false">J4*J5+J6</f>
        <v>0</v>
      </c>
      <c r="K3" s="147" t="n">
        <f aca="false">K4*K5+K6</f>
        <v>0</v>
      </c>
      <c r="L3" s="147" t="n">
        <f aca="false">L4*L5+L6</f>
        <v>0</v>
      </c>
      <c r="M3" s="300"/>
      <c r="AI3" s="47" t="n">
        <v>0</v>
      </c>
    </row>
    <row r="4" customFormat="false" ht="23.25" hidden="true" customHeight="true" outlineLevel="0" collapsed="false">
      <c r="B4" s="43"/>
      <c r="C4" s="456"/>
      <c r="D4" s="114"/>
      <c r="E4" s="600" t="str">
        <f aca="false">B2&amp;".1"</f>
        <v>.1</v>
      </c>
      <c r="F4" s="605" t="s">
        <v>562</v>
      </c>
      <c r="G4" s="606"/>
      <c r="H4" s="435"/>
      <c r="I4" s="435"/>
      <c r="J4" s="435"/>
      <c r="K4" s="435"/>
      <c r="L4" s="435"/>
      <c r="M4" s="417" t="s">
        <v>563</v>
      </c>
      <c r="N4" s="602"/>
      <c r="AI4" s="42" t="n">
        <v>0</v>
      </c>
    </row>
    <row r="5" customFormat="false" ht="18.75" hidden="true" customHeight="true" outlineLevel="0" collapsed="false">
      <c r="B5" s="43"/>
      <c r="C5" s="456"/>
      <c r="D5" s="114"/>
      <c r="E5" s="600" t="str">
        <f aca="false">B2&amp;".2"</f>
        <v>.2</v>
      </c>
      <c r="F5" s="605" t="s">
        <v>564</v>
      </c>
      <c r="G5" s="146" t="s">
        <v>565</v>
      </c>
      <c r="H5" s="435"/>
      <c r="I5" s="435"/>
      <c r="J5" s="435"/>
      <c r="K5" s="435"/>
      <c r="L5" s="435"/>
      <c r="M5" s="417"/>
      <c r="N5" s="602"/>
      <c r="AI5" s="42" t="n">
        <v>0</v>
      </c>
    </row>
    <row r="6" customFormat="false" ht="18.75" hidden="true" customHeight="true" outlineLevel="0" collapsed="false">
      <c r="B6" s="43"/>
      <c r="C6" s="456"/>
      <c r="D6" s="114"/>
      <c r="E6" s="600" t="str">
        <f aca="false">B2&amp;".3"</f>
        <v>.3</v>
      </c>
      <c r="F6" s="605" t="s">
        <v>566</v>
      </c>
      <c r="G6" s="146" t="s">
        <v>565</v>
      </c>
      <c r="H6" s="435"/>
      <c r="I6" s="435"/>
      <c r="J6" s="435"/>
      <c r="K6" s="435"/>
      <c r="L6" s="435"/>
      <c r="M6" s="417"/>
      <c r="N6" s="602"/>
      <c r="AI6" s="42" t="n">
        <v>0</v>
      </c>
    </row>
    <row r="7" customFormat="false" ht="18.75" hidden="true" customHeight="true" outlineLevel="0" collapsed="false">
      <c r="B7" s="43"/>
      <c r="C7" s="456"/>
      <c r="D7" s="114"/>
      <c r="E7" s="600" t="str">
        <f aca="false">B2&amp;".4"</f>
        <v>.4</v>
      </c>
      <c r="F7" s="605" t="s">
        <v>567</v>
      </c>
      <c r="G7" s="146" t="s">
        <v>559</v>
      </c>
      <c r="H7" s="572"/>
      <c r="I7" s="572"/>
      <c r="J7" s="572"/>
      <c r="K7" s="572"/>
      <c r="L7" s="572"/>
      <c r="M7" s="417"/>
      <c r="N7" s="602"/>
      <c r="AI7" s="42" t="n">
        <v>0</v>
      </c>
    </row>
    <row r="8" s="45" customFormat="true" ht="11.25" hidden="true" customHeight="true" outlineLevel="0" collapsed="false">
      <c r="A8" s="598"/>
      <c r="C8" s="47"/>
      <c r="H8" s="45" t="n">
        <v>4</v>
      </c>
      <c r="I8" s="45" t="n">
        <v>4</v>
      </c>
      <c r="J8" s="45" t="n">
        <v>4</v>
      </c>
      <c r="K8" s="45" t="n">
        <v>4</v>
      </c>
      <c r="L8" s="45" t="n">
        <v>4</v>
      </c>
      <c r="O8" s="47"/>
      <c r="P8" s="47"/>
      <c r="U8" s="47"/>
      <c r="AI8" s="45" t="n">
        <v>0</v>
      </c>
    </row>
    <row r="9" s="45" customFormat="true" ht="22.5" hidden="true" customHeight="true" outlineLevel="0" collapsed="false">
      <c r="A9" s="598"/>
      <c r="C9" s="47"/>
      <c r="D9" s="607"/>
      <c r="E9" s="146"/>
      <c r="F9" s="148"/>
      <c r="G9" s="146" t="s">
        <v>565</v>
      </c>
      <c r="H9" s="435"/>
      <c r="I9" s="435"/>
      <c r="J9" s="435"/>
      <c r="K9" s="435"/>
      <c r="L9" s="435"/>
      <c r="M9" s="608" t="s">
        <v>568</v>
      </c>
      <c r="N9" s="602"/>
      <c r="O9" s="47"/>
      <c r="P9" s="47"/>
      <c r="U9" s="47"/>
      <c r="X9" s="599"/>
      <c r="AI9" s="45" t="n">
        <v>0</v>
      </c>
    </row>
    <row r="10" customFormat="false" ht="11.25" hidden="true" customHeight="true" outlineLevel="0" collapsed="false">
      <c r="AI10" s="42" t="n">
        <v>0</v>
      </c>
    </row>
    <row r="11" customFormat="false" ht="18.75" hidden="true" customHeight="true" outlineLevel="0" collapsed="false">
      <c r="D11" s="114"/>
      <c r="E11" s="600"/>
      <c r="F11" s="148"/>
      <c r="G11" s="146" t="s">
        <v>569</v>
      </c>
      <c r="H11" s="435"/>
      <c r="I11" s="435"/>
      <c r="J11" s="435"/>
      <c r="K11" s="435"/>
      <c r="L11" s="435"/>
      <c r="M11" s="417" t="s">
        <v>570</v>
      </c>
      <c r="N11" s="602"/>
      <c r="AI11" s="42" t="n">
        <v>0</v>
      </c>
    </row>
    <row r="12" customFormat="false" ht="11.25" hidden="true" customHeight="true" outlineLevel="0" collapsed="false">
      <c r="AI12" s="42" t="n">
        <v>0</v>
      </c>
    </row>
    <row r="13" customFormat="false" ht="22.5" hidden="true" customHeight="true" outlineLevel="0" collapsed="false">
      <c r="D13" s="114"/>
      <c r="E13" s="600"/>
      <c r="F13" s="148"/>
      <c r="G13" s="209" t="s">
        <v>571</v>
      </c>
      <c r="H13" s="609"/>
      <c r="I13" s="609"/>
      <c r="J13" s="609"/>
      <c r="K13" s="609"/>
      <c r="L13" s="609"/>
      <c r="M13" s="610" t="s">
        <v>572</v>
      </c>
      <c r="N13" s="602"/>
      <c r="AI13" s="42" t="n">
        <v>0</v>
      </c>
    </row>
    <row r="14" customFormat="false" ht="11.25" hidden="true" customHeight="true" outlineLevel="0" collapsed="false">
      <c r="AI14" s="42" t="n">
        <v>0</v>
      </c>
    </row>
    <row r="15" customFormat="false" ht="22.5" hidden="true" customHeight="true" outlineLevel="0" collapsed="false">
      <c r="D15" s="114"/>
      <c r="E15" s="600"/>
      <c r="F15" s="148"/>
      <c r="G15" s="146" t="s">
        <v>573</v>
      </c>
      <c r="H15" s="609"/>
      <c r="I15" s="609"/>
      <c r="J15" s="609"/>
      <c r="K15" s="609"/>
      <c r="L15" s="609"/>
      <c r="M15" s="417" t="s">
        <v>574</v>
      </c>
      <c r="N15" s="602"/>
      <c r="AI15" s="42" t="n">
        <v>0</v>
      </c>
    </row>
    <row r="16" customFormat="false" ht="11.25" hidden="true" customHeight="true" outlineLevel="0" collapsed="false">
      <c r="AI16" s="42" t="n">
        <v>0</v>
      </c>
    </row>
    <row r="17" customFormat="false" ht="22.5" hidden="true" customHeight="true" outlineLevel="0" collapsed="false">
      <c r="D17" s="114"/>
      <c r="E17" s="600"/>
      <c r="F17" s="148"/>
      <c r="G17" s="146" t="s">
        <v>575</v>
      </c>
      <c r="H17" s="609"/>
      <c r="I17" s="609"/>
      <c r="J17" s="609"/>
      <c r="K17" s="609"/>
      <c r="L17" s="609"/>
      <c r="M17" s="417" t="s">
        <v>576</v>
      </c>
      <c r="N17" s="602"/>
      <c r="AI17" s="42" t="n">
        <v>0</v>
      </c>
    </row>
    <row r="18" customFormat="false" ht="11.25" hidden="true" customHeight="true" outlineLevel="0" collapsed="false">
      <c r="AI18" s="42" t="n">
        <v>0</v>
      </c>
    </row>
    <row r="19" s="45" customFormat="true" ht="11.25" hidden="true" customHeight="true" outlineLevel="0" collapsed="false">
      <c r="A19" s="598"/>
      <c r="C19" s="47"/>
      <c r="M19" s="45" t="n">
        <v>4</v>
      </c>
      <c r="O19" s="47"/>
      <c r="P19" s="47"/>
      <c r="U19" s="47"/>
      <c r="X19" s="599"/>
      <c r="AI19" s="45" t="n">
        <v>0</v>
      </c>
    </row>
    <row r="20" customFormat="false" ht="11.25" hidden="false" customHeight="true" outlineLevel="0" collapsed="false">
      <c r="AI20" s="42" t="n">
        <v>11</v>
      </c>
    </row>
    <row r="21" customFormat="false" ht="24.75" hidden="false" customHeight="true" outlineLevel="0" collapsed="false">
      <c r="E21" s="220" t="str">
        <f aca="false">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0"/>
      <c r="G21" s="220"/>
      <c r="H21" s="220"/>
      <c r="I21" s="220"/>
      <c r="J21" s="386"/>
      <c r="K21" s="386"/>
      <c r="L21" s="386"/>
      <c r="M21" s="222"/>
      <c r="AI21" s="42" t="n">
        <v>24</v>
      </c>
    </row>
    <row r="22" customFormat="false" ht="24.75" hidden="false" customHeight="true" outlineLevel="0" collapsed="false">
      <c r="E22" s="261" t="str">
        <f aca="false">IF(org=0,"Не определено",org)</f>
        <v>ООО "Газпром теплоэнерго Ярославль"</v>
      </c>
      <c r="F22" s="261"/>
      <c r="G22" s="261"/>
      <c r="H22" s="261"/>
      <c r="I22" s="261"/>
      <c r="J22" s="611"/>
      <c r="K22" s="611"/>
      <c r="L22" s="611"/>
      <c r="AI22" s="42" t="n">
        <v>24</v>
      </c>
    </row>
    <row r="23" customFormat="false" ht="11.25" hidden="false" customHeight="true" outlineLevel="0" collapsed="false">
      <c r="E23" s="612"/>
      <c r="F23" s="612"/>
      <c r="G23" s="612"/>
      <c r="H23" s="612"/>
      <c r="I23" s="612"/>
      <c r="J23" s="612"/>
      <c r="K23" s="612"/>
      <c r="L23" s="612"/>
      <c r="AI23" s="42" t="n">
        <v>11</v>
      </c>
    </row>
    <row r="24" s="47" customFormat="true" ht="0.75" hidden="false" customHeight="true" outlineLevel="0" collapsed="false">
      <c r="A24" s="456"/>
      <c r="H24" s="613"/>
      <c r="I24" s="613" t="s">
        <v>127</v>
      </c>
      <c r="J24" s="613" t="s">
        <v>131</v>
      </c>
      <c r="K24" s="613" t="s">
        <v>132</v>
      </c>
      <c r="L24" s="613" t="s">
        <v>134</v>
      </c>
      <c r="AI24" s="47" t="n">
        <v>1</v>
      </c>
    </row>
    <row r="25" customFormat="false" ht="11.25" hidden="false" customHeight="true" outlineLevel="0" collapsed="false">
      <c r="E25" s="614"/>
      <c r="F25" s="615" t="s">
        <v>116</v>
      </c>
      <c r="G25" s="615"/>
      <c r="H25" s="616" t="str">
        <f aca="false">IF(H24="","",INDEX(DIFFERENTIATION_UNMERGE_VD,MATCH(H24,DIFFERENTIATION_ID_DIFF,0)))</f>
        <v/>
      </c>
      <c r="I25" s="616" t="str">
        <f aca="false">IF(I24="","",INDEX(DIFFERENTIATION_UNMERGE_VD,MATCH(I24,DIFFERENTIATION_ID_DIFF,0)))</f>
        <v>Производство тепловой энергии. Некомбинированная выработка</v>
      </c>
      <c r="J25" s="616" t="str">
        <f aca="false">IF(J24="","",INDEX(DIFFERENTIATION_UNMERGE_VD,MATCH(J24,DIFFERENTIATION_ID_DIFF,0)))</f>
        <v>Производство тепловой энергии. Некомбинированная выработка</v>
      </c>
      <c r="K25" s="616" t="str">
        <f aca="false">IF(K24="","",INDEX(DIFFERENTIATION_UNMERGE_VD,MATCH(K24,DIFFERENTIATION_ID_DIFF,0)))</f>
        <v>Производство тепловой энергии. Некомбинированная выработка</v>
      </c>
      <c r="L25" s="616" t="str">
        <f aca="false">IF(L24="","",INDEX(DIFFERENTIATION_UNMERGE_VD,MATCH(L24,DIFFERENTIATION_ID_DIFF,0)))</f>
        <v>Производство. Теплоноситель</v>
      </c>
      <c r="M25" s="134"/>
      <c r="AI25" s="42" t="n">
        <v>11</v>
      </c>
    </row>
    <row r="26" customFormat="false" ht="11.25" hidden="false" customHeight="true" outlineLevel="0" collapsed="false">
      <c r="E26" s="614"/>
      <c r="F26" s="615" t="s">
        <v>577</v>
      </c>
      <c r="G26" s="615"/>
      <c r="H26" s="616" t="str">
        <f aca="false">IF(H24="","",INDEX(DIFFERENTIATION_UNMERGE_AREA,MATCH(H24,DIFFERENTIATION_ID_DIFF,0)))</f>
        <v/>
      </c>
      <c r="I26" s="616" t="str">
        <f aca="false">IF(I24="","",INDEX(DIFFERENTIATION_UNMERGE_AREA,MATCH(I24,DIFFERENTIATION_ID_DIFF,0)))</f>
        <v>Территория 1</v>
      </c>
      <c r="J26" s="616" t="str">
        <f aca="false">IF(J24="","",INDEX(DIFFERENTIATION_UNMERGE_AREA,MATCH(J24,DIFFERENTIATION_ID_DIFF,0)))</f>
        <v>Территория 2</v>
      </c>
      <c r="K26" s="616" t="str">
        <f aca="false">IF(K24="","",INDEX(DIFFERENTIATION_UNMERGE_AREA,MATCH(K24,DIFFERENTIATION_ID_DIFF,0)))</f>
        <v>Территория 3</v>
      </c>
      <c r="L26" s="616" t="str">
        <f aca="false">IF(L24="","",INDEX(DIFFERENTIATION_UNMERGE_AREA,MATCH(L24,DIFFERENTIATION_ID_DIFF,0)))</f>
        <v>Территория 1</v>
      </c>
      <c r="M26" s="134"/>
      <c r="AI26" s="42" t="n">
        <v>11</v>
      </c>
    </row>
    <row r="27" customFormat="false" ht="11.25" hidden="false" customHeight="true" outlineLevel="0" collapsed="false">
      <c r="E27" s="614"/>
      <c r="F27" s="615" t="s">
        <v>578</v>
      </c>
      <c r="G27" s="615"/>
      <c r="H27" s="616" t="str">
        <f aca="false">IF(H24="","",INDEX(DIFFERENTIATION_UNMERGE_SYSTEM,MATCH(H24,DIFFERENTIATION_ID_DIFF,0)))</f>
        <v/>
      </c>
      <c r="I27" s="616" t="str">
        <f aca="false">IF(I24="","",INDEX(DIFFERENTIATION_UNMERGE_SYSTEM,MATCH(I24,DIFFERENTIATION_ID_DIFF,0)))</f>
        <v>без дифференциации</v>
      </c>
      <c r="J27" s="616" t="str">
        <f aca="false">IF(J24="","",INDEX(DIFFERENTIATION_UNMERGE_SYSTEM,MATCH(J24,DIFFERENTIATION_ID_DIFF,0)))</f>
        <v>без дифференциации</v>
      </c>
      <c r="K27" s="616" t="str">
        <f aca="false">IF(K24="","",INDEX(DIFFERENTIATION_UNMERGE_SYSTEM,MATCH(K24,DIFFERENTIATION_ID_DIFF,0)))</f>
        <v>без дифференциации</v>
      </c>
      <c r="L27" s="616" t="str">
        <f aca="false">IF(L24="","",INDEX(DIFFERENTIATION_UNMERGE_SYSTEM,MATCH(L24,DIFFERENTIATION_ID_DIFF,0)))</f>
        <v>без дифференциации</v>
      </c>
      <c r="M27" s="134"/>
      <c r="AI27" s="42" t="n">
        <v>11</v>
      </c>
    </row>
    <row r="28" customFormat="false" ht="11.25" hidden="false" customHeight="true" outlineLevel="0" collapsed="false">
      <c r="E28" s="617" t="s">
        <v>313</v>
      </c>
      <c r="F28" s="617"/>
      <c r="G28" s="617"/>
      <c r="H28" s="618"/>
      <c r="I28" s="618"/>
      <c r="J28" s="618"/>
      <c r="K28" s="618"/>
      <c r="L28" s="618"/>
      <c r="M28" s="134"/>
      <c r="AI28" s="42" t="n">
        <v>11</v>
      </c>
    </row>
    <row r="29" customFormat="false" ht="24" hidden="false" customHeight="true" outlineLevel="0" collapsed="false">
      <c r="E29" s="146" t="s">
        <v>87</v>
      </c>
      <c r="F29" s="146" t="s">
        <v>315</v>
      </c>
      <c r="G29" s="146" t="s">
        <v>579</v>
      </c>
      <c r="H29" s="146" t="s">
        <v>316</v>
      </c>
      <c r="I29" s="146" t="s">
        <v>316</v>
      </c>
      <c r="J29" s="146" t="s">
        <v>316</v>
      </c>
      <c r="K29" s="146" t="s">
        <v>316</v>
      </c>
      <c r="L29" s="146" t="s">
        <v>316</v>
      </c>
      <c r="M29" s="134"/>
      <c r="AI29" s="42" t="n">
        <v>23</v>
      </c>
    </row>
    <row r="30" customFormat="false" ht="20.25" hidden="false" customHeight="true" outlineLevel="0" collapsed="false">
      <c r="D30" s="114"/>
      <c r="E30" s="600" t="n">
        <f aca="false">FHD_NUM_P_1</f>
        <v>1</v>
      </c>
      <c r="F30" s="619" t="str">
        <f aca="false">FHD_P_1</f>
        <v>Выручка от регулируемого вида деятельности с распределением по видам деятельности</v>
      </c>
      <c r="G30" s="146" t="s">
        <v>565</v>
      </c>
      <c r="H30" s="620"/>
      <c r="I30" s="620" t="n">
        <f aca="false">121210.547*1761.06/1000</f>
        <v>213459.04589982</v>
      </c>
      <c r="J30" s="620" t="n">
        <f aca="false">32135.087*1990.03/1000</f>
        <v>63949.78718261</v>
      </c>
      <c r="K30" s="620" t="n">
        <f aca="false">86598.48*1602.5/1000+1852.78*702.06/1000</f>
        <v>140074.8269268</v>
      </c>
      <c r="L30" s="620" t="n">
        <v>0</v>
      </c>
      <c r="M30" s="417" t="str">
        <f aca="false">FHD_NOTE_P_1</f>
        <v>Указывается выручка от регулируемого вида деятельности с распределением по видам деятельности.</v>
      </c>
      <c r="N30" s="602"/>
      <c r="AI30" s="42" t="n">
        <v>19</v>
      </c>
    </row>
    <row r="31" customFormat="false" ht="24.75" hidden="false" customHeight="true" outlineLevel="0" collapsed="false">
      <c r="D31" s="114"/>
      <c r="E31" s="600" t="n">
        <f aca="false">FHD_NUM_P_2</f>
        <v>2</v>
      </c>
      <c r="F31" s="619" t="str">
        <f aca="false">FHD_P_2</f>
        <v>Себестоимость производимых товаров (оказываемых услуг) по регулируемому виду деятельности, включая:</v>
      </c>
      <c r="G31" s="146" t="s">
        <v>565</v>
      </c>
      <c r="H31" s="621" t="n">
        <f aca="false">SUMIF($N32:$N88,$N31,H32:H88)</f>
        <v>0</v>
      </c>
      <c r="I31" s="621" t="n">
        <f aca="false">SUMIF($N32:$N88,$N31,I32:I88)</f>
        <v>210834.8643848</v>
      </c>
      <c r="J31" s="621" t="n">
        <f aca="false">SUMIF($N32:$N88,$N31,J32:J88)</f>
        <v>68077.4543561</v>
      </c>
      <c r="K31" s="621" t="n">
        <f aca="false">SUMIF($N32:$N88,$N31,K32:K88)</f>
        <v>136776.6457782</v>
      </c>
      <c r="L31" s="621" t="n">
        <f aca="false">SUMIF($N32:$N88,$N31,L32:L88)</f>
        <v>22757.74052</v>
      </c>
      <c r="M31" s="417" t="str">
        <f aca="false">FHD_NOTE_P_2</f>
        <v>Указывается суммарная себестоимость производимых товаров.</v>
      </c>
      <c r="N31" s="47" t="s">
        <v>580</v>
      </c>
      <c r="AI31" s="42" t="n">
        <v>11</v>
      </c>
    </row>
    <row r="32" customFormat="false" ht="11.25" hidden="false" customHeight="true" outlineLevel="0" collapsed="false">
      <c r="D32" s="114"/>
      <c r="E32" s="600" t="str">
        <f aca="false">FHD_NUM_P_3</f>
        <v>2.1</v>
      </c>
      <c r="F32" s="568" t="str">
        <f aca="false">FHD_P_3</f>
        <v>Расходы на приобретаемую тепловую энергию (мощность), теплоноситель</v>
      </c>
      <c r="G32" s="146" t="s">
        <v>565</v>
      </c>
      <c r="H32" s="620"/>
      <c r="I32" s="620" t="n">
        <v>0</v>
      </c>
      <c r="J32" s="620" t="n">
        <v>0</v>
      </c>
      <c r="K32" s="620" t="n">
        <v>0</v>
      </c>
      <c r="L32" s="620" t="n">
        <v>0</v>
      </c>
      <c r="M32" s="417" t="str">
        <f aca="false">FHD_NOTE_P_3</f>
        <v/>
      </c>
      <c r="N32" s="47" t="str">
        <f aca="false">IF((LEN(E32)-LEN(SUBSTITUTE(E32,".","")))/LEN(".")=1,"p","")</f>
        <v>p</v>
      </c>
      <c r="AI32" s="42" t="n">
        <v>11</v>
      </c>
    </row>
    <row r="33" customFormat="false" ht="36" hidden="false" customHeight="true" outlineLevel="0" collapsed="false">
      <c r="A33" s="622" t="s">
        <v>581</v>
      </c>
      <c r="D33" s="114"/>
      <c r="E33" s="600" t="str">
        <f aca="false">FHD_NUM_P_4</f>
        <v>2.2</v>
      </c>
      <c r="F33" s="568" t="str">
        <f aca="false">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46" t="s">
        <v>565</v>
      </c>
      <c r="H33" s="621" t="n">
        <f aca="false">SUMIF($F34:$F46,$F3,H34:H46)</f>
        <v>0</v>
      </c>
      <c r="I33" s="621" t="n">
        <f aca="false">SUMIF($F34:$F46,$F3,I34:I46)</f>
        <v>100065.88096464</v>
      </c>
      <c r="J33" s="621" t="n">
        <f aca="false">SUMIF($F34:$F46,$F3,J34:J46)</f>
        <v>26827.87915024</v>
      </c>
      <c r="K33" s="621" t="n">
        <f aca="false">SUMIF($F34:$F46,$F3,K34:K46)</f>
        <v>71792.2519736</v>
      </c>
      <c r="L33" s="621" t="n">
        <f aca="false">SUMIF($F34:$F46,$F3,L34:L46)</f>
        <v>0</v>
      </c>
      <c r="M33" s="417" t="str">
        <f aca="false">FHD_NOTE_P_4</f>
        <v>Указываются суммарные расходы на приобретение топлива всех видов.</v>
      </c>
      <c r="N33" s="47" t="str">
        <f aca="false">IF((LEN(E33)-LEN(SUBSTITUTE(E33,".","")))/LEN(".")=1,"p","")</f>
        <v>p</v>
      </c>
      <c r="AI33" s="42" t="n">
        <v>0</v>
      </c>
    </row>
    <row r="34" s="120" customFormat="true" ht="0.75" hidden="false" customHeight="true" outlineLevel="0" collapsed="false">
      <c r="A34" s="622"/>
      <c r="B34" s="623" t="str">
        <f aca="false">E33&amp;".0"</f>
        <v>2.2.0</v>
      </c>
      <c r="C34" s="456"/>
      <c r="D34" s="624"/>
      <c r="E34" s="625"/>
      <c r="F34" s="626"/>
      <c r="G34" s="627"/>
      <c r="H34" s="366"/>
      <c r="I34" s="366"/>
      <c r="J34" s="366"/>
      <c r="K34" s="366"/>
      <c r="L34" s="366"/>
      <c r="M34" s="628"/>
      <c r="N34" s="47" t="str">
        <f aca="false">IF((LEN(E34)-LEN(SUBSTITUTE(E34,".","")))/LEN(".")=1,"p","")</f>
        <v/>
      </c>
      <c r="O34" s="47"/>
      <c r="P34" s="47"/>
      <c r="Q34" s="47"/>
      <c r="R34" s="47"/>
      <c r="S34" s="47"/>
      <c r="T34" s="47"/>
      <c r="U34" s="47"/>
      <c r="V34" s="47"/>
      <c r="W34" s="47"/>
      <c r="X34" s="629"/>
      <c r="Y34" s="47"/>
      <c r="Z34" s="47"/>
      <c r="AA34" s="47"/>
      <c r="AB34" s="47"/>
      <c r="AC34" s="47"/>
      <c r="AD34" s="47"/>
      <c r="AE34" s="47"/>
      <c r="AF34" s="47"/>
      <c r="AG34" s="47"/>
      <c r="AH34" s="47"/>
      <c r="AI34" s="120" t="n">
        <v>0</v>
      </c>
    </row>
    <row r="35" s="120" customFormat="true" ht="0.75" hidden="false" customHeight="true" outlineLevel="0" collapsed="false">
      <c r="A35" s="622"/>
      <c r="B35" s="623"/>
      <c r="C35" s="456"/>
      <c r="D35" s="624"/>
      <c r="E35" s="630"/>
      <c r="F35" s="631"/>
      <c r="G35" s="627"/>
      <c r="H35" s="632"/>
      <c r="I35" s="632"/>
      <c r="J35" s="632"/>
      <c r="K35" s="632"/>
      <c r="L35" s="632"/>
      <c r="M35" s="628"/>
      <c r="N35" s="47" t="str">
        <f aca="false">IF((LEN(E35)-LEN(SUBSTITUTE(E35,".","")))/LEN(".")=1,"p","")</f>
        <v/>
      </c>
      <c r="O35" s="47"/>
      <c r="P35" s="47"/>
      <c r="Q35" s="47"/>
      <c r="R35" s="47"/>
      <c r="S35" s="47"/>
      <c r="T35" s="47"/>
      <c r="U35" s="47"/>
      <c r="V35" s="47"/>
      <c r="W35" s="47"/>
      <c r="X35" s="629"/>
      <c r="Y35" s="47"/>
      <c r="Z35" s="47"/>
      <c r="AA35" s="47"/>
      <c r="AB35" s="47"/>
      <c r="AC35" s="47"/>
      <c r="AD35" s="47"/>
      <c r="AE35" s="47"/>
      <c r="AF35" s="47"/>
      <c r="AG35" s="47"/>
      <c r="AH35" s="47"/>
      <c r="AI35" s="120" t="n">
        <v>0</v>
      </c>
    </row>
    <row r="36" s="120" customFormat="true" ht="0.75" hidden="false" customHeight="true" outlineLevel="0" collapsed="false">
      <c r="A36" s="622"/>
      <c r="B36" s="623"/>
      <c r="C36" s="456"/>
      <c r="D36" s="624"/>
      <c r="E36" s="630"/>
      <c r="F36" s="631"/>
      <c r="G36" s="627"/>
      <c r="H36" s="632"/>
      <c r="I36" s="632"/>
      <c r="J36" s="632"/>
      <c r="K36" s="632"/>
      <c r="L36" s="632"/>
      <c r="M36" s="628"/>
      <c r="N36" s="47" t="str">
        <f aca="false">IF((LEN(E36)-LEN(SUBSTITUTE(E36,".","")))/LEN(".")=1,"p","")</f>
        <v/>
      </c>
      <c r="O36" s="47"/>
      <c r="P36" s="47"/>
      <c r="Q36" s="47"/>
      <c r="R36" s="47"/>
      <c r="S36" s="47"/>
      <c r="T36" s="47"/>
      <c r="U36" s="47"/>
      <c r="V36" s="47"/>
      <c r="W36" s="47"/>
      <c r="X36" s="629"/>
      <c r="Y36" s="47"/>
      <c r="Z36" s="47"/>
      <c r="AA36" s="47"/>
      <c r="AB36" s="47"/>
      <c r="AC36" s="47"/>
      <c r="AD36" s="47"/>
      <c r="AE36" s="47"/>
      <c r="AF36" s="47"/>
      <c r="AG36" s="47"/>
      <c r="AH36" s="47"/>
      <c r="AI36" s="120" t="n">
        <v>0</v>
      </c>
    </row>
    <row r="37" s="120" customFormat="true" ht="0.75" hidden="false" customHeight="true" outlineLevel="0" collapsed="false">
      <c r="A37" s="622"/>
      <c r="B37" s="623"/>
      <c r="C37" s="456"/>
      <c r="D37" s="624"/>
      <c r="E37" s="630"/>
      <c r="F37" s="631"/>
      <c r="G37" s="627"/>
      <c r="H37" s="632"/>
      <c r="I37" s="632"/>
      <c r="J37" s="632"/>
      <c r="K37" s="632"/>
      <c r="L37" s="632"/>
      <c r="M37" s="628"/>
      <c r="N37" s="47" t="str">
        <f aca="false">IF((LEN(E37)-LEN(SUBSTITUTE(E37,".","")))/LEN(".")=1,"p","")</f>
        <v/>
      </c>
      <c r="O37" s="47"/>
      <c r="P37" s="47"/>
      <c r="Q37" s="47"/>
      <c r="R37" s="47"/>
      <c r="S37" s="47"/>
      <c r="T37" s="47"/>
      <c r="U37" s="47"/>
      <c r="V37" s="47"/>
      <c r="W37" s="47"/>
      <c r="X37" s="629"/>
      <c r="Y37" s="47"/>
      <c r="Z37" s="47"/>
      <c r="AA37" s="47"/>
      <c r="AB37" s="47"/>
      <c r="AC37" s="47"/>
      <c r="AD37" s="47"/>
      <c r="AE37" s="47"/>
      <c r="AF37" s="47"/>
      <c r="AG37" s="47"/>
      <c r="AH37" s="47"/>
      <c r="AI37" s="120" t="n">
        <v>0</v>
      </c>
    </row>
    <row r="38" s="120" customFormat="true" ht="0.75" hidden="false" customHeight="true" outlineLevel="0" collapsed="false">
      <c r="A38" s="622"/>
      <c r="B38" s="623"/>
      <c r="C38" s="456"/>
      <c r="D38" s="624"/>
      <c r="E38" s="630"/>
      <c r="F38" s="631"/>
      <c r="G38" s="627"/>
      <c r="H38" s="632"/>
      <c r="I38" s="632"/>
      <c r="J38" s="632"/>
      <c r="K38" s="632"/>
      <c r="L38" s="632"/>
      <c r="M38" s="628"/>
      <c r="N38" s="47" t="str">
        <f aca="false">IF((LEN(E38)-LEN(SUBSTITUTE(E38,".","")))/LEN(".")=1,"p","")</f>
        <v/>
      </c>
      <c r="O38" s="47"/>
      <c r="P38" s="47"/>
      <c r="Q38" s="47"/>
      <c r="R38" s="47"/>
      <c r="S38" s="47"/>
      <c r="T38" s="47"/>
      <c r="U38" s="47"/>
      <c r="V38" s="47"/>
      <c r="W38" s="47"/>
      <c r="X38" s="629"/>
      <c r="Y38" s="47"/>
      <c r="Z38" s="47"/>
      <c r="AA38" s="47"/>
      <c r="AB38" s="47"/>
      <c r="AC38" s="47"/>
      <c r="AD38" s="47"/>
      <c r="AE38" s="47"/>
      <c r="AF38" s="47"/>
      <c r="AG38" s="47"/>
      <c r="AH38" s="47"/>
      <c r="AI38" s="120" t="n">
        <v>0</v>
      </c>
    </row>
    <row r="39" s="120" customFormat="true" ht="0.75" hidden="false" customHeight="true" outlineLevel="0" collapsed="false">
      <c r="A39" s="622"/>
      <c r="B39" s="623"/>
      <c r="C39" s="456"/>
      <c r="D39" s="624"/>
      <c r="E39" s="630"/>
      <c r="F39" s="631"/>
      <c r="G39" s="627"/>
      <c r="H39" s="366"/>
      <c r="I39" s="366"/>
      <c r="J39" s="366"/>
      <c r="K39" s="366"/>
      <c r="L39" s="366"/>
      <c r="M39" s="628"/>
      <c r="N39" s="47" t="str">
        <f aca="false">IF((LEN(E39)-LEN(SUBSTITUTE(E39,".","")))/LEN(".")=1,"p","")</f>
        <v/>
      </c>
      <c r="O39" s="47"/>
      <c r="P39" s="47"/>
      <c r="Q39" s="47"/>
      <c r="R39" s="47"/>
      <c r="S39" s="47"/>
      <c r="T39" s="47"/>
      <c r="U39" s="47"/>
      <c r="V39" s="47"/>
      <c r="W39" s="47"/>
      <c r="X39" s="629"/>
      <c r="Y39" s="47"/>
      <c r="Z39" s="47"/>
      <c r="AA39" s="47"/>
      <c r="AB39" s="47"/>
      <c r="AC39" s="47"/>
      <c r="AD39" s="47"/>
      <c r="AE39" s="47"/>
      <c r="AF39" s="47"/>
      <c r="AG39" s="47"/>
      <c r="AH39" s="47"/>
      <c r="AI39" s="120" t="n">
        <v>0</v>
      </c>
    </row>
    <row r="40" s="53" customFormat="true" ht="23.25" hidden="false" customHeight="true" outlineLevel="0" collapsed="false">
      <c r="A40" s="622"/>
      <c r="B40" s="43" t="str">
        <f aca="false">E33&amp;".1"</f>
        <v>2.2.1</v>
      </c>
      <c r="C40" s="456" t="s">
        <v>558</v>
      </c>
      <c r="D40" s="138" t="s">
        <v>103</v>
      </c>
      <c r="E40" s="600" t="str">
        <f aca="false">B40</f>
        <v>2.2.1</v>
      </c>
      <c r="F40" s="601" t="s">
        <v>582</v>
      </c>
      <c r="G40" s="146" t="s">
        <v>559</v>
      </c>
      <c r="H40" s="146" t="s">
        <v>559</v>
      </c>
      <c r="I40" s="146" t="s">
        <v>559</v>
      </c>
      <c r="J40" s="146" t="s">
        <v>559</v>
      </c>
      <c r="K40" s="146" t="s">
        <v>559</v>
      </c>
      <c r="L40" s="146" t="s">
        <v>559</v>
      </c>
      <c r="M40" s="417" t="s">
        <v>560</v>
      </c>
      <c r="N40" s="602"/>
      <c r="O40" s="47"/>
      <c r="P40" s="47"/>
      <c r="Q40" s="45"/>
      <c r="R40" s="45"/>
      <c r="S40" s="45"/>
      <c r="T40" s="45"/>
      <c r="U40" s="47"/>
      <c r="V40" s="45"/>
      <c r="W40" s="45"/>
      <c r="X40" s="599"/>
      <c r="Y40" s="45"/>
      <c r="Z40" s="45"/>
      <c r="AA40" s="45"/>
      <c r="AB40" s="45"/>
      <c r="AC40" s="45"/>
      <c r="AD40" s="45"/>
      <c r="AE40" s="45"/>
      <c r="AF40" s="45"/>
      <c r="AG40" s="45"/>
      <c r="AH40" s="45"/>
      <c r="AI40" s="42" t="n">
        <v>0</v>
      </c>
    </row>
    <row r="41" s="47" customFormat="true" ht="0.75" hidden="true" customHeight="true" outlineLevel="0" collapsed="false">
      <c r="A41" s="622"/>
      <c r="B41" s="43" t="str">
        <f aca="false">E33&amp;".0"</f>
        <v>2.2.0</v>
      </c>
      <c r="C41" s="456"/>
      <c r="D41" s="456"/>
      <c r="E41" s="603"/>
      <c r="F41" s="604" t="s">
        <v>561</v>
      </c>
      <c r="G41" s="147"/>
      <c r="H41" s="147" t="n">
        <f aca="false">H42*H43+H44</f>
        <v>0</v>
      </c>
      <c r="I41" s="147" t="n">
        <f aca="false">I42*I43+I44</f>
        <v>100065.88096464</v>
      </c>
      <c r="J41" s="147" t="n">
        <f aca="false">J42*J43+J44</f>
        <v>26827.87915024</v>
      </c>
      <c r="K41" s="147" t="n">
        <f aca="false">K42*K43+K44</f>
        <v>71792.2519736</v>
      </c>
      <c r="L41" s="147" t="n">
        <f aca="false">L42*L43+L44</f>
        <v>0</v>
      </c>
      <c r="M41" s="300"/>
      <c r="AI41" s="47" t="n">
        <v>0</v>
      </c>
    </row>
    <row r="42" s="53" customFormat="true" ht="23.25" hidden="false" customHeight="true" outlineLevel="0" collapsed="false">
      <c r="A42" s="622"/>
      <c r="B42" s="43" t="str">
        <f aca="false">E33&amp;".0"</f>
        <v>2.2.0</v>
      </c>
      <c r="C42" s="456"/>
      <c r="D42" s="114"/>
      <c r="E42" s="600" t="str">
        <f aca="false">B40&amp;".1"</f>
        <v>2.2.1.1</v>
      </c>
      <c r="F42" s="605" t="s">
        <v>562</v>
      </c>
      <c r="G42" s="606" t="s">
        <v>583</v>
      </c>
      <c r="H42" s="435"/>
      <c r="I42" s="435" t="n">
        <f aca="false">(16651.791+4650.483+485.235+203.978)*0.752</f>
        <v>16537.598224</v>
      </c>
      <c r="J42" s="435" t="n">
        <f aca="false">4617.681*0.938</f>
        <v>4331.384778</v>
      </c>
      <c r="K42" s="435" t="n">
        <f aca="false">13823.777*0.86</f>
        <v>11888.44822</v>
      </c>
      <c r="L42" s="435" t="n">
        <v>0</v>
      </c>
      <c r="M42" s="417" t="s">
        <v>563</v>
      </c>
      <c r="N42" s="602"/>
      <c r="O42" s="47"/>
      <c r="P42" s="47"/>
      <c r="Q42" s="45"/>
      <c r="R42" s="45"/>
      <c r="S42" s="45"/>
      <c r="T42" s="45"/>
      <c r="U42" s="47"/>
      <c r="V42" s="45"/>
      <c r="W42" s="45"/>
      <c r="X42" s="599"/>
      <c r="Y42" s="45"/>
      <c r="Z42" s="45"/>
      <c r="AA42" s="45"/>
      <c r="AB42" s="45"/>
      <c r="AC42" s="45"/>
      <c r="AD42" s="45"/>
      <c r="AE42" s="45"/>
      <c r="AF42" s="45"/>
      <c r="AG42" s="45"/>
      <c r="AH42" s="45"/>
      <c r="AI42" s="42" t="n">
        <v>0</v>
      </c>
    </row>
    <row r="43" s="53" customFormat="true" ht="18.75" hidden="false" customHeight="true" outlineLevel="0" collapsed="false">
      <c r="A43" s="622"/>
      <c r="B43" s="43" t="str">
        <f aca="false">E33&amp;".0"</f>
        <v>2.2.0</v>
      </c>
      <c r="C43" s="456"/>
      <c r="D43" s="114"/>
      <c r="E43" s="600" t="str">
        <f aca="false">B40&amp;".2"</f>
        <v>2.2.1.2</v>
      </c>
      <c r="F43" s="605" t="s">
        <v>564</v>
      </c>
      <c r="G43" s="146" t="s">
        <v>565</v>
      </c>
      <c r="H43" s="435"/>
      <c r="I43" s="435" t="n">
        <f aca="false">133066.33107*0.752/I42</f>
        <v>6.05081098290443</v>
      </c>
      <c r="J43" s="435" t="n">
        <f aca="false">28601.15048*0.938/J42</f>
        <v>6.19383419512955</v>
      </c>
      <c r="K43" s="435" t="n">
        <f aca="false">83479.36276*0.86/K42</f>
        <v>6.03882446599073</v>
      </c>
      <c r="L43" s="435" t="n">
        <v>0</v>
      </c>
      <c r="M43" s="417"/>
      <c r="N43" s="602"/>
      <c r="O43" s="47"/>
      <c r="P43" s="47"/>
      <c r="Q43" s="45"/>
      <c r="R43" s="45"/>
      <c r="S43" s="45"/>
      <c r="T43" s="45"/>
      <c r="U43" s="47"/>
      <c r="V43" s="45"/>
      <c r="W43" s="45"/>
      <c r="X43" s="599"/>
      <c r="Y43" s="45"/>
      <c r="Z43" s="45"/>
      <c r="AA43" s="45"/>
      <c r="AB43" s="45"/>
      <c r="AC43" s="45"/>
      <c r="AD43" s="45"/>
      <c r="AE43" s="45"/>
      <c r="AF43" s="45"/>
      <c r="AG43" s="45"/>
      <c r="AH43" s="45"/>
      <c r="AI43" s="42" t="n">
        <v>0</v>
      </c>
    </row>
    <row r="44" s="53" customFormat="true" ht="18.75" hidden="false" customHeight="true" outlineLevel="0" collapsed="false">
      <c r="A44" s="622"/>
      <c r="B44" s="43" t="str">
        <f aca="false">E33&amp;".0"</f>
        <v>2.2.0</v>
      </c>
      <c r="C44" s="456"/>
      <c r="D44" s="114"/>
      <c r="E44" s="600" t="str">
        <f aca="false">B40&amp;".3"</f>
        <v>2.2.1.3</v>
      </c>
      <c r="F44" s="605" t="s">
        <v>566</v>
      </c>
      <c r="G44" s="146" t="s">
        <v>565</v>
      </c>
      <c r="H44" s="435"/>
      <c r="I44" s="435"/>
      <c r="J44" s="435" t="n">
        <v>0</v>
      </c>
      <c r="K44" s="435" t="n">
        <v>0</v>
      </c>
      <c r="L44" s="435" t="n">
        <v>0</v>
      </c>
      <c r="M44" s="417"/>
      <c r="N44" s="602"/>
      <c r="O44" s="47"/>
      <c r="P44" s="47"/>
      <c r="Q44" s="45"/>
      <c r="R44" s="45"/>
      <c r="S44" s="45"/>
      <c r="T44" s="45"/>
      <c r="U44" s="47"/>
      <c r="V44" s="45"/>
      <c r="W44" s="45"/>
      <c r="X44" s="599"/>
      <c r="Y44" s="45"/>
      <c r="Z44" s="45"/>
      <c r="AA44" s="45"/>
      <c r="AB44" s="45"/>
      <c r="AC44" s="45"/>
      <c r="AD44" s="45"/>
      <c r="AE44" s="45"/>
      <c r="AF44" s="45"/>
      <c r="AG44" s="45"/>
      <c r="AH44" s="45"/>
      <c r="AI44" s="42" t="n">
        <v>0</v>
      </c>
    </row>
    <row r="45" s="53" customFormat="true" ht="18.75" hidden="false" customHeight="true" outlineLevel="0" collapsed="false">
      <c r="A45" s="622"/>
      <c r="B45" s="43" t="str">
        <f aca="false">E33&amp;".0"</f>
        <v>2.2.0</v>
      </c>
      <c r="C45" s="456"/>
      <c r="D45" s="114"/>
      <c r="E45" s="600" t="str">
        <f aca="false">B40&amp;".4"</f>
        <v>2.2.1.4</v>
      </c>
      <c r="F45" s="605" t="s">
        <v>567</v>
      </c>
      <c r="G45" s="146" t="s">
        <v>559</v>
      </c>
      <c r="H45" s="572"/>
      <c r="I45" s="572"/>
      <c r="J45" s="572" t="s">
        <v>584</v>
      </c>
      <c r="K45" s="572" t="s">
        <v>584</v>
      </c>
      <c r="L45" s="572" t="s">
        <v>584</v>
      </c>
      <c r="M45" s="417"/>
      <c r="N45" s="602"/>
      <c r="O45" s="47"/>
      <c r="P45" s="47"/>
      <c r="Q45" s="45"/>
      <c r="R45" s="45"/>
      <c r="S45" s="45"/>
      <c r="T45" s="45"/>
      <c r="U45" s="47"/>
      <c r="V45" s="45"/>
      <c r="W45" s="45"/>
      <c r="X45" s="599"/>
      <c r="Y45" s="45"/>
      <c r="Z45" s="45"/>
      <c r="AA45" s="45"/>
      <c r="AB45" s="45"/>
      <c r="AC45" s="45"/>
      <c r="AD45" s="45"/>
      <c r="AE45" s="45"/>
      <c r="AF45" s="45"/>
      <c r="AG45" s="45"/>
      <c r="AH45" s="45"/>
      <c r="AI45" s="42" t="n">
        <v>0</v>
      </c>
    </row>
    <row r="46" s="45" customFormat="true" ht="42" hidden="false" customHeight="true" outlineLevel="0" collapsed="false">
      <c r="A46" s="622"/>
      <c r="C46" s="47"/>
      <c r="D46" s="117"/>
      <c r="E46" s="633"/>
      <c r="F46" s="219" t="s">
        <v>585</v>
      </c>
      <c r="G46" s="634"/>
      <c r="H46" s="635"/>
      <c r="I46" s="635"/>
      <c r="J46" s="635"/>
      <c r="K46" s="635"/>
      <c r="L46" s="635"/>
      <c r="M46" s="475"/>
      <c r="N46" s="47" t="str">
        <f aca="false">IF((LEN(E46)-LEN(SUBSTITUTE(E46,".","")))/LEN(".")=1,"p","")</f>
        <v/>
      </c>
      <c r="O46" s="47"/>
      <c r="P46" s="47"/>
      <c r="U46" s="47"/>
      <c r="X46" s="599"/>
      <c r="AI46" s="45" t="n">
        <v>0</v>
      </c>
    </row>
    <row r="47" customFormat="false" ht="11.25" hidden="true" customHeight="true" outlineLevel="0" collapsed="false">
      <c r="A47" s="622" t="s">
        <v>586</v>
      </c>
      <c r="D47" s="114"/>
      <c r="E47" s="600" t="str">
        <f aca="false">FHD_NUM_P_5</f>
        <v/>
      </c>
      <c r="F47" s="568" t="str">
        <f aca="false">FHD_P_5</f>
        <v/>
      </c>
      <c r="G47" s="146" t="s">
        <v>565</v>
      </c>
      <c r="H47" s="620"/>
      <c r="I47" s="620"/>
      <c r="J47" s="620"/>
      <c r="K47" s="620"/>
      <c r="L47" s="620"/>
      <c r="M47" s="417" t="str">
        <f aca="false">FHD_NOTE_P_5</f>
        <v/>
      </c>
      <c r="N47" s="47" t="str">
        <f aca="false">IF((LEN(E47)-LEN(SUBSTITUTE(E47,".","")))/LEN(".")=1,"p","")</f>
        <v/>
      </c>
      <c r="AI47" s="42" t="n">
        <v>0</v>
      </c>
    </row>
    <row r="48" customFormat="false" ht="11.25" hidden="true" customHeight="true" outlineLevel="0" collapsed="false">
      <c r="A48" s="622"/>
      <c r="D48" s="114"/>
      <c r="E48" s="600" t="str">
        <f aca="false">FHD_NUM_P_6</f>
        <v/>
      </c>
      <c r="F48" s="568" t="str">
        <f aca="false">FHD_P_6</f>
        <v/>
      </c>
      <c r="G48" s="146" t="s">
        <v>565</v>
      </c>
      <c r="H48" s="620"/>
      <c r="I48" s="620"/>
      <c r="J48" s="620"/>
      <c r="K48" s="620"/>
      <c r="L48" s="620"/>
      <c r="M48" s="417" t="str">
        <f aca="false">FHD_NOTE_P_6</f>
        <v/>
      </c>
      <c r="N48" s="47" t="str">
        <f aca="false">IF((LEN(E48)-LEN(SUBSTITUTE(E48,".","")))/LEN(".")=1,"p","")</f>
        <v/>
      </c>
      <c r="AI48" s="42" t="n">
        <v>0</v>
      </c>
    </row>
    <row r="49" customFormat="false" ht="11.25" hidden="true" customHeight="true" outlineLevel="0" collapsed="false">
      <c r="A49" s="622"/>
      <c r="D49" s="114"/>
      <c r="E49" s="600" t="str">
        <f aca="false">FHD_NUM_P_7</f>
        <v/>
      </c>
      <c r="F49" s="568" t="str">
        <f aca="false">FHD_P_7</f>
        <v/>
      </c>
      <c r="G49" s="146" t="s">
        <v>565</v>
      </c>
      <c r="H49" s="620"/>
      <c r="I49" s="620"/>
      <c r="J49" s="620"/>
      <c r="K49" s="620"/>
      <c r="L49" s="620"/>
      <c r="M49" s="417" t="str">
        <f aca="false">FHD_NOTE_P_7</f>
        <v/>
      </c>
      <c r="N49" s="47" t="str">
        <f aca="false">IF((LEN(E49)-LEN(SUBSTITUTE(E49,".","")))/LEN(".")=1,"p","")</f>
        <v/>
      </c>
      <c r="AI49" s="42" t="n">
        <v>0</v>
      </c>
    </row>
    <row r="50" customFormat="false" ht="38.25" hidden="false" customHeight="true" outlineLevel="0" collapsed="false">
      <c r="D50" s="114"/>
      <c r="E50" s="600" t="str">
        <f aca="false">FHD_NUM_P_8</f>
        <v>2.3</v>
      </c>
      <c r="F50" s="568" t="str">
        <f aca="false">FHD_P_8</f>
        <v>Расходы на приобретаемую электрическую энергию (мощность), используемую в технологическом процессе</v>
      </c>
      <c r="G50" s="146" t="s">
        <v>565</v>
      </c>
      <c r="H50" s="620"/>
      <c r="I50" s="620" t="n">
        <f aca="false">21802.04749*0.752</f>
        <v>16395.13971248</v>
      </c>
      <c r="J50" s="620" t="n">
        <f aca="false">6005.149*0.938</f>
        <v>5632.829762</v>
      </c>
      <c r="K50" s="620" t="n">
        <f aca="false">12597.667*0.86</f>
        <v>10833.99362</v>
      </c>
      <c r="L50" s="620" t="n">
        <v>1329.66263</v>
      </c>
      <c r="M50" s="417" t="str">
        <f aca="false">FHD_NOTE_P_8</f>
        <v/>
      </c>
      <c r="N50" s="47" t="str">
        <f aca="false">IF((LEN(E50)-LEN(SUBSTITUTE(E50,".","")))/LEN(".")=1,"p","")</f>
        <v>p</v>
      </c>
      <c r="AI50" s="42" t="n">
        <v>11</v>
      </c>
    </row>
    <row r="51" customFormat="false" ht="11.25" hidden="false" customHeight="true" outlineLevel="0" collapsed="false">
      <c r="D51" s="114"/>
      <c r="E51" s="600" t="str">
        <f aca="false">FHD_NUM_P_9</f>
        <v>2.3.1</v>
      </c>
      <c r="F51" s="636" t="str">
        <f aca="false">FHD_P_9</f>
        <v>Средневзвешенная стоимость 1 кВт.ч (с учетом мощности)</v>
      </c>
      <c r="G51" s="146" t="s">
        <v>587</v>
      </c>
      <c r="H51" s="620"/>
      <c r="I51" s="620" t="n">
        <f aca="false">I50/I52</f>
        <v>4.91453512863827</v>
      </c>
      <c r="J51" s="620" t="n">
        <f aca="false">J50/J52</f>
        <v>4.84370583908165</v>
      </c>
      <c r="K51" s="620" t="n">
        <f aca="false">K50/K52</f>
        <v>4.5759153619112</v>
      </c>
      <c r="L51" s="620" t="n">
        <f aca="false">L50/L52</f>
        <v>4.59656666885606</v>
      </c>
      <c r="M51" s="417" t="str">
        <f aca="false">FHD_NOTE_P_9</f>
        <v/>
      </c>
      <c r="N51" s="47" t="str">
        <f aca="false">IF((LEN(E51)-LEN(SUBSTITUTE(E51,".","")))/LEN(".")=1,"p","")</f>
        <v/>
      </c>
      <c r="AI51" s="42" t="n">
        <v>11</v>
      </c>
    </row>
    <row r="52" s="45" customFormat="true" ht="11.25" hidden="false" customHeight="true" outlineLevel="0" collapsed="false">
      <c r="A52" s="598"/>
      <c r="C52" s="47"/>
      <c r="D52" s="637"/>
      <c r="E52" s="600" t="str">
        <f aca="false">FHD_NUM_P_10</f>
        <v>2.3.2</v>
      </c>
      <c r="F52" s="636" t="str">
        <f aca="false">FHD_P_10</f>
        <v>Объём приобретения электрической энергии</v>
      </c>
      <c r="G52" s="146" t="s">
        <v>588</v>
      </c>
      <c r="H52" s="620"/>
      <c r="I52" s="620" t="n">
        <f aca="false">4436.238*0.752</f>
        <v>3336.050976</v>
      </c>
      <c r="J52" s="620" t="n">
        <f aca="false">1239.784*0.938</f>
        <v>1162.917392</v>
      </c>
      <c r="K52" s="620" t="n">
        <f aca="false">2753.03759*0.86</f>
        <v>2367.6123274</v>
      </c>
      <c r="L52" s="620" t="n">
        <v>289.273</v>
      </c>
      <c r="M52" s="417" t="str">
        <f aca="false">FHD_NOTE_P_10</f>
        <v/>
      </c>
      <c r="N52" s="47" t="str">
        <f aca="false">IF((LEN(E52)-LEN(SUBSTITUTE(E52,".","")))/LEN(".")=1,"p","")</f>
        <v/>
      </c>
      <c r="O52" s="47"/>
      <c r="P52" s="47"/>
      <c r="U52" s="47"/>
      <c r="X52" s="599"/>
      <c r="AI52" s="45" t="n">
        <v>11</v>
      </c>
    </row>
    <row r="53" s="45" customFormat="true" ht="11.25" hidden="false" customHeight="true" outlineLevel="0" collapsed="false">
      <c r="A53" s="638" t="s">
        <v>589</v>
      </c>
      <c r="C53" s="47"/>
      <c r="D53" s="639"/>
      <c r="E53" s="600" t="str">
        <f aca="false">FHD_NUM_P_11</f>
        <v>2.4</v>
      </c>
      <c r="F53" s="568" t="str">
        <f aca="false">FHD_P_11</f>
        <v>Расходы на приобретение холодной воды, используемой в технологическом процессе</v>
      </c>
      <c r="G53" s="146" t="s">
        <v>565</v>
      </c>
      <c r="H53" s="620"/>
      <c r="I53" s="620" t="n">
        <f aca="false">4776.10216*0.752</f>
        <v>3591.62882432</v>
      </c>
      <c r="J53" s="620" t="n">
        <f aca="false">961.15377*0.938</f>
        <v>901.56223626</v>
      </c>
      <c r="K53" s="620" t="n">
        <f aca="false">1941.70136*0.86</f>
        <v>1669.8631696</v>
      </c>
      <c r="L53" s="620" t="n">
        <v>17419.641</v>
      </c>
      <c r="M53" s="417" t="str">
        <f aca="false">FHD_NOTE_P_11</f>
        <v/>
      </c>
      <c r="N53" s="47" t="str">
        <f aca="false">IF((LEN(E53)-LEN(SUBSTITUTE(E53,".","")))/LEN(".")=1,"p","")</f>
        <v>p</v>
      </c>
      <c r="O53" s="47"/>
      <c r="P53" s="47"/>
      <c r="U53" s="47"/>
      <c r="X53" s="599"/>
      <c r="AI53" s="45" t="n">
        <v>0</v>
      </c>
    </row>
    <row r="54" s="45" customFormat="true" ht="18.75" hidden="false" customHeight="true" outlineLevel="0" collapsed="false">
      <c r="A54" s="638" t="s">
        <v>590</v>
      </c>
      <c r="C54" s="47"/>
      <c r="D54" s="114"/>
      <c r="E54" s="600" t="str">
        <f aca="false">FHD_NUM_P_12</f>
        <v>2.5</v>
      </c>
      <c r="F54" s="568" t="str">
        <f aca="false">FHD_P_12</f>
        <v>Расходы на  химические реагенты, используемые в технологическом процессе</v>
      </c>
      <c r="G54" s="146" t="s">
        <v>565</v>
      </c>
      <c r="H54" s="640"/>
      <c r="I54" s="640" t="n">
        <f aca="false">835.257*0.752</f>
        <v>628.113264</v>
      </c>
      <c r="J54" s="640" t="n">
        <f aca="false">379.861*0.938</f>
        <v>356.309618</v>
      </c>
      <c r="K54" s="640" t="n">
        <f aca="false">623.981*0.86</f>
        <v>536.62366</v>
      </c>
      <c r="L54" s="640" t="n">
        <v>1385.112</v>
      </c>
      <c r="M54" s="417" t="str">
        <f aca="false">FHD_NOTE_P_12</f>
        <v/>
      </c>
      <c r="N54" s="47" t="str">
        <f aca="false">IF((LEN(E54)-LEN(SUBSTITUTE(E54,".","")))/LEN(".")=1,"p","")</f>
        <v>p</v>
      </c>
      <c r="O54" s="47"/>
      <c r="P54" s="47"/>
      <c r="U54" s="47"/>
      <c r="X54" s="599"/>
      <c r="AI54" s="45" t="n">
        <v>18</v>
      </c>
    </row>
    <row r="55" s="40" customFormat="true" ht="31.5" hidden="false" customHeight="true" outlineLevel="0" collapsed="false">
      <c r="A55" s="641"/>
      <c r="C55" s="46"/>
      <c r="D55" s="275"/>
      <c r="E55" s="600" t="str">
        <f aca="false">FHD_NUM_P_13</f>
        <v>2.6</v>
      </c>
      <c r="F55" s="568" t="str">
        <f aca="false">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146" t="s">
        <v>565</v>
      </c>
      <c r="H55" s="620"/>
      <c r="I55" s="620" t="n">
        <f aca="false">I56+I57</f>
        <v>26656.210928</v>
      </c>
      <c r="J55" s="620" t="n">
        <f aca="false">J56+J57</f>
        <v>12749.709658</v>
      </c>
      <c r="K55" s="620" t="n">
        <f aca="false">K56+K57</f>
        <v>14993.1335742</v>
      </c>
      <c r="L55" s="620" t="n">
        <f aca="false">L56+L57</f>
        <v>1921.77965</v>
      </c>
      <c r="M55" s="417" t="str">
        <f aca="false">FHD_NOTE_P_13</f>
        <v/>
      </c>
      <c r="N55" s="47" t="str">
        <f aca="false">IF((LEN(E55)-LEN(SUBSTITUTE(E55,".","")))/LEN(".")=1,"p","")</f>
        <v>p</v>
      </c>
      <c r="O55" s="46"/>
      <c r="P55" s="46"/>
      <c r="U55" s="46"/>
      <c r="X55" s="642"/>
      <c r="AI55" s="40" t="n">
        <v>11</v>
      </c>
    </row>
    <row r="56" s="40" customFormat="true" ht="35.25" hidden="false" customHeight="true" outlineLevel="0" collapsed="false">
      <c r="A56" s="641"/>
      <c r="C56" s="46"/>
      <c r="D56" s="275"/>
      <c r="E56" s="600" t="str">
        <f aca="false">FHD_NUM_P_14</f>
        <v>2.6.1</v>
      </c>
      <c r="F56" s="636" t="str">
        <f aca="false">FHD_P_14</f>
        <v>Расходы на оплату труда основного производственного персонала</v>
      </c>
      <c r="G56" s="146" t="s">
        <v>565</v>
      </c>
      <c r="H56" s="620"/>
      <c r="I56" s="620" t="n">
        <f aca="false">27201.258*0.752</f>
        <v>20455.346016</v>
      </c>
      <c r="J56" s="620" t="n">
        <f aca="false">10429.532*0.938</f>
        <v>9782.901016</v>
      </c>
      <c r="K56" s="620" t="n">
        <f aca="false">12554.623*0.86+697.479</f>
        <v>11494.45478</v>
      </c>
      <c r="L56" s="620" t="n">
        <v>1477.301</v>
      </c>
      <c r="M56" s="417" t="str">
        <f aca="false">FHD_NOTE_P_14</f>
        <v/>
      </c>
      <c r="N56" s="47" t="str">
        <f aca="false">IF((LEN(E56)-LEN(SUBSTITUTE(E56,".","")))/LEN(".")=1,"p","")</f>
        <v/>
      </c>
      <c r="O56" s="46"/>
      <c r="P56" s="46"/>
      <c r="U56" s="46"/>
      <c r="X56" s="642"/>
      <c r="AI56" s="40" t="n">
        <v>11</v>
      </c>
    </row>
    <row r="57" s="40" customFormat="true" ht="30" hidden="false" customHeight="true" outlineLevel="0" collapsed="false">
      <c r="A57" s="641"/>
      <c r="C57" s="46"/>
      <c r="D57" s="275"/>
      <c r="E57" s="600" t="str">
        <f aca="false">FHD_NUM_P_15</f>
        <v>2.6.2</v>
      </c>
      <c r="F57" s="636" t="str">
        <f aca="false">FHD_P_15</f>
        <v>Страховые взносы на обязательное социальное страхование, выплачиваемые из фонда оплаты труда основного производственного персонала</v>
      </c>
      <c r="G57" s="146" t="s">
        <v>565</v>
      </c>
      <c r="H57" s="620"/>
      <c r="I57" s="620" t="n">
        <f aca="false">8245.831*0.752</f>
        <v>6200.864912</v>
      </c>
      <c r="J57" s="620" t="n">
        <f aca="false">3162.909*0.938</f>
        <v>2966.808642</v>
      </c>
      <c r="K57" s="620" t="n">
        <f aca="false">3823.30247*0.86+210.63867</f>
        <v>3498.6787942</v>
      </c>
      <c r="L57" s="620" t="n">
        <v>444.47865</v>
      </c>
      <c r="M57" s="417" t="str">
        <f aca="false">FHD_NOTE_P_15</f>
        <v/>
      </c>
      <c r="N57" s="47" t="str">
        <f aca="false">IF((LEN(E57)-LEN(SUBSTITUTE(E57,".","")))/LEN(".")=1,"p","")</f>
        <v/>
      </c>
      <c r="O57" s="46"/>
      <c r="P57" s="46"/>
      <c r="U57" s="46"/>
      <c r="X57" s="642"/>
      <c r="AI57" s="40" t="n">
        <v>11</v>
      </c>
    </row>
    <row r="58" s="45" customFormat="true" ht="29.25" hidden="false" customHeight="true" outlineLevel="0" collapsed="false">
      <c r="A58" s="598"/>
      <c r="C58" s="47"/>
      <c r="D58" s="114"/>
      <c r="E58" s="600" t="str">
        <f aca="false">FHD_NUM_P_16</f>
        <v>2.7</v>
      </c>
      <c r="F58" s="568" t="str">
        <f aca="false">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146" t="s">
        <v>565</v>
      </c>
      <c r="H58" s="620"/>
      <c r="I58" s="620" t="n">
        <f aca="false">I59+I60</f>
        <v>23697.5256289501</v>
      </c>
      <c r="J58" s="620" t="n">
        <f aca="false">J59+J60</f>
        <v>4926.480283678</v>
      </c>
      <c r="K58" s="620" t="n">
        <f aca="false">K59+K60</f>
        <v>13550.4468357028</v>
      </c>
      <c r="L58" s="620" t="n">
        <v>0</v>
      </c>
      <c r="M58" s="417" t="str">
        <f aca="false">FHD_NOTE_P_16</f>
        <v/>
      </c>
      <c r="N58" s="47" t="str">
        <f aca="false">IF((LEN(E58)-LEN(SUBSTITUTE(E58,".","")))/LEN(".")=1,"p","")</f>
        <v>p</v>
      </c>
      <c r="O58" s="47"/>
      <c r="P58" s="47"/>
      <c r="U58" s="47"/>
      <c r="X58" s="599"/>
      <c r="AI58" s="45" t="n">
        <v>11</v>
      </c>
    </row>
    <row r="59" s="45" customFormat="true" ht="27.75" hidden="false" customHeight="true" outlineLevel="0" collapsed="false">
      <c r="A59" s="598"/>
      <c r="C59" s="47"/>
      <c r="D59" s="114"/>
      <c r="E59" s="600" t="str">
        <f aca="false">FHD_NUM_P_17</f>
        <v>2.7.1</v>
      </c>
      <c r="F59" s="636" t="str">
        <f aca="false">FHD_P_17</f>
        <v>Расходы на оплату труда административно-управленческого персонала</v>
      </c>
      <c r="G59" s="146" t="s">
        <v>565</v>
      </c>
      <c r="H59" s="620"/>
      <c r="I59" s="620" t="n">
        <f aca="false">40431956.71/1000*0.6*0.752</f>
        <v>18242.898867552</v>
      </c>
      <c r="J59" s="620" t="n">
        <f aca="false">40431.95671*0.1*0.938</f>
        <v>3792.517539398</v>
      </c>
      <c r="K59" s="620" t="n">
        <f aca="false">40431.95671*0.3*0.86</f>
        <v>10431.44483118</v>
      </c>
      <c r="L59" s="620" t="n">
        <v>0</v>
      </c>
      <c r="M59" s="417" t="str">
        <f aca="false">FHD_NOTE_P_17</f>
        <v/>
      </c>
      <c r="N59" s="47" t="str">
        <f aca="false">IF((LEN(E59)-LEN(SUBSTITUTE(E59,".","")))/LEN(".")=1,"p","")</f>
        <v/>
      </c>
      <c r="O59" s="47"/>
      <c r="P59" s="47"/>
      <c r="U59" s="47"/>
      <c r="X59" s="599"/>
      <c r="AI59" s="45" t="n">
        <v>11</v>
      </c>
    </row>
    <row r="60" s="45" customFormat="true" ht="46.5" hidden="false" customHeight="true" outlineLevel="0" collapsed="false">
      <c r="A60" s="598"/>
      <c r="C60" s="47"/>
      <c r="D60" s="114"/>
      <c r="E60" s="600" t="str">
        <f aca="false">FHD_NUM_P_18</f>
        <v>2.7.2</v>
      </c>
      <c r="F60" s="636" t="str">
        <f aca="false">FHD_P_18</f>
        <v>Страховые взносы на обязательное социальное страхование, выплачиваемые из фонда оплаты труда административно-управленческого персонала</v>
      </c>
      <c r="G60" s="146" t="s">
        <v>565</v>
      </c>
      <c r="H60" s="620"/>
      <c r="I60" s="620" t="n">
        <f aca="false">I59*0.299</f>
        <v>5454.62676139805</v>
      </c>
      <c r="J60" s="620" t="n">
        <f aca="false">J59*0.299</f>
        <v>1133.96274428</v>
      </c>
      <c r="K60" s="620" t="n">
        <f aca="false">K59*0.299</f>
        <v>3119.00200452282</v>
      </c>
      <c r="L60" s="620" t="n">
        <v>0</v>
      </c>
      <c r="M60" s="417" t="str">
        <f aca="false">FHD_NOTE_P_18</f>
        <v/>
      </c>
      <c r="N60" s="47" t="str">
        <f aca="false">IF((LEN(E60)-LEN(SUBSTITUTE(E60,".","")))/LEN(".")=1,"p","")</f>
        <v/>
      </c>
      <c r="O60" s="47"/>
      <c r="P60" s="47"/>
      <c r="U60" s="47"/>
      <c r="X60" s="599"/>
      <c r="AI60" s="45" t="n">
        <v>11</v>
      </c>
    </row>
    <row r="61" s="45" customFormat="true" ht="11.25" hidden="false" customHeight="true" outlineLevel="0" collapsed="false">
      <c r="A61" s="598"/>
      <c r="C61" s="47"/>
      <c r="D61" s="639"/>
      <c r="E61" s="600" t="str">
        <f aca="false">FHD_NUM_P_19</f>
        <v>2.8</v>
      </c>
      <c r="F61" s="568" t="str">
        <f aca="false">FHD_P_19</f>
        <v>Расходы на амортизацию основных средств и нематериальных активов</v>
      </c>
      <c r="G61" s="146" t="s">
        <v>565</v>
      </c>
      <c r="H61" s="620"/>
      <c r="I61" s="620" t="n">
        <f aca="false">7261.761*0.752</f>
        <v>5460.844272</v>
      </c>
      <c r="J61" s="620" t="n">
        <f aca="false">1829.32222*0.938</f>
        <v>1715.90424236</v>
      </c>
      <c r="K61" s="620" t="n">
        <f aca="false">5573.98859*0.86</f>
        <v>4793.6301874</v>
      </c>
      <c r="L61" s="620" t="n">
        <v>701.54524</v>
      </c>
      <c r="M61" s="417" t="str">
        <f aca="false">FHD_NOTE_P_19</f>
        <v/>
      </c>
      <c r="N61" s="47" t="str">
        <f aca="false">IF((LEN(E61)-LEN(SUBSTITUTE(E61,".","")))/LEN(".")=1,"p","")</f>
        <v>p</v>
      </c>
      <c r="O61" s="47"/>
      <c r="P61" s="47"/>
      <c r="U61" s="47"/>
      <c r="X61" s="599"/>
      <c r="AI61" s="45" t="n">
        <v>11</v>
      </c>
    </row>
    <row r="62" s="45" customFormat="true" ht="11.25" hidden="false" customHeight="true" outlineLevel="0" collapsed="false">
      <c r="A62" s="598"/>
      <c r="C62" s="47"/>
      <c r="D62" s="639"/>
      <c r="E62" s="600" t="str">
        <f aca="false">FHD_NUM_P_20</f>
        <v>2.8.1</v>
      </c>
      <c r="F62" s="636" t="str">
        <f aca="false">FHD_P_20</f>
        <v>Расходы на амортизацию основных средств</v>
      </c>
      <c r="G62" s="146" t="s">
        <v>565</v>
      </c>
      <c r="H62" s="620"/>
      <c r="I62" s="620" t="n">
        <f aca="false">7261.76*0.752</f>
        <v>5460.84352</v>
      </c>
      <c r="J62" s="620" t="n">
        <f aca="false">J61</f>
        <v>1715.90424236</v>
      </c>
      <c r="K62" s="620" t="n">
        <f aca="false">K61</f>
        <v>4793.6301874</v>
      </c>
      <c r="L62" s="620" t="n">
        <v>701.54524</v>
      </c>
      <c r="M62" s="417" t="str">
        <f aca="false">FHD_NOTE_P_20</f>
        <v/>
      </c>
      <c r="N62" s="47" t="str">
        <f aca="false">IF((LEN(E62)-LEN(SUBSTITUTE(E62,".","")))/LEN(".")=1,"p","")</f>
        <v/>
      </c>
      <c r="O62" s="47"/>
      <c r="P62" s="47"/>
      <c r="U62" s="47"/>
      <c r="X62" s="599"/>
      <c r="AI62" s="45" t="n">
        <v>11</v>
      </c>
    </row>
    <row r="63" s="45" customFormat="true" ht="11.25" hidden="false" customHeight="true" outlineLevel="0" collapsed="false">
      <c r="A63" s="598"/>
      <c r="C63" s="47"/>
      <c r="D63" s="639"/>
      <c r="E63" s="600" t="str">
        <f aca="false">FHD_NUM_P_21</f>
        <v>2.8.2</v>
      </c>
      <c r="F63" s="636" t="str">
        <f aca="false">FHD_P_21</f>
        <v>Расходы на амортизацию нематериальных активов</v>
      </c>
      <c r="G63" s="146" t="s">
        <v>565</v>
      </c>
      <c r="H63" s="620"/>
      <c r="I63" s="620" t="n">
        <v>0</v>
      </c>
      <c r="J63" s="620" t="n">
        <v>0</v>
      </c>
      <c r="K63" s="620" t="n">
        <v>0</v>
      </c>
      <c r="L63" s="620" t="n">
        <v>0</v>
      </c>
      <c r="M63" s="417" t="str">
        <f aca="false">FHD_NOTE_P_21</f>
        <v/>
      </c>
      <c r="N63" s="47" t="str">
        <f aca="false">IF((LEN(E63)-LEN(SUBSTITUTE(E63,".","")))/LEN(".")=1,"p","")</f>
        <v/>
      </c>
      <c r="O63" s="47"/>
      <c r="P63" s="47"/>
      <c r="U63" s="47"/>
      <c r="X63" s="599"/>
      <c r="AI63" s="45" t="n">
        <v>11</v>
      </c>
    </row>
    <row r="64" s="45" customFormat="true" ht="36" hidden="false" customHeight="true" outlineLevel="0" collapsed="false">
      <c r="A64" s="598"/>
      <c r="C64" s="47"/>
      <c r="D64" s="114"/>
      <c r="E64" s="600" t="str">
        <f aca="false">FHD_NUM_P_22</f>
        <v>2.9</v>
      </c>
      <c r="F64" s="568" t="str">
        <f aca="false">FHD_P_22</f>
        <v>Расходы на аренду имущества, используемого для осуществления регулируемого вида деятельности</v>
      </c>
      <c r="G64" s="146" t="s">
        <v>565</v>
      </c>
      <c r="H64" s="620"/>
      <c r="I64" s="620" t="n">
        <f aca="false">92.389*0.752</f>
        <v>69.476528</v>
      </c>
      <c r="J64" s="620" t="n">
        <v>0</v>
      </c>
      <c r="K64" s="620" t="n">
        <f aca="false">60*0.86</f>
        <v>51.6</v>
      </c>
      <c r="L64" s="620" t="n">
        <v>0</v>
      </c>
      <c r="M64" s="417" t="str">
        <f aca="false">FHD_NOTE_P_22</f>
        <v/>
      </c>
      <c r="N64" s="47" t="str">
        <f aca="false">IF((LEN(E64)-LEN(SUBSTITUTE(E64,".","")))/LEN(".")=1,"p","")</f>
        <v>p</v>
      </c>
      <c r="O64" s="47"/>
      <c r="P64" s="47"/>
      <c r="U64" s="47"/>
      <c r="X64" s="599"/>
      <c r="AI64" s="45" t="n">
        <v>11</v>
      </c>
    </row>
    <row r="65" s="45" customFormat="true" ht="11.25" hidden="false" customHeight="true" outlineLevel="0" collapsed="false">
      <c r="A65" s="598"/>
      <c r="C65" s="47"/>
      <c r="D65" s="639"/>
      <c r="E65" s="600" t="str">
        <f aca="false">FHD_NUM_P_23</f>
        <v>2.10</v>
      </c>
      <c r="F65" s="568" t="str">
        <f aca="false">FHD_P_23</f>
        <v>Общепроизводственные расходы, в том числе:</v>
      </c>
      <c r="G65" s="146" t="s">
        <v>565</v>
      </c>
      <c r="H65" s="620"/>
      <c r="I65" s="620" t="n">
        <f aca="false">(206.423+3423.75+216.379+332.761+107.616+250.119)*0.752</f>
        <v>3411.860096</v>
      </c>
      <c r="J65" s="620" t="n">
        <f aca="false">(125.983+2738.502+31.689+132.395+19.179+42.72)*0.938</f>
        <v>2898.858984</v>
      </c>
      <c r="K65" s="620" t="n">
        <f aca="false">(377.805+1905.894+41.105+180.588+70.704+83.48)*0.86+520.061</f>
        <v>2807.29636</v>
      </c>
      <c r="L65" s="620" t="n">
        <v>0</v>
      </c>
      <c r="M65" s="417" t="str">
        <f aca="false">FHD_NOTE_P_23</f>
        <v>Указывается общая сумма общепроизводственных расходов.</v>
      </c>
      <c r="N65" s="47" t="str">
        <f aca="false">IF((LEN(E65)-LEN(SUBSTITUTE(E65,".","")))/LEN(".")=1,"p","")</f>
        <v>p</v>
      </c>
      <c r="O65" s="47"/>
      <c r="P65" s="47"/>
      <c r="U65" s="47"/>
      <c r="X65" s="599"/>
      <c r="AI65" s="45" t="n">
        <v>11</v>
      </c>
    </row>
    <row r="66" s="45" customFormat="true" ht="11.25" hidden="false" customHeight="true" outlineLevel="0" collapsed="false">
      <c r="A66" s="598"/>
      <c r="C66" s="47"/>
      <c r="D66" s="639"/>
      <c r="E66" s="600" t="str">
        <f aca="false">FHD_NUM_P_24</f>
        <v>2.10.1</v>
      </c>
      <c r="F66" s="636" t="str">
        <f aca="false">FHD_P_24</f>
        <v>Расходы на текущий ремонт</v>
      </c>
      <c r="G66" s="146" t="s">
        <v>565</v>
      </c>
      <c r="H66" s="620"/>
      <c r="I66" s="620" t="n">
        <v>0</v>
      </c>
      <c r="J66" s="620" t="n">
        <v>0</v>
      </c>
      <c r="K66" s="620" t="n">
        <v>0</v>
      </c>
      <c r="L66" s="620" t="n">
        <v>0</v>
      </c>
      <c r="M66" s="417" t="str">
        <f aca="false">FHD_NOTE_P_24</f>
        <v>Указываются расходы на текущий ремонт, отнесенные к общепроизводственным расходам.</v>
      </c>
      <c r="N66" s="47" t="str">
        <f aca="false">IF((LEN(E66)-LEN(SUBSTITUTE(E66,".","")))/LEN(".")=1,"p","")</f>
        <v/>
      </c>
      <c r="O66" s="47"/>
      <c r="P66" s="47"/>
      <c r="U66" s="47"/>
      <c r="X66" s="599"/>
      <c r="AI66" s="45" t="n">
        <v>11</v>
      </c>
    </row>
    <row r="67" s="45" customFormat="true" ht="11.25" hidden="false" customHeight="true" outlineLevel="0" collapsed="false">
      <c r="A67" s="598"/>
      <c r="C67" s="47"/>
      <c r="D67" s="639"/>
      <c r="E67" s="600" t="str">
        <f aca="false">FHD_NUM_P_25</f>
        <v>2.10.2</v>
      </c>
      <c r="F67" s="636" t="str">
        <f aca="false">FHD_P_25</f>
        <v>Расходы на капитальный ремонт</v>
      </c>
      <c r="G67" s="146" t="s">
        <v>565</v>
      </c>
      <c r="H67" s="620"/>
      <c r="I67" s="620" t="n">
        <v>0</v>
      </c>
      <c r="J67" s="620" t="n">
        <v>0</v>
      </c>
      <c r="K67" s="620" t="n">
        <v>0</v>
      </c>
      <c r="L67" s="620" t="n">
        <v>0</v>
      </c>
      <c r="M67" s="417" t="str">
        <f aca="false">FHD_NOTE_P_25</f>
        <v>Указываются расходы на капитальный ремонт, отнесенные к общепроизводственным расходам.</v>
      </c>
      <c r="N67" s="47" t="str">
        <f aca="false">IF((LEN(E67)-LEN(SUBSTITUTE(E67,".","")))/LEN(".")=1,"p","")</f>
        <v/>
      </c>
      <c r="O67" s="47"/>
      <c r="P67" s="47"/>
      <c r="U67" s="47"/>
      <c r="X67" s="599"/>
      <c r="AI67" s="45" t="n">
        <v>11</v>
      </c>
    </row>
    <row r="68" s="45" customFormat="true" ht="11.25" hidden="false" customHeight="true" outlineLevel="0" collapsed="false">
      <c r="A68" s="598"/>
      <c r="C68" s="47"/>
      <c r="D68" s="114"/>
      <c r="E68" s="600" t="str">
        <f aca="false">FHD_NUM_P_26</f>
        <v>2.11</v>
      </c>
      <c r="F68" s="568" t="str">
        <f aca="false">FHD_P_26</f>
        <v>Общехозяйственные расходы, в том числе:</v>
      </c>
      <c r="G68" s="146" t="s">
        <v>565</v>
      </c>
      <c r="H68" s="620"/>
      <c r="I68" s="620" t="n">
        <f aca="false">34717.98277*0.752-I59-I60</f>
        <v>2410.39741408995</v>
      </c>
      <c r="J68" s="620" t="n">
        <f aca="false">7700.08676*0.938-J59-J60</f>
        <v>2296.201097202</v>
      </c>
      <c r="K68" s="620" t="n">
        <f aca="false">16723.82154*0.86-K59-K60</f>
        <v>832.039688697179</v>
      </c>
      <c r="L68" s="620" t="n">
        <v>0</v>
      </c>
      <c r="M68" s="417" t="str">
        <f aca="false">FHD_NOTE_P_26</f>
        <v>Указывается общая сумма общехозяйственных расходов.</v>
      </c>
      <c r="N68" s="47" t="str">
        <f aca="false">IF((LEN(E68)-LEN(SUBSTITUTE(E68,".","")))/LEN(".")=1,"p","")</f>
        <v>p</v>
      </c>
      <c r="O68" s="47"/>
      <c r="P68" s="47"/>
      <c r="U68" s="47"/>
      <c r="X68" s="599"/>
      <c r="AI68" s="45" t="n">
        <v>11</v>
      </c>
    </row>
    <row r="69" s="45" customFormat="true" ht="11.25" hidden="false" customHeight="true" outlineLevel="0" collapsed="false">
      <c r="A69" s="598"/>
      <c r="C69" s="47"/>
      <c r="D69" s="114"/>
      <c r="E69" s="600" t="str">
        <f aca="false">FHD_NUM_P_27</f>
        <v>2.11.1</v>
      </c>
      <c r="F69" s="636" t="str">
        <f aca="false">FHD_P_27</f>
        <v>Расходы на текущий ремонт</v>
      </c>
      <c r="G69" s="146" t="s">
        <v>565</v>
      </c>
      <c r="H69" s="620"/>
      <c r="I69" s="620" t="n">
        <v>0</v>
      </c>
      <c r="J69" s="620" t="n">
        <v>0</v>
      </c>
      <c r="K69" s="620" t="n">
        <v>0</v>
      </c>
      <c r="L69" s="620" t="n">
        <v>0</v>
      </c>
      <c r="M69" s="417" t="str">
        <f aca="false">FHD_NOTE_P_27</f>
        <v>Указываются расходы на текущий ремонт, отнесенные к общехозяйственным расходам.</v>
      </c>
      <c r="N69" s="47" t="str">
        <f aca="false">IF((LEN(E69)-LEN(SUBSTITUTE(E69,".","")))/LEN(".")=1,"p","")</f>
        <v/>
      </c>
      <c r="O69" s="47"/>
      <c r="P69" s="47"/>
      <c r="U69" s="47"/>
      <c r="X69" s="599"/>
      <c r="AI69" s="45" t="n">
        <v>11</v>
      </c>
    </row>
    <row r="70" s="45" customFormat="true" ht="11.25" hidden="false" customHeight="true" outlineLevel="0" collapsed="false">
      <c r="A70" s="598"/>
      <c r="C70" s="47"/>
      <c r="D70" s="114"/>
      <c r="E70" s="600" t="str">
        <f aca="false">FHD_NUM_P_28</f>
        <v>2.11.2</v>
      </c>
      <c r="F70" s="636" t="str">
        <f aca="false">FHD_P_28</f>
        <v>Расходы на капитальный ремонт</v>
      </c>
      <c r="G70" s="146" t="s">
        <v>565</v>
      </c>
      <c r="H70" s="620"/>
      <c r="I70" s="620" t="n">
        <v>0</v>
      </c>
      <c r="J70" s="620" t="n">
        <v>0</v>
      </c>
      <c r="K70" s="620" t="n">
        <v>0</v>
      </c>
      <c r="L70" s="620" t="n">
        <v>0</v>
      </c>
      <c r="M70" s="417" t="str">
        <f aca="false">FHD_NOTE_P_28</f>
        <v>Указываются расходы на капитальный ремонт, отнесенные к общехозяйственным расходам.</v>
      </c>
      <c r="N70" s="47" t="str">
        <f aca="false">IF((LEN(E70)-LEN(SUBSTITUTE(E70,".","")))/LEN(".")=1,"p","")</f>
        <v/>
      </c>
      <c r="O70" s="47"/>
      <c r="P70" s="47"/>
      <c r="U70" s="47"/>
      <c r="X70" s="599"/>
      <c r="AI70" s="45" t="n">
        <v>11</v>
      </c>
    </row>
    <row r="71" s="45" customFormat="true" ht="11.25" hidden="false" customHeight="true" outlineLevel="0" collapsed="false">
      <c r="A71" s="598"/>
      <c r="C71" s="47"/>
      <c r="D71" s="114"/>
      <c r="E71" s="600" t="str">
        <f aca="false">FHD_NUM_P_29</f>
        <v>2.12</v>
      </c>
      <c r="F71" s="568" t="str">
        <f aca="false">FHD_P_29</f>
        <v>Расходы на капитальный и текущий ремонт основных средств</v>
      </c>
      <c r="G71" s="146" t="s">
        <v>565</v>
      </c>
      <c r="H71" s="620"/>
      <c r="I71" s="620" t="n">
        <f aca="false">17448.391*0.752</f>
        <v>13121.190032</v>
      </c>
      <c r="J71" s="620" t="n">
        <f aca="false">4048.274*0.938</f>
        <v>3797.281012</v>
      </c>
      <c r="K71" s="620" t="n">
        <f aca="false">6939.918*0.86+270.179</f>
        <v>6238.50848</v>
      </c>
      <c r="L71" s="620" t="n">
        <v>0</v>
      </c>
      <c r="M71" s="417" t="str">
        <f aca="false">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71" s="47" t="str">
        <f aca="false">IF((LEN(E71)-LEN(SUBSTITUTE(E71,".","")))/LEN(".")=1,"p","")</f>
        <v>p</v>
      </c>
      <c r="O71" s="47"/>
      <c r="P71" s="47"/>
      <c r="U71" s="47"/>
      <c r="X71" s="599"/>
      <c r="AI71" s="45" t="n">
        <v>11</v>
      </c>
    </row>
    <row r="72" s="45" customFormat="true" ht="33" hidden="false" customHeight="true" outlineLevel="0" collapsed="false">
      <c r="A72" s="598"/>
      <c r="C72" s="47"/>
      <c r="D72" s="114"/>
      <c r="E72" s="600" t="str">
        <f aca="false">FHD_NUM_P_30</f>
        <v>2.12.1</v>
      </c>
      <c r="F72" s="636" t="str">
        <f aca="false">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146" t="s">
        <v>319</v>
      </c>
      <c r="H72" s="335" t="s">
        <v>591</v>
      </c>
      <c r="I72" s="335" t="s">
        <v>591</v>
      </c>
      <c r="J72" s="335" t="s">
        <v>591</v>
      </c>
      <c r="K72" s="335" t="s">
        <v>591</v>
      </c>
      <c r="L72" s="335" t="s">
        <v>591</v>
      </c>
      <c r="M72" s="417" t="str">
        <f aca="false">FHD_NOTE_P_30</f>
        <v/>
      </c>
      <c r="N72" s="47" t="str">
        <f aca="false">IF((LEN(E72)-LEN(SUBSTITUTE(E72,".","")))/LEN(".")=1,"p","")</f>
        <v/>
      </c>
      <c r="O72" s="47" t="n">
        <f aca="false">_xlfn.iferror(MATCH("есть",B_FHD_FLAG_INDEX_1,0),0)</f>
        <v>0</v>
      </c>
      <c r="P72" s="47"/>
      <c r="U72" s="47"/>
      <c r="X72" s="599"/>
      <c r="AI72" s="45" t="n">
        <v>11</v>
      </c>
    </row>
    <row r="73" s="45" customFormat="true" ht="23.25" hidden="true" customHeight="true" outlineLevel="0" collapsed="false">
      <c r="A73" s="622" t="s">
        <v>592</v>
      </c>
      <c r="C73" s="47"/>
      <c r="D73" s="114"/>
      <c r="E73" s="600" t="str">
        <f aca="false">FHD_NUM_P_31</f>
        <v/>
      </c>
      <c r="F73" s="568" t="str">
        <f aca="false">FHD_P_31</f>
        <v/>
      </c>
      <c r="G73" s="146" t="s">
        <v>565</v>
      </c>
      <c r="H73" s="620"/>
      <c r="I73" s="620"/>
      <c r="J73" s="620"/>
      <c r="K73" s="620"/>
      <c r="L73" s="620"/>
      <c r="M73" s="417" t="str">
        <f aca="false">FHD_NOTE_P_31</f>
        <v/>
      </c>
      <c r="N73" s="47" t="str">
        <f aca="false">IF((LEN(E73)-LEN(SUBSTITUTE(E73,".","")))/LEN(".")=1,"p","")</f>
        <v/>
      </c>
      <c r="O73" s="47"/>
      <c r="P73" s="47"/>
      <c r="U73" s="47"/>
      <c r="X73" s="599"/>
      <c r="AI73" s="45" t="n">
        <v>22</v>
      </c>
    </row>
    <row r="74" s="45" customFormat="true" ht="47.25" hidden="true" customHeight="true" outlineLevel="0" collapsed="false">
      <c r="A74" s="622"/>
      <c r="C74" s="47"/>
      <c r="D74" s="114"/>
      <c r="E74" s="600" t="str">
        <f aca="false">FHD_NUM_P_32</f>
        <v/>
      </c>
      <c r="F74" s="636" t="str">
        <f aca="false">FHD_P_32</f>
        <v/>
      </c>
      <c r="G74" s="146" t="s">
        <v>319</v>
      </c>
      <c r="H74" s="335" t="s">
        <v>591</v>
      </c>
      <c r="I74" s="335" t="s">
        <v>591</v>
      </c>
      <c r="J74" s="335" t="s">
        <v>591</v>
      </c>
      <c r="K74" s="335" t="s">
        <v>591</v>
      </c>
      <c r="L74" s="335" t="s">
        <v>591</v>
      </c>
      <c r="M74" s="417" t="str">
        <f aca="false">FHD_NOTE_P_32</f>
        <v/>
      </c>
      <c r="N74" s="47" t="str">
        <f aca="false">IF((LEN(E74)-LEN(SUBSTITUTE(E74,".","")))/LEN(".")=1,"p","")</f>
        <v/>
      </c>
      <c r="O74" s="47" t="n">
        <f aca="false">_xlfn.iferror(MATCH("есть",B_FHD_FLAG_INDEX_2,0),0)</f>
        <v>0</v>
      </c>
      <c r="P74" s="47"/>
      <c r="U74" s="47"/>
      <c r="X74" s="599"/>
      <c r="AI74" s="45" t="n">
        <v>45</v>
      </c>
    </row>
    <row r="75" s="45" customFormat="true" ht="11.25" hidden="false" customHeight="true" outlineLevel="0" collapsed="false">
      <c r="A75" s="598"/>
      <c r="C75" s="47"/>
      <c r="D75" s="114"/>
      <c r="E75" s="600" t="str">
        <f aca="false">FHD_NUM_P_33</f>
        <v>2.13</v>
      </c>
      <c r="F75" s="568" t="str">
        <f aca="false">FHD_P_33</f>
        <v>Прочие расходы, которые подлежат отнесению на регулируемые виды деятельности в соответствии с законодательством Российской Федерации</v>
      </c>
      <c r="G75" s="262" t="s">
        <v>565</v>
      </c>
      <c r="H75" s="643" t="n">
        <f aca="false">SUM(H76:H88)</f>
        <v>0</v>
      </c>
      <c r="I75" s="643" t="n">
        <f aca="false">SUM(I76:I88)</f>
        <v>15326.59672032</v>
      </c>
      <c r="J75" s="643" t="n">
        <f aca="false">SUM(J76:J88)</f>
        <v>5974.43831236</v>
      </c>
      <c r="K75" s="643" t="n">
        <f aca="false">SUM(K76:K88)</f>
        <v>8677.258229</v>
      </c>
      <c r="L75" s="643" t="n">
        <f aca="false">SUM(L76:L88)</f>
        <v>0</v>
      </c>
      <c r="M75" s="417" t="str">
        <f aca="false">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N75" s="47" t="str">
        <f aca="false">IF((LEN(E75)-LEN(SUBSTITUTE(E75,".","")))/LEN(".")=1,"p","")</f>
        <v>p</v>
      </c>
      <c r="O75" s="47"/>
      <c r="P75" s="47"/>
      <c r="U75" s="47"/>
      <c r="X75" s="599"/>
      <c r="AI75" s="45" t="n">
        <v>11</v>
      </c>
    </row>
    <row r="76" s="47" customFormat="true" ht="0.75" hidden="false" customHeight="true" outlineLevel="0" collapsed="false">
      <c r="A76" s="456"/>
      <c r="D76" s="456"/>
      <c r="E76" s="147" t="str">
        <f aca="false">E75&amp;".0"</f>
        <v>2.13.0</v>
      </c>
      <c r="F76" s="644"/>
      <c r="G76" s="147"/>
      <c r="H76" s="645"/>
      <c r="I76" s="645"/>
      <c r="J76" s="645"/>
      <c r="K76" s="645"/>
      <c r="L76" s="645"/>
      <c r="M76" s="646"/>
      <c r="N76" s="47" t="str">
        <f aca="false">IF((LEN(E76)-LEN(SUBSTITUTE(E76,".","")))/LEN(".")=1,"p","")</f>
        <v/>
      </c>
      <c r="AI76" s="47" t="n">
        <v>1</v>
      </c>
    </row>
    <row r="77" s="45" customFormat="true" ht="22.5" hidden="false" customHeight="true" outlineLevel="0" collapsed="false">
      <c r="A77" s="598"/>
      <c r="C77" s="47"/>
      <c r="D77" s="138" t="s">
        <v>103</v>
      </c>
      <c r="E77" s="146" t="str">
        <f aca="false">E75&amp;".1"</f>
        <v>2.13.1</v>
      </c>
      <c r="F77" s="148" t="s">
        <v>593</v>
      </c>
      <c r="G77" s="146" t="s">
        <v>565</v>
      </c>
      <c r="H77" s="435"/>
      <c r="I77" s="435" t="n">
        <f aca="false">6532571.66/1000*0.752</f>
        <v>4912.49388832</v>
      </c>
      <c r="J77" s="435" t="n">
        <f aca="false">2946.85253*0.938</f>
        <v>2764.14767314</v>
      </c>
      <c r="K77" s="435" t="n">
        <f aca="false">2140.641*0.86</f>
        <v>1840.95126</v>
      </c>
      <c r="L77" s="435" t="n">
        <v>0</v>
      </c>
      <c r="M77" s="608" t="s">
        <v>568</v>
      </c>
      <c r="N77" s="602"/>
      <c r="O77" s="47"/>
      <c r="P77" s="47"/>
      <c r="U77" s="47"/>
      <c r="X77" s="599"/>
      <c r="AI77" s="45" t="n">
        <v>0</v>
      </c>
    </row>
    <row r="78" s="45" customFormat="true" ht="22.5" hidden="false" customHeight="true" outlineLevel="0" collapsed="false">
      <c r="A78" s="598"/>
      <c r="C78" s="47"/>
      <c r="D78" s="138" t="s">
        <v>103</v>
      </c>
      <c r="E78" s="146" t="str">
        <f aca="false">E75&amp;".2"</f>
        <v>2.13.2</v>
      </c>
      <c r="F78" s="148" t="s">
        <v>594</v>
      </c>
      <c r="G78" s="146" t="s">
        <v>565</v>
      </c>
      <c r="H78" s="435"/>
      <c r="I78" s="435" t="n">
        <f aca="false">231190/1000*0.752</f>
        <v>173.85488</v>
      </c>
      <c r="J78" s="435" t="n">
        <f aca="false">256.742*0.938</f>
        <v>240.823996</v>
      </c>
      <c r="K78" s="435" t="n">
        <f aca="false">381.831*0.86</f>
        <v>328.37466</v>
      </c>
      <c r="L78" s="435" t="n">
        <v>0</v>
      </c>
      <c r="M78" s="608" t="s">
        <v>568</v>
      </c>
      <c r="N78" s="602"/>
      <c r="O78" s="47"/>
      <c r="P78" s="47"/>
      <c r="U78" s="47"/>
      <c r="X78" s="599"/>
      <c r="AI78" s="45" t="n">
        <v>0</v>
      </c>
    </row>
    <row r="79" s="45" customFormat="true" ht="22.5" hidden="false" customHeight="true" outlineLevel="0" collapsed="false">
      <c r="A79" s="598"/>
      <c r="C79" s="47"/>
      <c r="D79" s="138" t="s">
        <v>103</v>
      </c>
      <c r="E79" s="146" t="str">
        <f aca="false">E75&amp;".3"</f>
        <v>2.13.3</v>
      </c>
      <c r="F79" s="148" t="s">
        <v>595</v>
      </c>
      <c r="G79" s="146" t="s">
        <v>565</v>
      </c>
      <c r="H79" s="435"/>
      <c r="I79" s="435" t="n">
        <f aca="false">507422*0.752/1000</f>
        <v>381.581344</v>
      </c>
      <c r="J79" s="435" t="n">
        <f aca="false">202.969*0.938</f>
        <v>190.384922</v>
      </c>
      <c r="K79" s="435" t="n">
        <f aca="false">304.453*0.86</f>
        <v>261.82958</v>
      </c>
      <c r="L79" s="435" t="n">
        <v>0</v>
      </c>
      <c r="M79" s="608" t="s">
        <v>568</v>
      </c>
      <c r="N79" s="602"/>
      <c r="O79" s="47"/>
      <c r="P79" s="47"/>
      <c r="U79" s="47"/>
      <c r="X79" s="599"/>
      <c r="AI79" s="45" t="n">
        <v>0</v>
      </c>
    </row>
    <row r="80" s="45" customFormat="true" ht="22.5" hidden="false" customHeight="true" outlineLevel="0" collapsed="false">
      <c r="A80" s="598"/>
      <c r="C80" s="47"/>
      <c r="D80" s="138" t="s">
        <v>103</v>
      </c>
      <c r="E80" s="146" t="str">
        <f aca="false">E75&amp;".4"</f>
        <v>2.13.4</v>
      </c>
      <c r="F80" s="148" t="s">
        <v>596</v>
      </c>
      <c r="G80" s="146" t="s">
        <v>565</v>
      </c>
      <c r="H80" s="435"/>
      <c r="I80" s="435" t="n">
        <v>0</v>
      </c>
      <c r="J80" s="435" t="n">
        <v>0</v>
      </c>
      <c r="K80" s="435" t="n">
        <v>0</v>
      </c>
      <c r="L80" s="435" t="n">
        <v>0</v>
      </c>
      <c r="M80" s="608" t="s">
        <v>568</v>
      </c>
      <c r="N80" s="602"/>
      <c r="O80" s="47"/>
      <c r="P80" s="47"/>
      <c r="U80" s="47"/>
      <c r="X80" s="599"/>
      <c r="AI80" s="45" t="n">
        <v>0</v>
      </c>
    </row>
    <row r="81" s="45" customFormat="true" ht="22.5" hidden="false" customHeight="true" outlineLevel="0" collapsed="false">
      <c r="A81" s="598"/>
      <c r="C81" s="47"/>
      <c r="D81" s="138" t="s">
        <v>103</v>
      </c>
      <c r="E81" s="146" t="str">
        <f aca="false">E75&amp;".5"</f>
        <v>2.13.5</v>
      </c>
      <c r="F81" s="148" t="s">
        <v>597</v>
      </c>
      <c r="G81" s="146" t="s">
        <v>565</v>
      </c>
      <c r="H81" s="435"/>
      <c r="I81" s="435" t="n">
        <f aca="false">313.681*0.752</f>
        <v>235.888112</v>
      </c>
      <c r="J81" s="435" t="n">
        <f aca="false">42.29*0.938</f>
        <v>39.66802</v>
      </c>
      <c r="K81" s="435" t="n">
        <f aca="false">111.777*0.86</f>
        <v>96.12822</v>
      </c>
      <c r="L81" s="435" t="n">
        <v>0</v>
      </c>
      <c r="M81" s="608" t="s">
        <v>568</v>
      </c>
      <c r="N81" s="602"/>
      <c r="O81" s="47"/>
      <c r="P81" s="47"/>
      <c r="U81" s="47"/>
      <c r="X81" s="599"/>
      <c r="AI81" s="45" t="n">
        <v>0</v>
      </c>
    </row>
    <row r="82" s="45" customFormat="true" ht="22.5" hidden="false" customHeight="true" outlineLevel="0" collapsed="false">
      <c r="A82" s="598"/>
      <c r="C82" s="47"/>
      <c r="D82" s="138" t="s">
        <v>103</v>
      </c>
      <c r="E82" s="146" t="str">
        <f aca="false">E75&amp;".6"</f>
        <v>2.13.6</v>
      </c>
      <c r="F82" s="148" t="s">
        <v>598</v>
      </c>
      <c r="G82" s="146" t="s">
        <v>565</v>
      </c>
      <c r="H82" s="435"/>
      <c r="I82" s="435" t="n">
        <f aca="false">8052.517*0.752</f>
        <v>6055.492784</v>
      </c>
      <c r="J82" s="435" t="n">
        <f aca="false">2065.01413*0.938</f>
        <v>1936.98325394</v>
      </c>
      <c r="K82" s="435" t="n">
        <f aca="false">4346.56058*0.86</f>
        <v>3738.0420988</v>
      </c>
      <c r="L82" s="435" t="n">
        <v>0</v>
      </c>
      <c r="M82" s="608" t="s">
        <v>568</v>
      </c>
      <c r="N82" s="602"/>
      <c r="O82" s="47"/>
      <c r="P82" s="47"/>
      <c r="U82" s="47"/>
      <c r="X82" s="599"/>
      <c r="AI82" s="45" t="n">
        <v>0</v>
      </c>
    </row>
    <row r="83" s="45" customFormat="true" ht="22.5" hidden="false" customHeight="true" outlineLevel="0" collapsed="false">
      <c r="A83" s="598"/>
      <c r="C83" s="47"/>
      <c r="D83" s="138" t="s">
        <v>103</v>
      </c>
      <c r="E83" s="146" t="str">
        <f aca="false">E75&amp;".7"</f>
        <v>2.13.7</v>
      </c>
      <c r="F83" s="148" t="s">
        <v>599</v>
      </c>
      <c r="G83" s="146" t="s">
        <v>565</v>
      </c>
      <c r="H83" s="435"/>
      <c r="I83" s="435" t="n">
        <f aca="false">1440.512*0.752</f>
        <v>1083.265024</v>
      </c>
      <c r="J83" s="435" t="n">
        <f aca="false">576.205*0.938</f>
        <v>540.48029</v>
      </c>
      <c r="K83" s="435" t="n">
        <f aca="false">864.307*0.86</f>
        <v>743.30402</v>
      </c>
      <c r="L83" s="435" t="n">
        <v>0</v>
      </c>
      <c r="M83" s="608" t="s">
        <v>568</v>
      </c>
      <c r="N83" s="602"/>
      <c r="O83" s="47"/>
      <c r="P83" s="47"/>
      <c r="U83" s="47"/>
      <c r="X83" s="599"/>
      <c r="AI83" s="45" t="n">
        <v>0</v>
      </c>
    </row>
    <row r="84" s="45" customFormat="true" ht="22.5" hidden="false" customHeight="true" outlineLevel="0" collapsed="false">
      <c r="A84" s="598"/>
      <c r="C84" s="47"/>
      <c r="D84" s="138" t="s">
        <v>103</v>
      </c>
      <c r="E84" s="146" t="str">
        <f aca="false">E75&amp;".8"</f>
        <v>2.13.8</v>
      </c>
      <c r="F84" s="148" t="s">
        <v>600</v>
      </c>
      <c r="G84" s="146" t="s">
        <v>565</v>
      </c>
      <c r="H84" s="435"/>
      <c r="I84" s="435" t="n">
        <f aca="false">3292.89*0.752</f>
        <v>2476.25328</v>
      </c>
      <c r="J84" s="435" t="n">
        <f aca="false">274.408*0.938</f>
        <v>257.394704</v>
      </c>
      <c r="K84" s="435" t="n">
        <f aca="false">1920.852*0.86</f>
        <v>1651.93272</v>
      </c>
      <c r="L84" s="435" t="n">
        <v>0</v>
      </c>
      <c r="M84" s="608" t="s">
        <v>568</v>
      </c>
      <c r="N84" s="602"/>
      <c r="O84" s="47"/>
      <c r="P84" s="47"/>
      <c r="U84" s="47"/>
      <c r="X84" s="599"/>
      <c r="AI84" s="45" t="n">
        <v>0</v>
      </c>
    </row>
    <row r="85" s="45" customFormat="true" ht="22.5" hidden="false" customHeight="true" outlineLevel="0" collapsed="false">
      <c r="A85" s="598"/>
      <c r="C85" s="47"/>
      <c r="D85" s="138" t="s">
        <v>103</v>
      </c>
      <c r="E85" s="146" t="str">
        <f aca="false">E75&amp;".9"</f>
        <v>2.13.9</v>
      </c>
      <c r="F85" s="148" t="s">
        <v>601</v>
      </c>
      <c r="G85" s="146" t="s">
        <v>565</v>
      </c>
      <c r="H85" s="435"/>
      <c r="I85" s="435" t="n">
        <v>0</v>
      </c>
      <c r="J85" s="435" t="n">
        <v>0</v>
      </c>
      <c r="K85" s="435" t="n">
        <v>0</v>
      </c>
      <c r="L85" s="435" t="n">
        <v>0</v>
      </c>
      <c r="M85" s="608" t="s">
        <v>568</v>
      </c>
      <c r="N85" s="602"/>
      <c r="O85" s="47"/>
      <c r="P85" s="47"/>
      <c r="U85" s="47"/>
      <c r="X85" s="599"/>
      <c r="AI85" s="45" t="n">
        <v>0</v>
      </c>
    </row>
    <row r="86" s="45" customFormat="true" ht="22.5" hidden="false" customHeight="true" outlineLevel="0" collapsed="false">
      <c r="A86" s="598"/>
      <c r="C86" s="47"/>
      <c r="D86" s="138" t="s">
        <v>103</v>
      </c>
      <c r="E86" s="146" t="str">
        <f aca="false">E75&amp;".10"</f>
        <v>2.13.10</v>
      </c>
      <c r="F86" s="148" t="s">
        <v>602</v>
      </c>
      <c r="G86" s="146" t="s">
        <v>565</v>
      </c>
      <c r="H86" s="435"/>
      <c r="I86" s="435" t="n">
        <f aca="false">8.552*0.752</f>
        <v>6.431104</v>
      </c>
      <c r="J86" s="435" t="n">
        <f aca="false">3079.79*0.938/1000</f>
        <v>2.88884302</v>
      </c>
      <c r="K86" s="435" t="n">
        <f aca="false">14.30003*0.86</f>
        <v>12.2980258</v>
      </c>
      <c r="L86" s="435" t="n">
        <v>0</v>
      </c>
      <c r="M86" s="608" t="s">
        <v>568</v>
      </c>
      <c r="N86" s="602"/>
      <c r="O86" s="47"/>
      <c r="P86" s="47"/>
      <c r="U86" s="47"/>
      <c r="X86" s="599"/>
      <c r="AI86" s="45" t="n">
        <v>0</v>
      </c>
    </row>
    <row r="87" s="45" customFormat="true" ht="22.5" hidden="false" customHeight="true" outlineLevel="0" collapsed="false">
      <c r="A87" s="598"/>
      <c r="C87" s="47"/>
      <c r="D87" s="138" t="s">
        <v>103</v>
      </c>
      <c r="E87" s="146" t="str">
        <f aca="false">E75&amp;".11"</f>
        <v>2.13.11</v>
      </c>
      <c r="F87" s="148" t="s">
        <v>603</v>
      </c>
      <c r="G87" s="146" t="s">
        <v>565</v>
      </c>
      <c r="H87" s="435"/>
      <c r="I87" s="435" t="n">
        <f aca="false">1.777*0.752</f>
        <v>1.336304</v>
      </c>
      <c r="J87" s="435" t="n">
        <f aca="false">1.77677*0.938</f>
        <v>1.66661026</v>
      </c>
      <c r="K87" s="435" t="n">
        <f aca="false">5.11354*0.86</f>
        <v>4.3976444</v>
      </c>
      <c r="L87" s="435" t="n">
        <v>0</v>
      </c>
      <c r="M87" s="608" t="s">
        <v>568</v>
      </c>
      <c r="N87" s="602"/>
      <c r="O87" s="47"/>
      <c r="P87" s="47"/>
      <c r="U87" s="47"/>
      <c r="X87" s="599"/>
      <c r="AI87" s="45" t="n">
        <v>0</v>
      </c>
    </row>
    <row r="88" s="45" customFormat="true" ht="14.25" hidden="false" customHeight="true" outlineLevel="0" collapsed="false">
      <c r="A88" s="598"/>
      <c r="C88" s="47"/>
      <c r="D88" s="117"/>
      <c r="E88" s="633"/>
      <c r="F88" s="219" t="s">
        <v>604</v>
      </c>
      <c r="G88" s="634"/>
      <c r="H88" s="635"/>
      <c r="I88" s="635"/>
      <c r="J88" s="635"/>
      <c r="K88" s="635"/>
      <c r="L88" s="635"/>
      <c r="M88" s="475"/>
      <c r="N88" s="47"/>
      <c r="O88" s="47"/>
      <c r="P88" s="47"/>
      <c r="U88" s="47"/>
      <c r="X88" s="599"/>
      <c r="AI88" s="45" t="n">
        <v>14</v>
      </c>
    </row>
    <row r="89" s="45" customFormat="true" ht="18.75" hidden="false" customHeight="true" outlineLevel="0" collapsed="false">
      <c r="A89" s="638" t="s">
        <v>605</v>
      </c>
      <c r="C89" s="47"/>
      <c r="D89" s="114"/>
      <c r="E89" s="600" t="str">
        <f aca="false">FHD_NUM_P_34</f>
        <v>3</v>
      </c>
      <c r="F89" s="619" t="str">
        <f aca="false">FHD_P_34</f>
        <v>Валовая прибыль (убытки) от реализации товаров и оказания услуг по регулируемому виду деятельности</v>
      </c>
      <c r="G89" s="146" t="s">
        <v>565</v>
      </c>
      <c r="H89" s="620"/>
      <c r="I89" s="620" t="n">
        <f aca="false">I30-I31</f>
        <v>2624.18151502</v>
      </c>
      <c r="J89" s="620" t="n">
        <f aca="false">J30-J31</f>
        <v>-4127.66717349</v>
      </c>
      <c r="K89" s="620" t="n">
        <f aca="false">K30-K31</f>
        <v>3298.18114859998</v>
      </c>
      <c r="L89" s="620" t="n">
        <f aca="false">L30-L31</f>
        <v>-22757.74052</v>
      </c>
      <c r="M89" s="417" t="str">
        <f aca="false">FHD_NOTE_P_34</f>
        <v/>
      </c>
      <c r="N89" s="602"/>
      <c r="O89" s="47"/>
      <c r="P89" s="47"/>
      <c r="U89" s="47"/>
      <c r="X89" s="599"/>
      <c r="AI89" s="45" t="n">
        <v>0</v>
      </c>
    </row>
    <row r="90" s="45" customFormat="true" ht="20.25" hidden="false" customHeight="true" outlineLevel="0" collapsed="false">
      <c r="A90" s="598"/>
      <c r="C90" s="47"/>
      <c r="D90" s="639"/>
      <c r="E90" s="600" t="str">
        <f aca="false">FHD_NUM_P_35</f>
        <v>4</v>
      </c>
      <c r="F90" s="619" t="str">
        <f aca="false">FHD_P_35</f>
        <v>Чистая прибыль, полученная от регулируемого вида деятельности, в том числе:</v>
      </c>
      <c r="G90" s="146" t="s">
        <v>565</v>
      </c>
      <c r="H90" s="620"/>
      <c r="I90" s="620" t="n">
        <f aca="false">I89</f>
        <v>2624.18151502</v>
      </c>
      <c r="J90" s="620" t="n">
        <f aca="false">2128.888</f>
        <v>2128.888</v>
      </c>
      <c r="K90" s="620" t="n">
        <f aca="false">K89</f>
        <v>3298.18114859998</v>
      </c>
      <c r="L90" s="620" t="n">
        <v>0</v>
      </c>
      <c r="M90" s="417" t="str">
        <f aca="false">FHD_NOTE_P_35</f>
        <v>Указывается общая сумма чистой прибыли, полученной от регулируемого вида деятельности.</v>
      </c>
      <c r="N90" s="602"/>
      <c r="O90" s="47"/>
      <c r="P90" s="47"/>
      <c r="U90" s="47"/>
      <c r="X90" s="599"/>
      <c r="AI90" s="45" t="n">
        <v>19</v>
      </c>
    </row>
    <row r="91" s="45" customFormat="true" ht="20.25" hidden="false" customHeight="true" outlineLevel="0" collapsed="false">
      <c r="A91" s="598"/>
      <c r="C91" s="47"/>
      <c r="D91" s="114"/>
      <c r="E91" s="600" t="str">
        <f aca="false">FHD_NUM_P_36</f>
        <v>4.1</v>
      </c>
      <c r="F91" s="568" t="str">
        <f aca="false">FHD_P_36</f>
        <v>Размер расходования чистой прибыли на финансирование мероприятий, предусмотренных инвестиционной программой регулируемой организации</v>
      </c>
      <c r="G91" s="146" t="s">
        <v>565</v>
      </c>
      <c r="H91" s="620"/>
      <c r="I91" s="620" t="n">
        <v>0</v>
      </c>
      <c r="J91" s="620" t="n">
        <f aca="false">2128.888</f>
        <v>2128.888</v>
      </c>
      <c r="K91" s="620" t="n">
        <v>0</v>
      </c>
      <c r="L91" s="620" t="n">
        <v>0</v>
      </c>
      <c r="M91" s="417" t="str">
        <f aca="false">FHD_NOTE_P_36</f>
        <v/>
      </c>
      <c r="N91" s="602"/>
      <c r="O91" s="47"/>
      <c r="P91" s="47"/>
      <c r="U91" s="47"/>
      <c r="X91" s="599"/>
      <c r="AI91" s="45" t="n">
        <v>19</v>
      </c>
    </row>
    <row r="92" s="45" customFormat="true" ht="20.25" hidden="false" customHeight="true" outlineLevel="0" collapsed="false">
      <c r="A92" s="598"/>
      <c r="C92" s="47"/>
      <c r="D92" s="114"/>
      <c r="E92" s="600" t="str">
        <f aca="false">FHD_NUM_P_37</f>
        <v>5</v>
      </c>
      <c r="F92" s="619" t="str">
        <f aca="false">FHD_P_37</f>
        <v>Изменение стоимости основных фондов, в том числе:</v>
      </c>
      <c r="G92" s="146" t="s">
        <v>565</v>
      </c>
      <c r="H92" s="620"/>
      <c r="I92" s="620" t="n">
        <f aca="false">I93+I96</f>
        <v>14176.78895</v>
      </c>
      <c r="J92" s="620" t="n">
        <f aca="false">J93+J96</f>
        <v>4078.211</v>
      </c>
      <c r="K92" s="620" t="n">
        <f aca="false">K93+K96</f>
        <v>5370.18032</v>
      </c>
      <c r="L92" s="620" t="n">
        <v>0</v>
      </c>
      <c r="M92" s="417" t="str">
        <f aca="false">FHD_NOTE_P_37</f>
        <v>Указывается общее изменение стоимости основных фондов.</v>
      </c>
      <c r="N92" s="602"/>
      <c r="O92" s="47"/>
      <c r="P92" s="47"/>
      <c r="U92" s="47"/>
      <c r="X92" s="599"/>
      <c r="AI92" s="45" t="n">
        <v>19</v>
      </c>
    </row>
    <row r="93" s="45" customFormat="true" ht="20.25" hidden="false" customHeight="true" outlineLevel="0" collapsed="false">
      <c r="A93" s="598"/>
      <c r="C93" s="47"/>
      <c r="D93" s="114"/>
      <c r="E93" s="600" t="str">
        <f aca="false">FHD_NUM_P_38</f>
        <v>5.1</v>
      </c>
      <c r="F93" s="568" t="str">
        <f aca="false">FHD_P_38</f>
        <v>Изменение стоимости основных фондов за счет:</v>
      </c>
      <c r="G93" s="146" t="s">
        <v>565</v>
      </c>
      <c r="H93" s="620"/>
      <c r="I93" s="620" t="n">
        <f aca="false">I94+I95</f>
        <v>14176.78895</v>
      </c>
      <c r="J93" s="620" t="n">
        <f aca="false">J94+J95</f>
        <v>4078.211</v>
      </c>
      <c r="K93" s="620" t="n">
        <f aca="false">K94+K95</f>
        <v>5370.18032</v>
      </c>
      <c r="L93" s="620" t="n">
        <v>0</v>
      </c>
      <c r="M93" s="417" t="str">
        <f aca="false">FHD_NOTE_P_38</f>
        <v>Указываются общее изменение стоимости основных фондов за счет их ввода в эксплуатацию и вывода из эксплуатации.</v>
      </c>
      <c r="N93" s="602"/>
      <c r="O93" s="47"/>
      <c r="P93" s="47"/>
      <c r="U93" s="47"/>
      <c r="X93" s="599"/>
      <c r="AI93" s="45" t="n">
        <v>19</v>
      </c>
    </row>
    <row r="94" s="45" customFormat="true" ht="20.25" hidden="false" customHeight="true" outlineLevel="0" collapsed="false">
      <c r="A94" s="598"/>
      <c r="C94" s="47"/>
      <c r="D94" s="114"/>
      <c r="E94" s="600" t="str">
        <f aca="false">FHD_NUM_P_39</f>
        <v>5.1.1</v>
      </c>
      <c r="F94" s="636" t="str">
        <f aca="false">FHD_P_39</f>
        <v>Изменения стоимости основных фондов за счет их ввода в эксплуатацию</v>
      </c>
      <c r="G94" s="262" t="s">
        <v>565</v>
      </c>
      <c r="H94" s="620"/>
      <c r="I94" s="620" t="n">
        <v>14176.78895</v>
      </c>
      <c r="J94" s="620" t="n">
        <v>4078.211</v>
      </c>
      <c r="K94" s="620" t="n">
        <v>5370.18032</v>
      </c>
      <c r="L94" s="620" t="n">
        <v>0</v>
      </c>
      <c r="M94" s="417" t="str">
        <f aca="false">FHD_NOTE_P_39</f>
        <v>Указываются изменение стоимости основных фондов за счет их ввода в эксплуатацию.</v>
      </c>
      <c r="N94" s="602"/>
      <c r="O94" s="47"/>
      <c r="P94" s="47"/>
      <c r="U94" s="47"/>
      <c r="X94" s="599"/>
      <c r="AI94" s="45" t="n">
        <v>19</v>
      </c>
    </row>
    <row r="95" s="45" customFormat="true" ht="19.5" hidden="false" customHeight="true" outlineLevel="0" collapsed="false">
      <c r="A95" s="598"/>
      <c r="C95" s="47"/>
      <c r="D95" s="114"/>
      <c r="E95" s="600" t="str">
        <f aca="false">FHD_NUM_P_40</f>
        <v>5.1.2</v>
      </c>
      <c r="F95" s="647" t="str">
        <f aca="false">FHD_P_40</f>
        <v>Изменения стоимости основных фондов за счет их вывода в эксплуатацию</v>
      </c>
      <c r="G95" s="146" t="s">
        <v>565</v>
      </c>
      <c r="H95" s="648"/>
      <c r="I95" s="620" t="n">
        <v>0</v>
      </c>
      <c r="J95" s="648" t="n">
        <v>0</v>
      </c>
      <c r="K95" s="648" t="n">
        <v>0</v>
      </c>
      <c r="L95" s="648" t="n">
        <v>0</v>
      </c>
      <c r="M95" s="417" t="str">
        <f aca="false">FHD_NOTE_P_40</f>
        <v>Указываются изменение стоимости основных фондов за счет их вывода из эксплуатации.</v>
      </c>
      <c r="N95" s="602"/>
      <c r="O95" s="47"/>
      <c r="P95" s="47"/>
      <c r="U95" s="47"/>
      <c r="X95" s="599"/>
      <c r="AI95" s="45" t="n">
        <v>19</v>
      </c>
    </row>
    <row r="96" s="45" customFormat="true" ht="19.5" hidden="false" customHeight="true" outlineLevel="0" collapsed="false">
      <c r="A96" s="598"/>
      <c r="C96" s="47"/>
      <c r="D96" s="114"/>
      <c r="E96" s="600" t="str">
        <f aca="false">FHD_NUM_P_41</f>
        <v>5.2</v>
      </c>
      <c r="F96" s="649" t="str">
        <f aca="false">FHD_P_41</f>
        <v>Изменение стоимости основных фондов за счет их переоценки</v>
      </c>
      <c r="G96" s="146" t="s">
        <v>565</v>
      </c>
      <c r="H96" s="648"/>
      <c r="I96" s="620" t="n">
        <v>0</v>
      </c>
      <c r="J96" s="648" t="n">
        <v>0</v>
      </c>
      <c r="K96" s="648" t="n">
        <v>0</v>
      </c>
      <c r="L96" s="648" t="n">
        <v>0</v>
      </c>
      <c r="M96" s="417" t="str">
        <f aca="false">FHD_NOTE_P_41</f>
        <v/>
      </c>
      <c r="N96" s="602"/>
      <c r="O96" s="47"/>
      <c r="P96" s="47"/>
      <c r="U96" s="47"/>
      <c r="X96" s="599"/>
      <c r="AI96" s="45" t="n">
        <v>19</v>
      </c>
    </row>
    <row r="97" s="45" customFormat="true" ht="20.25" hidden="true" customHeight="true" outlineLevel="0" collapsed="false">
      <c r="A97" s="638" t="s">
        <v>606</v>
      </c>
      <c r="C97" s="47"/>
      <c r="D97" s="114"/>
      <c r="E97" s="600" t="str">
        <f aca="false">FHD_NUM_P_42</f>
        <v/>
      </c>
      <c r="F97" s="650" t="str">
        <f aca="false">FHD_P_42</f>
        <v/>
      </c>
      <c r="G97" s="146" t="s">
        <v>565</v>
      </c>
      <c r="H97" s="648"/>
      <c r="I97" s="620"/>
      <c r="J97" s="648"/>
      <c r="K97" s="648"/>
      <c r="L97" s="648"/>
      <c r="M97" s="417" t="str">
        <f aca="false">FHD_NOTE_P_42</f>
        <v/>
      </c>
      <c r="N97" s="602"/>
      <c r="O97" s="47"/>
      <c r="P97" s="47"/>
      <c r="U97" s="47"/>
      <c r="X97" s="599"/>
      <c r="AI97" s="45" t="n">
        <v>19</v>
      </c>
    </row>
    <row r="98" s="45" customFormat="true" ht="20.25" hidden="false" customHeight="true" outlineLevel="0" collapsed="false">
      <c r="A98" s="598"/>
      <c r="C98" s="47"/>
      <c r="D98" s="114"/>
      <c r="E98" s="600" t="str">
        <f aca="false">FHD_NUM_P_43</f>
        <v>6</v>
      </c>
      <c r="F98" s="619" t="str">
        <f aca="false">FHD_P_43</f>
        <v>Годовая бухгалтерская (финансовая) отчетность, включая бухгалтерский баланс и приложения к нему</v>
      </c>
      <c r="G98" s="151" t="s">
        <v>319</v>
      </c>
      <c r="H98" s="651"/>
      <c r="I98" s="403" t="s">
        <v>607</v>
      </c>
      <c r="J98" s="651" t="s">
        <v>607</v>
      </c>
      <c r="K98" s="651" t="s">
        <v>607</v>
      </c>
      <c r="L98" s="651" t="s">
        <v>607</v>
      </c>
      <c r="M98" s="417" t="str">
        <f aca="false">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N98" s="602"/>
      <c r="O98" s="47"/>
      <c r="P98" s="47"/>
      <c r="U98" s="47"/>
      <c r="X98" s="599"/>
      <c r="AI98" s="45" t="n">
        <v>19</v>
      </c>
    </row>
    <row r="99" s="45" customFormat="true" ht="18.75" hidden="true" customHeight="true" outlineLevel="0" collapsed="false">
      <c r="A99" s="622" t="s">
        <v>608</v>
      </c>
      <c r="C99" s="47"/>
      <c r="D99" s="114"/>
      <c r="E99" s="600" t="str">
        <f aca="false">FHD_NUM_P_44</f>
        <v/>
      </c>
      <c r="F99" s="619" t="str">
        <f aca="false">FHD_P_44</f>
        <v/>
      </c>
      <c r="G99" s="146" t="s">
        <v>609</v>
      </c>
      <c r="H99" s="652"/>
      <c r="I99" s="640"/>
      <c r="J99" s="652"/>
      <c r="K99" s="652"/>
      <c r="L99" s="652"/>
      <c r="M99" s="417" t="str">
        <f aca="false">FHD_NOTE_P_44</f>
        <v/>
      </c>
      <c r="N99" s="602"/>
      <c r="O99" s="47"/>
      <c r="P99" s="47"/>
      <c r="U99" s="47"/>
      <c r="X99" s="599"/>
      <c r="AI99" s="45" t="n">
        <v>0</v>
      </c>
    </row>
    <row r="100" s="45" customFormat="true" ht="18.75" hidden="true" customHeight="true" outlineLevel="0" collapsed="false">
      <c r="A100" s="622"/>
      <c r="C100" s="47"/>
      <c r="D100" s="114"/>
      <c r="E100" s="600" t="str">
        <f aca="false">FHD_NUM_P_45</f>
        <v/>
      </c>
      <c r="F100" s="619" t="str">
        <f aca="false">FHD_P_45</f>
        <v/>
      </c>
      <c r="G100" s="146" t="s">
        <v>609</v>
      </c>
      <c r="H100" s="652"/>
      <c r="I100" s="640"/>
      <c r="J100" s="652"/>
      <c r="K100" s="652"/>
      <c r="L100" s="652"/>
      <c r="M100" s="417" t="str">
        <f aca="false">FHD_NOTE_P_45</f>
        <v/>
      </c>
      <c r="N100" s="602"/>
      <c r="O100" s="47"/>
      <c r="P100" s="47"/>
      <c r="U100" s="47"/>
      <c r="X100" s="599"/>
      <c r="AI100" s="45" t="n">
        <v>0</v>
      </c>
    </row>
    <row r="101" s="45" customFormat="true" ht="18.75" hidden="true" customHeight="true" outlineLevel="0" collapsed="false">
      <c r="A101" s="622"/>
      <c r="C101" s="47"/>
      <c r="D101" s="639"/>
      <c r="E101" s="600" t="str">
        <f aca="false">FHD_NUM_P_46</f>
        <v/>
      </c>
      <c r="F101" s="619" t="str">
        <f aca="false">FHD_P_46</f>
        <v/>
      </c>
      <c r="G101" s="146" t="s">
        <v>609</v>
      </c>
      <c r="H101" s="652"/>
      <c r="I101" s="640"/>
      <c r="J101" s="652"/>
      <c r="K101" s="652"/>
      <c r="L101" s="652"/>
      <c r="M101" s="417" t="str">
        <f aca="false">FHD_NOTE_P_46</f>
        <v/>
      </c>
      <c r="N101" s="602"/>
      <c r="O101" s="47"/>
      <c r="P101" s="47"/>
      <c r="U101" s="47"/>
      <c r="X101" s="599"/>
      <c r="AI101" s="45" t="n">
        <v>0</v>
      </c>
    </row>
    <row r="102" s="45" customFormat="true" ht="18.75" hidden="true" customHeight="true" outlineLevel="0" collapsed="false">
      <c r="A102" s="622"/>
      <c r="C102" s="47"/>
      <c r="D102" s="114"/>
      <c r="E102" s="600" t="str">
        <f aca="false">FHD_NUM_P_47</f>
        <v/>
      </c>
      <c r="F102" s="619" t="str">
        <f aca="false">FHD_P_47</f>
        <v/>
      </c>
      <c r="G102" s="146" t="s">
        <v>609</v>
      </c>
      <c r="H102" s="652"/>
      <c r="I102" s="640"/>
      <c r="J102" s="652"/>
      <c r="K102" s="652"/>
      <c r="L102" s="652"/>
      <c r="M102" s="417" t="str">
        <f aca="false">FHD_NOTE_P_47</f>
        <v/>
      </c>
      <c r="N102" s="602"/>
      <c r="O102" s="47"/>
      <c r="P102" s="47"/>
      <c r="U102" s="47"/>
      <c r="X102" s="599"/>
      <c r="AI102" s="45" t="n">
        <v>0</v>
      </c>
    </row>
    <row r="103" s="42" customFormat="true" ht="18.75" hidden="true" customHeight="true" outlineLevel="0" collapsed="false">
      <c r="A103" s="622"/>
      <c r="B103" s="45"/>
      <c r="C103" s="47"/>
      <c r="D103" s="114"/>
      <c r="E103" s="600" t="str">
        <f aca="false">FHD_NUM_P_48</f>
        <v/>
      </c>
      <c r="F103" s="619" t="str">
        <f aca="false">FHD_P_48</f>
        <v/>
      </c>
      <c r="G103" s="146" t="s">
        <v>609</v>
      </c>
      <c r="H103" s="652"/>
      <c r="I103" s="640"/>
      <c r="J103" s="652"/>
      <c r="K103" s="652"/>
      <c r="L103" s="652"/>
      <c r="M103" s="417" t="str">
        <f aca="false">FHD_NOTE_P_48</f>
        <v/>
      </c>
      <c r="N103" s="602"/>
      <c r="O103" s="47"/>
      <c r="P103" s="47"/>
      <c r="Q103" s="45"/>
      <c r="R103" s="45"/>
      <c r="S103" s="45"/>
      <c r="T103" s="45"/>
      <c r="U103" s="47"/>
      <c r="V103" s="45"/>
      <c r="W103" s="45"/>
      <c r="X103" s="599"/>
      <c r="Y103" s="45"/>
      <c r="Z103" s="45"/>
      <c r="AA103" s="45"/>
      <c r="AB103" s="45"/>
      <c r="AC103" s="45"/>
      <c r="AD103" s="45"/>
      <c r="AE103" s="45"/>
      <c r="AF103" s="45"/>
      <c r="AG103" s="45"/>
      <c r="AH103" s="45"/>
      <c r="AI103" s="42" t="n">
        <v>0</v>
      </c>
    </row>
    <row r="104" s="42" customFormat="true" ht="18.75" hidden="true" customHeight="true" outlineLevel="0" collapsed="false">
      <c r="A104" s="622"/>
      <c r="B104" s="45"/>
      <c r="C104" s="47"/>
      <c r="D104" s="114"/>
      <c r="E104" s="600" t="str">
        <f aca="false">FHD_NUM_P_49</f>
        <v/>
      </c>
      <c r="F104" s="619" t="str">
        <f aca="false">FHD_P_49</f>
        <v/>
      </c>
      <c r="G104" s="146" t="s">
        <v>609</v>
      </c>
      <c r="H104" s="653" t="n">
        <f aca="false">SUM(H105:H106)</f>
        <v>0</v>
      </c>
      <c r="I104" s="654" t="n">
        <f aca="false">SUM(I105:I106)</f>
        <v>0</v>
      </c>
      <c r="J104" s="653" t="n">
        <f aca="false">SUM(J105:J106)</f>
        <v>0</v>
      </c>
      <c r="K104" s="653" t="n">
        <f aca="false">SUM(K105:K106)</f>
        <v>0</v>
      </c>
      <c r="L104" s="653" t="n">
        <f aca="false">SUM(L105:L106)</f>
        <v>0</v>
      </c>
      <c r="M104" s="417" t="str">
        <f aca="false">FHD_NOTE_P_49</f>
        <v/>
      </c>
      <c r="N104" s="602"/>
      <c r="O104" s="47"/>
      <c r="P104" s="47"/>
      <c r="Q104" s="45"/>
      <c r="R104" s="45"/>
      <c r="S104" s="45"/>
      <c r="T104" s="45"/>
      <c r="U104" s="47"/>
      <c r="V104" s="45"/>
      <c r="W104" s="45"/>
      <c r="X104" s="599"/>
      <c r="Y104" s="45"/>
      <c r="Z104" s="45"/>
      <c r="AA104" s="45"/>
      <c r="AB104" s="45"/>
      <c r="AC104" s="45"/>
      <c r="AD104" s="45"/>
      <c r="AE104" s="45"/>
      <c r="AF104" s="45"/>
      <c r="AG104" s="45"/>
      <c r="AH104" s="45"/>
      <c r="AI104" s="42" t="n">
        <v>0</v>
      </c>
    </row>
    <row r="105" s="42" customFormat="true" ht="18.75" hidden="true" customHeight="true" outlineLevel="0" collapsed="false">
      <c r="A105" s="622"/>
      <c r="B105" s="45"/>
      <c r="C105" s="47"/>
      <c r="D105" s="114"/>
      <c r="E105" s="600" t="str">
        <f aca="false">FHD_NUM_P_50</f>
        <v/>
      </c>
      <c r="F105" s="619" t="str">
        <f aca="false">FHD_P_50</f>
        <v/>
      </c>
      <c r="G105" s="146" t="s">
        <v>609</v>
      </c>
      <c r="H105" s="652"/>
      <c r="I105" s="640"/>
      <c r="J105" s="652"/>
      <c r="K105" s="652"/>
      <c r="L105" s="652"/>
      <c r="M105" s="417" t="str">
        <f aca="false">FHD_NOTE_P_50</f>
        <v/>
      </c>
      <c r="N105" s="602"/>
      <c r="O105" s="47"/>
      <c r="P105" s="47"/>
      <c r="Q105" s="45"/>
      <c r="R105" s="45"/>
      <c r="S105" s="45"/>
      <c r="T105" s="45"/>
      <c r="U105" s="47"/>
      <c r="V105" s="45"/>
      <c r="W105" s="45"/>
      <c r="X105" s="599"/>
      <c r="Y105" s="45"/>
      <c r="Z105" s="45"/>
      <c r="AA105" s="45"/>
      <c r="AB105" s="45"/>
      <c r="AC105" s="45"/>
      <c r="AD105" s="45"/>
      <c r="AE105" s="45"/>
      <c r="AF105" s="45"/>
      <c r="AG105" s="45"/>
      <c r="AH105" s="45"/>
      <c r="AI105" s="42" t="n">
        <v>0</v>
      </c>
    </row>
    <row r="106" s="42" customFormat="true" ht="18.75" hidden="true" customHeight="true" outlineLevel="0" collapsed="false">
      <c r="A106" s="622"/>
      <c r="B106" s="45"/>
      <c r="C106" s="47"/>
      <c r="D106" s="114"/>
      <c r="E106" s="600" t="str">
        <f aca="false">FHD_NUM_P_51</f>
        <v/>
      </c>
      <c r="F106" s="619" t="str">
        <f aca="false">FHD_P_51</f>
        <v/>
      </c>
      <c r="G106" s="146" t="s">
        <v>609</v>
      </c>
      <c r="H106" s="652"/>
      <c r="I106" s="640"/>
      <c r="J106" s="652"/>
      <c r="K106" s="652"/>
      <c r="L106" s="652"/>
      <c r="M106" s="417" t="str">
        <f aca="false">FHD_NOTE_P_51</f>
        <v/>
      </c>
      <c r="N106" s="602"/>
      <c r="O106" s="47"/>
      <c r="P106" s="47"/>
      <c r="Q106" s="45"/>
      <c r="R106" s="45"/>
      <c r="S106" s="45"/>
      <c r="T106" s="45"/>
      <c r="U106" s="47"/>
      <c r="V106" s="45"/>
      <c r="W106" s="45"/>
      <c r="X106" s="599"/>
      <c r="Y106" s="45"/>
      <c r="Z106" s="45"/>
      <c r="AA106" s="45"/>
      <c r="AB106" s="45"/>
      <c r="AC106" s="45"/>
      <c r="AD106" s="45"/>
      <c r="AE106" s="45"/>
      <c r="AF106" s="45"/>
      <c r="AG106" s="45"/>
      <c r="AH106" s="45"/>
      <c r="AI106" s="42" t="n">
        <v>0</v>
      </c>
    </row>
    <row r="107" s="42" customFormat="true" ht="18.75" hidden="true" customHeight="true" outlineLevel="0" collapsed="false">
      <c r="A107" s="622"/>
      <c r="B107" s="45"/>
      <c r="C107" s="47"/>
      <c r="D107" s="114"/>
      <c r="E107" s="600" t="str">
        <f aca="false">FHD_NUM_P_52</f>
        <v/>
      </c>
      <c r="F107" s="619" t="str">
        <f aca="false">FHD_P_52</f>
        <v/>
      </c>
      <c r="G107" s="146" t="s">
        <v>571</v>
      </c>
      <c r="H107" s="648"/>
      <c r="I107" s="620"/>
      <c r="J107" s="648"/>
      <c r="K107" s="648"/>
      <c r="L107" s="648"/>
      <c r="M107" s="417" t="str">
        <f aca="false">FHD_NOTE_P_52</f>
        <v/>
      </c>
      <c r="N107" s="602"/>
      <c r="O107" s="47"/>
      <c r="P107" s="47"/>
      <c r="Q107" s="45"/>
      <c r="R107" s="45"/>
      <c r="S107" s="45"/>
      <c r="T107" s="45"/>
      <c r="U107" s="47"/>
      <c r="V107" s="45"/>
      <c r="W107" s="45"/>
      <c r="X107" s="599"/>
      <c r="Y107" s="45"/>
      <c r="Z107" s="45"/>
      <c r="AA107" s="45"/>
      <c r="AB107" s="45"/>
      <c r="AC107" s="45"/>
      <c r="AD107" s="45"/>
      <c r="AE107" s="45"/>
      <c r="AF107" s="45"/>
      <c r="AG107" s="45"/>
      <c r="AH107" s="45"/>
      <c r="AI107" s="42" t="n">
        <v>0</v>
      </c>
    </row>
    <row r="108" s="45" customFormat="true" ht="18.75" hidden="true" customHeight="true" outlineLevel="0" collapsed="false">
      <c r="A108" s="622" t="s">
        <v>610</v>
      </c>
      <c r="C108" s="47"/>
      <c r="D108" s="114"/>
      <c r="E108" s="600" t="str">
        <f aca="false">FHD_NUM_P_53</f>
        <v/>
      </c>
      <c r="F108" s="619" t="str">
        <f aca="false">FHD_P_53</f>
        <v/>
      </c>
      <c r="G108" s="146" t="s">
        <v>609</v>
      </c>
      <c r="H108" s="652"/>
      <c r="I108" s="640"/>
      <c r="J108" s="652"/>
      <c r="K108" s="652"/>
      <c r="L108" s="652"/>
      <c r="M108" s="417" t="str">
        <f aca="false">FHD_NOTE_P_53</f>
        <v/>
      </c>
      <c r="N108" s="602"/>
      <c r="O108" s="47"/>
      <c r="P108" s="47"/>
      <c r="U108" s="47"/>
      <c r="X108" s="599"/>
      <c r="AI108" s="45" t="n">
        <v>0</v>
      </c>
    </row>
    <row r="109" s="45" customFormat="true" ht="18.75" hidden="true" customHeight="true" outlineLevel="0" collapsed="false">
      <c r="A109" s="622"/>
      <c r="C109" s="47"/>
      <c r="D109" s="114"/>
      <c r="E109" s="600" t="str">
        <f aca="false">FHD_NUM_P_54</f>
        <v/>
      </c>
      <c r="F109" s="619" t="str">
        <f aca="false">FHD_P_54</f>
        <v/>
      </c>
      <c r="G109" s="146" t="s">
        <v>609</v>
      </c>
      <c r="H109" s="652"/>
      <c r="I109" s="640"/>
      <c r="J109" s="652"/>
      <c r="K109" s="652"/>
      <c r="L109" s="652"/>
      <c r="M109" s="417" t="str">
        <f aca="false">FHD_NOTE_P_54</f>
        <v/>
      </c>
      <c r="N109" s="602"/>
      <c r="O109" s="47"/>
      <c r="P109" s="47"/>
      <c r="U109" s="47"/>
      <c r="X109" s="599"/>
      <c r="AI109" s="45" t="n">
        <v>0</v>
      </c>
    </row>
    <row r="110" s="45" customFormat="true" ht="18.75" hidden="true" customHeight="true" outlineLevel="0" collapsed="false">
      <c r="A110" s="622"/>
      <c r="C110" s="47"/>
      <c r="D110" s="639"/>
      <c r="E110" s="600" t="str">
        <f aca="false">FHD_NUM_P_55</f>
        <v/>
      </c>
      <c r="F110" s="619" t="str">
        <f aca="false">FHD_P_55</f>
        <v/>
      </c>
      <c r="G110" s="566"/>
      <c r="H110" s="652"/>
      <c r="I110" s="640"/>
      <c r="J110" s="652"/>
      <c r="K110" s="652"/>
      <c r="L110" s="652"/>
      <c r="M110" s="417" t="str">
        <f aca="false">FHD_NOTE_P_55</f>
        <v/>
      </c>
      <c r="N110" s="602"/>
      <c r="O110" s="47"/>
      <c r="P110" s="47"/>
      <c r="U110" s="47"/>
      <c r="X110" s="599"/>
      <c r="AI110" s="45" t="n">
        <v>0</v>
      </c>
    </row>
    <row r="111" s="45" customFormat="true" ht="18.75" hidden="true" customHeight="true" outlineLevel="0" collapsed="false">
      <c r="A111" s="622"/>
      <c r="C111" s="47"/>
      <c r="D111" s="114"/>
      <c r="E111" s="600" t="str">
        <f aca="false">FHD_NUM_P_56</f>
        <v/>
      </c>
      <c r="F111" s="619" t="str">
        <f aca="false">FHD_P_56</f>
        <v/>
      </c>
      <c r="G111" s="146" t="s">
        <v>611</v>
      </c>
      <c r="H111" s="652"/>
      <c r="I111" s="640"/>
      <c r="J111" s="652"/>
      <c r="K111" s="652"/>
      <c r="L111" s="652"/>
      <c r="M111" s="417" t="str">
        <f aca="false">FHD_NOTE_P_56</f>
        <v/>
      </c>
      <c r="N111" s="602"/>
      <c r="O111" s="47"/>
      <c r="P111" s="47"/>
      <c r="U111" s="47"/>
      <c r="X111" s="599"/>
      <c r="AI111" s="45" t="n">
        <v>0</v>
      </c>
    </row>
    <row r="112" s="42" customFormat="true" ht="18.75" hidden="true" customHeight="true" outlineLevel="0" collapsed="false">
      <c r="A112" s="622"/>
      <c r="B112" s="45"/>
      <c r="C112" s="47"/>
      <c r="D112" s="114"/>
      <c r="E112" s="600" t="str">
        <f aca="false">FHD_NUM_P_57</f>
        <v/>
      </c>
      <c r="F112" s="619" t="str">
        <f aca="false">FHD_P_57</f>
        <v/>
      </c>
      <c r="G112" s="146" t="s">
        <v>571</v>
      </c>
      <c r="H112" s="648"/>
      <c r="I112" s="620"/>
      <c r="J112" s="648"/>
      <c r="K112" s="648"/>
      <c r="L112" s="648"/>
      <c r="M112" s="417" t="str">
        <f aca="false">FHD_NOTE_P_57</f>
        <v/>
      </c>
      <c r="N112" s="602"/>
      <c r="O112" s="47"/>
      <c r="P112" s="47"/>
      <c r="Q112" s="45"/>
      <c r="R112" s="45"/>
      <c r="S112" s="45"/>
      <c r="T112" s="45"/>
      <c r="U112" s="47"/>
      <c r="V112" s="45"/>
      <c r="W112" s="45"/>
      <c r="X112" s="599"/>
      <c r="Y112" s="45"/>
      <c r="Z112" s="45"/>
      <c r="AA112" s="45"/>
      <c r="AB112" s="45"/>
      <c r="AC112" s="45"/>
      <c r="AD112" s="45"/>
      <c r="AE112" s="45"/>
      <c r="AF112" s="45"/>
      <c r="AG112" s="45"/>
      <c r="AH112" s="45"/>
      <c r="AI112" s="42" t="n">
        <v>0</v>
      </c>
    </row>
    <row r="113" customFormat="false" ht="18.75" hidden="true" customHeight="true" outlineLevel="0" collapsed="false">
      <c r="A113" s="622" t="s">
        <v>612</v>
      </c>
      <c r="D113" s="114"/>
      <c r="E113" s="600" t="str">
        <f aca="false">FHD_NUM_P_58</f>
        <v/>
      </c>
      <c r="F113" s="619" t="str">
        <f aca="false">FHD_P_58</f>
        <v/>
      </c>
      <c r="G113" s="146" t="s">
        <v>609</v>
      </c>
      <c r="H113" s="652"/>
      <c r="I113" s="640"/>
      <c r="J113" s="652"/>
      <c r="K113" s="652"/>
      <c r="L113" s="652"/>
      <c r="M113" s="417" t="str">
        <f aca="false">FHD_NOTE_P_58</f>
        <v/>
      </c>
      <c r="N113" s="602"/>
      <c r="AI113" s="42" t="n">
        <v>0</v>
      </c>
    </row>
    <row r="114" customFormat="false" ht="18.75" hidden="true" customHeight="true" outlineLevel="0" collapsed="false">
      <c r="A114" s="622"/>
      <c r="D114" s="114"/>
      <c r="E114" s="600" t="str">
        <f aca="false">FHD_NUM_P_59</f>
        <v/>
      </c>
      <c r="F114" s="619" t="str">
        <f aca="false">FHD_P_59</f>
        <v/>
      </c>
      <c r="G114" s="146" t="s">
        <v>609</v>
      </c>
      <c r="H114" s="652"/>
      <c r="I114" s="640"/>
      <c r="J114" s="652"/>
      <c r="K114" s="652"/>
      <c r="L114" s="652"/>
      <c r="M114" s="417" t="str">
        <f aca="false">FHD_NOTE_P_59</f>
        <v/>
      </c>
      <c r="N114" s="602"/>
      <c r="AI114" s="42" t="n">
        <v>0</v>
      </c>
    </row>
    <row r="115" customFormat="false" ht="18.75" hidden="true" customHeight="true" outlineLevel="0" collapsed="false">
      <c r="A115" s="622"/>
      <c r="D115" s="114"/>
      <c r="E115" s="600" t="str">
        <f aca="false">FHD_NUM_P_60</f>
        <v/>
      </c>
      <c r="F115" s="619" t="str">
        <f aca="false">FHD_P_60</f>
        <v/>
      </c>
      <c r="G115" s="146" t="s">
        <v>609</v>
      </c>
      <c r="H115" s="652"/>
      <c r="I115" s="640"/>
      <c r="J115" s="652"/>
      <c r="K115" s="652"/>
      <c r="L115" s="652"/>
      <c r="M115" s="417" t="str">
        <f aca="false">FHD_NOTE_P_60</f>
        <v/>
      </c>
      <c r="N115" s="602"/>
      <c r="AI115" s="42" t="n">
        <v>0</v>
      </c>
    </row>
    <row r="116" s="45" customFormat="true" ht="49.5" hidden="false" customHeight="true" outlineLevel="0" collapsed="false">
      <c r="A116" s="622" t="s">
        <v>613</v>
      </c>
      <c r="C116" s="47"/>
      <c r="D116" s="114"/>
      <c r="E116" s="600" t="str">
        <f aca="false">FHD_NUM_P_61</f>
        <v>7</v>
      </c>
      <c r="F116" s="619" t="str">
        <f aca="false">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16" s="146" t="s">
        <v>569</v>
      </c>
      <c r="H116" s="655"/>
      <c r="I116" s="656" t="n">
        <v>220.5</v>
      </c>
      <c r="J116" s="655" t="n">
        <v>51.72</v>
      </c>
      <c r="K116" s="655" t="n">
        <v>119.3</v>
      </c>
      <c r="L116" s="655" t="n">
        <v>0</v>
      </c>
      <c r="M116" s="417" t="str">
        <f aca="false">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N116" s="602"/>
      <c r="O116" s="47"/>
      <c r="P116" s="47"/>
      <c r="U116" s="47"/>
      <c r="X116" s="599"/>
      <c r="AI116" s="45" t="n">
        <v>0</v>
      </c>
    </row>
    <row r="117" s="47" customFormat="true" ht="0.75" hidden="false" customHeight="true" outlineLevel="0" collapsed="false">
      <c r="A117" s="622"/>
      <c r="D117" s="456"/>
      <c r="E117" s="147" t="str">
        <f aca="false">E116&amp;".0"</f>
        <v>7.0</v>
      </c>
      <c r="F117" s="657"/>
      <c r="G117" s="658"/>
      <c r="H117" s="645"/>
      <c r="I117" s="645"/>
      <c r="J117" s="645"/>
      <c r="K117" s="645"/>
      <c r="L117" s="645"/>
      <c r="M117" s="659"/>
      <c r="AI117" s="47" t="n">
        <v>0</v>
      </c>
    </row>
    <row r="118" customFormat="false" ht="15" hidden="false" customHeight="true" outlineLevel="0" collapsed="false">
      <c r="A118" s="622"/>
      <c r="D118" s="117"/>
      <c r="E118" s="660"/>
      <c r="F118" s="661" t="s">
        <v>614</v>
      </c>
      <c r="G118" s="634"/>
      <c r="H118" s="635"/>
      <c r="I118" s="635"/>
      <c r="J118" s="635"/>
      <c r="K118" s="635"/>
      <c r="L118" s="635"/>
      <c r="M118" s="662" t="s">
        <v>615</v>
      </c>
      <c r="N118" s="602"/>
      <c r="AI118" s="42" t="n">
        <v>0</v>
      </c>
    </row>
    <row r="119" s="45" customFormat="true" ht="18.75" hidden="false" customHeight="true" outlineLevel="0" collapsed="false">
      <c r="A119" s="622"/>
      <c r="C119" s="47"/>
      <c r="D119" s="114"/>
      <c r="E119" s="600" t="str">
        <f aca="false">FHD_NUM_P_62</f>
        <v>8</v>
      </c>
      <c r="F119" s="619" t="str">
        <f aca="false">FHD_P_62</f>
        <v>Тепловая нагрузка по договорам, заключенным в рамках осуществления регулируемых видов деятельности</v>
      </c>
      <c r="G119" s="209" t="s">
        <v>569</v>
      </c>
      <c r="H119" s="620"/>
      <c r="I119" s="620" t="n">
        <v>76.385784</v>
      </c>
      <c r="J119" s="620" t="n">
        <v>16.883598</v>
      </c>
      <c r="K119" s="620" t="n">
        <v>38.945615</v>
      </c>
      <c r="L119" s="620" t="n">
        <v>0</v>
      </c>
      <c r="M119" s="417" t="str">
        <f aca="false">FHD_NOTE_P_62</f>
        <v>Регулируемыми организациями указывается информация по договорам, заключенным в рамках осуществления регулируемых видов деятельности</v>
      </c>
      <c r="N119" s="602"/>
      <c r="O119" s="47"/>
      <c r="P119" s="47"/>
      <c r="U119" s="47"/>
      <c r="X119" s="599"/>
      <c r="AI119" s="45" t="n">
        <v>0</v>
      </c>
    </row>
    <row r="120" s="45" customFormat="true" ht="18.75" hidden="false" customHeight="true" outlineLevel="0" collapsed="false">
      <c r="A120" s="622"/>
      <c r="C120" s="47"/>
      <c r="D120" s="114"/>
      <c r="E120" s="600" t="str">
        <f aca="false">FHD_NUM_P_63</f>
        <v>9</v>
      </c>
      <c r="F120" s="619" t="str">
        <f aca="false">FHD_P_63</f>
        <v>Объем вырабатываемой регулируемой организацией тепловой энергии в рамках осуществления регулируемых видов деятельности</v>
      </c>
      <c r="G120" s="209" t="s">
        <v>611</v>
      </c>
      <c r="H120" s="640"/>
      <c r="I120" s="640" t="n">
        <f aca="false">I122</f>
        <v>161.256</v>
      </c>
      <c r="J120" s="640" t="n">
        <f aca="false">J122</f>
        <v>34.243</v>
      </c>
      <c r="K120" s="640" t="n">
        <f aca="false">K122</f>
        <v>100.803</v>
      </c>
      <c r="L120" s="640" t="n">
        <v>0</v>
      </c>
      <c r="M120" s="417" t="str">
        <f aca="false">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N120" s="602"/>
      <c r="O120" s="47"/>
      <c r="P120" s="47"/>
      <c r="U120" s="47"/>
      <c r="X120" s="599"/>
      <c r="AI120" s="45" t="n">
        <v>0</v>
      </c>
    </row>
    <row r="121" s="45" customFormat="true" ht="18.75" hidden="false" customHeight="true" outlineLevel="0" collapsed="false">
      <c r="A121" s="622"/>
      <c r="C121" s="47" t="s">
        <v>616</v>
      </c>
      <c r="D121" s="114"/>
      <c r="E121" s="600" t="str">
        <f aca="false">FHD_NUM_P_64</f>
        <v>9.1</v>
      </c>
      <c r="F121" s="619" t="str">
        <f aca="false">FHD_P_64</f>
        <v>Объем приобретаемой регулируемой организацией тепловой энергии в рамках осуществления регулируемых видов деятельности</v>
      </c>
      <c r="G121" s="209" t="s">
        <v>611</v>
      </c>
      <c r="H121" s="609"/>
      <c r="I121" s="609"/>
      <c r="J121" s="609"/>
      <c r="K121" s="609"/>
      <c r="L121" s="609"/>
      <c r="M121" s="417" t="str">
        <f aca="false">FHD_NOTE_P_64</f>
        <v>Информация указывается только едиными теплоснабжающими организациями.</v>
      </c>
      <c r="N121" s="602"/>
      <c r="O121" s="47"/>
      <c r="P121" s="47"/>
      <c r="U121" s="47"/>
      <c r="X121" s="599"/>
      <c r="AI121" s="45" t="n">
        <v>0</v>
      </c>
    </row>
    <row r="122" s="45" customFormat="true" ht="36.75" hidden="false" customHeight="true" outlineLevel="0" collapsed="false">
      <c r="A122" s="622"/>
      <c r="C122" s="47"/>
      <c r="D122" s="114"/>
      <c r="E122" s="600" t="str">
        <f aca="false">FHD_NUM_P_65</f>
        <v>10</v>
      </c>
      <c r="F122" s="619" t="str">
        <f aca="false">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22" s="209" t="s">
        <v>611</v>
      </c>
      <c r="H122" s="640"/>
      <c r="I122" s="640" t="n">
        <v>161.256</v>
      </c>
      <c r="J122" s="640" t="n">
        <v>34.243</v>
      </c>
      <c r="K122" s="640" t="n">
        <v>100.803</v>
      </c>
      <c r="L122" s="640" t="n">
        <v>0</v>
      </c>
      <c r="M122" s="417" t="str">
        <f aca="false">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N122" s="602"/>
      <c r="O122" s="47"/>
      <c r="P122" s="47"/>
      <c r="U122" s="47"/>
      <c r="X122" s="599"/>
      <c r="AI122" s="45" t="n">
        <v>0</v>
      </c>
    </row>
    <row r="123" s="45" customFormat="true" ht="18.75" hidden="false" customHeight="true" outlineLevel="0" collapsed="false">
      <c r="A123" s="622"/>
      <c r="C123" s="47"/>
      <c r="D123" s="114"/>
      <c r="E123" s="600" t="str">
        <f aca="false">FHD_NUM_P_66</f>
        <v>10.1</v>
      </c>
      <c r="F123" s="568" t="str">
        <f aca="false">FHD_P_66</f>
        <v>По приборам учёта</v>
      </c>
      <c r="G123" s="209" t="s">
        <v>611</v>
      </c>
      <c r="H123" s="640"/>
      <c r="I123" s="640" t="n">
        <v>100.35183</v>
      </c>
      <c r="J123" s="640" t="n">
        <v>24.527853</v>
      </c>
      <c r="K123" s="640" t="n">
        <v>54.414669</v>
      </c>
      <c r="L123" s="640" t="n">
        <v>0</v>
      </c>
      <c r="M123" s="417" t="str">
        <f aca="false">FHD_NOTE_P_66</f>
        <v/>
      </c>
      <c r="N123" s="602"/>
      <c r="O123" s="47"/>
      <c r="P123" s="47"/>
      <c r="U123" s="47"/>
      <c r="X123" s="599"/>
      <c r="AI123" s="45" t="n">
        <v>0</v>
      </c>
    </row>
    <row r="124" s="45" customFormat="true" ht="42.75" hidden="false" customHeight="true" outlineLevel="0" collapsed="false">
      <c r="A124" s="622"/>
      <c r="C124" s="47"/>
      <c r="D124" s="114"/>
      <c r="E124" s="600" t="str">
        <f aca="false">FHD_NUM_P_67</f>
        <v>10.1.1</v>
      </c>
      <c r="F124" s="636" t="str">
        <f aca="false">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24" s="209" t="s">
        <v>611</v>
      </c>
      <c r="H124" s="640"/>
      <c r="I124" s="640" t="n">
        <v>8.3551</v>
      </c>
      <c r="J124" s="640" t="n">
        <v>5.374</v>
      </c>
      <c r="K124" s="640" t="n">
        <v>5.8126</v>
      </c>
      <c r="L124" s="640" t="n">
        <v>0</v>
      </c>
      <c r="M124" s="417" t="str">
        <f aca="false">FHD_NOTE_P_67</f>
        <v/>
      </c>
      <c r="N124" s="602"/>
      <c r="O124" s="47"/>
      <c r="P124" s="47"/>
      <c r="U124" s="47"/>
      <c r="X124" s="599"/>
      <c r="AI124" s="45" t="n">
        <v>0</v>
      </c>
    </row>
    <row r="125" s="45" customFormat="true" ht="18.75" hidden="false" customHeight="true" outlineLevel="0" collapsed="false">
      <c r="A125" s="622"/>
      <c r="C125" s="47"/>
      <c r="D125" s="114"/>
      <c r="E125" s="600" t="str">
        <f aca="false">FHD_NUM_P_68</f>
        <v>10.2</v>
      </c>
      <c r="F125" s="568" t="str">
        <f aca="false">FHD_P_68</f>
        <v>Расчётным путём</v>
      </c>
      <c r="G125" s="209" t="s">
        <v>611</v>
      </c>
      <c r="H125" s="640"/>
      <c r="I125" s="640" t="n">
        <f aca="false">I122-I123</f>
        <v>60.90417</v>
      </c>
      <c r="J125" s="640" t="n">
        <f aca="false">J122-J123</f>
        <v>9.715147</v>
      </c>
      <c r="K125" s="640" t="n">
        <f aca="false">K122-K123</f>
        <v>46.388331</v>
      </c>
      <c r="L125" s="640" t="n">
        <v>0</v>
      </c>
      <c r="M125" s="417" t="str">
        <f aca="false">FHD_NOTE_P_68</f>
        <v/>
      </c>
      <c r="N125" s="602"/>
      <c r="O125" s="47"/>
      <c r="P125" s="47"/>
      <c r="U125" s="47"/>
      <c r="X125" s="599"/>
      <c r="AI125" s="45" t="n">
        <v>0</v>
      </c>
    </row>
    <row r="126" s="45" customFormat="true" ht="33" hidden="false" customHeight="true" outlineLevel="0" collapsed="false">
      <c r="A126" s="622"/>
      <c r="C126" s="47"/>
      <c r="D126" s="114"/>
      <c r="E126" s="600" t="str">
        <f aca="false">FHD_NUM_P_69</f>
        <v>10.3</v>
      </c>
      <c r="F126" s="568" t="str">
        <f aca="false">FHD_P_69</f>
        <v>По нормативам потребления коммунальных услуг и нормативам потребления коммунальных ресурсов</v>
      </c>
      <c r="G126" s="209" t="s">
        <v>611</v>
      </c>
      <c r="H126" s="640"/>
      <c r="I126" s="640" t="n">
        <f aca="false">I125</f>
        <v>60.90417</v>
      </c>
      <c r="J126" s="640" t="n">
        <f aca="false">J125</f>
        <v>9.715147</v>
      </c>
      <c r="K126" s="640" t="n">
        <f aca="false">K125</f>
        <v>46.388331</v>
      </c>
      <c r="L126" s="640" t="n">
        <v>0</v>
      </c>
      <c r="M126" s="417" t="str">
        <f aca="false">FHD_NOTE_P_69</f>
        <v/>
      </c>
      <c r="N126" s="602"/>
      <c r="O126" s="47"/>
      <c r="P126" s="47"/>
      <c r="U126" s="47"/>
      <c r="X126" s="599"/>
      <c r="AI126" s="45" t="n">
        <v>0</v>
      </c>
    </row>
    <row r="127" s="45" customFormat="true" ht="40.5" hidden="false" customHeight="true" outlineLevel="0" collapsed="false">
      <c r="A127" s="622"/>
      <c r="C127" s="47"/>
      <c r="D127" s="114"/>
      <c r="E127" s="600" t="str">
        <f aca="false">FHD_NUM_P_70</f>
        <v>11</v>
      </c>
      <c r="F127" s="619" t="str">
        <f aca="false">FHD_P_70</f>
        <v>Нормативы технологических потерь при передаче тепловой энергии, теплоносителя по тепловым сетям, утвержденные уполномоченным органом</v>
      </c>
      <c r="G127" s="209" t="s">
        <v>617</v>
      </c>
      <c r="H127" s="620"/>
      <c r="I127" s="620" t="n">
        <v>0</v>
      </c>
      <c r="J127" s="620" t="n">
        <v>0</v>
      </c>
      <c r="K127" s="620" t="n">
        <v>0</v>
      </c>
      <c r="L127" s="620" t="n">
        <v>0</v>
      </c>
      <c r="M127" s="417" t="str">
        <f aca="false">FHD_NOTE_P_70</f>
        <v/>
      </c>
      <c r="N127" s="602"/>
      <c r="O127" s="47"/>
      <c r="P127" s="47"/>
      <c r="U127" s="47"/>
      <c r="X127" s="599"/>
      <c r="AI127" s="45" t="n">
        <v>0</v>
      </c>
    </row>
    <row r="128" s="45" customFormat="true" ht="22.5" hidden="false" customHeight="true" outlineLevel="0" collapsed="false">
      <c r="A128" s="622"/>
      <c r="C128" s="47"/>
      <c r="D128" s="114"/>
      <c r="E128" s="600" t="str">
        <f aca="false">FHD_NUM_P_71</f>
        <v>12</v>
      </c>
      <c r="F128" s="619" t="str">
        <f aca="false">FHD_P_71</f>
        <v>Фактический объем потерь при передаче тепловой энергии</v>
      </c>
      <c r="G128" s="209" t="s">
        <v>617</v>
      </c>
      <c r="H128" s="620"/>
      <c r="I128" s="620" t="n">
        <v>0</v>
      </c>
      <c r="J128" s="620" t="n">
        <v>0</v>
      </c>
      <c r="K128" s="620" t="n">
        <v>0.325</v>
      </c>
      <c r="L128" s="620" t="n">
        <v>0</v>
      </c>
      <c r="M128" s="417" t="str">
        <f aca="false">FHD_NOTE_P_71</f>
        <v/>
      </c>
      <c r="N128" s="602"/>
      <c r="O128" s="47"/>
      <c r="P128" s="47"/>
      <c r="U128" s="47"/>
      <c r="X128" s="599"/>
      <c r="AI128" s="45" t="n">
        <v>0</v>
      </c>
    </row>
    <row r="129" customFormat="false" ht="20.25" hidden="false" customHeight="true" outlineLevel="0" collapsed="false">
      <c r="D129" s="114"/>
      <c r="E129" s="600" t="str">
        <f aca="false">FHD_NUM_P_72</f>
        <v>13</v>
      </c>
      <c r="F129" s="619" t="str">
        <f aca="false">FHD_P_72</f>
        <v>Среднесписочная численность основного производственного персонала</v>
      </c>
      <c r="G129" s="209" t="s">
        <v>618</v>
      </c>
      <c r="H129" s="640"/>
      <c r="I129" s="640" t="n">
        <v>38</v>
      </c>
      <c r="J129" s="640" t="n">
        <v>20</v>
      </c>
      <c r="K129" s="640" t="n">
        <v>16</v>
      </c>
      <c r="L129" s="640" t="n">
        <v>2</v>
      </c>
      <c r="M129" s="417" t="str">
        <f aca="false">FHD_NOTE_P_72</f>
        <v/>
      </c>
      <c r="N129" s="602"/>
      <c r="AI129" s="42" t="n">
        <v>19</v>
      </c>
    </row>
    <row r="130" customFormat="false" ht="18.75" hidden="false" customHeight="true" outlineLevel="0" collapsed="false">
      <c r="A130" s="638" t="s">
        <v>619</v>
      </c>
      <c r="D130" s="114"/>
      <c r="E130" s="600" t="str">
        <f aca="false">FHD_NUM_P_73</f>
        <v>14</v>
      </c>
      <c r="F130" s="619" t="str">
        <f aca="false">FHD_P_73</f>
        <v>Среднесписочная численность административно-управленческого персонала</v>
      </c>
      <c r="G130" s="663" t="s">
        <v>618</v>
      </c>
      <c r="H130" s="664"/>
      <c r="I130" s="664" t="n">
        <f aca="false">53*0.6</f>
        <v>31.8</v>
      </c>
      <c r="J130" s="664" t="n">
        <f aca="false">53*0.15</f>
        <v>7.95</v>
      </c>
      <c r="K130" s="664" t="n">
        <f aca="false">53*0.25</f>
        <v>13.25</v>
      </c>
      <c r="L130" s="664" t="n">
        <v>0</v>
      </c>
      <c r="M130" s="417" t="str">
        <f aca="false">FHD_NOTE_P_73</f>
        <v/>
      </c>
      <c r="N130" s="602"/>
      <c r="AI130" s="42" t="n">
        <v>0</v>
      </c>
    </row>
    <row r="131" customFormat="false" ht="33.75" hidden="true" customHeight="true" outlineLevel="0" collapsed="false">
      <c r="A131" s="638" t="s">
        <v>620</v>
      </c>
      <c r="D131" s="114"/>
      <c r="E131" s="600" t="str">
        <f aca="false">FHD_NUM_P_74</f>
        <v/>
      </c>
      <c r="F131" s="619" t="str">
        <f aca="false">FHD_P_74</f>
        <v/>
      </c>
      <c r="G131" s="209" t="s">
        <v>621</v>
      </c>
      <c r="H131" s="640"/>
      <c r="I131" s="640"/>
      <c r="J131" s="640"/>
      <c r="K131" s="640"/>
      <c r="L131" s="640"/>
      <c r="M131" s="417" t="str">
        <f aca="false">FHD_NOTE_P_74</f>
        <v/>
      </c>
      <c r="N131" s="602"/>
      <c r="AI131" s="42" t="n">
        <v>0</v>
      </c>
    </row>
    <row r="132" s="42" customFormat="true" ht="18.75" hidden="true" customHeight="true" outlineLevel="0" collapsed="false">
      <c r="A132" s="622" t="s">
        <v>622</v>
      </c>
      <c r="B132" s="45"/>
      <c r="C132" s="47"/>
      <c r="D132" s="114"/>
      <c r="E132" s="600" t="str">
        <f aca="false">FHD_NUM_P_75</f>
        <v/>
      </c>
      <c r="F132" s="619" t="str">
        <f aca="false">FHD_P_75</f>
        <v/>
      </c>
      <c r="G132" s="209" t="s">
        <v>571</v>
      </c>
      <c r="H132" s="620"/>
      <c r="I132" s="620"/>
      <c r="J132" s="620"/>
      <c r="K132" s="620"/>
      <c r="L132" s="620"/>
      <c r="M132" s="417" t="str">
        <f aca="false">FHD_NOTE_P_75</f>
        <v/>
      </c>
      <c r="N132" s="602"/>
      <c r="O132" s="47"/>
      <c r="P132" s="47"/>
      <c r="Q132" s="45"/>
      <c r="R132" s="45"/>
      <c r="S132" s="45"/>
      <c r="T132" s="45"/>
      <c r="U132" s="47"/>
      <c r="V132" s="45"/>
      <c r="W132" s="45"/>
      <c r="X132" s="599"/>
      <c r="Y132" s="45"/>
      <c r="Z132" s="45"/>
      <c r="AA132" s="45"/>
      <c r="AB132" s="45"/>
      <c r="AC132" s="45"/>
      <c r="AD132" s="45"/>
      <c r="AE132" s="45"/>
      <c r="AF132" s="45"/>
      <c r="AG132" s="45"/>
      <c r="AH132" s="45"/>
      <c r="AI132" s="42" t="n">
        <v>0</v>
      </c>
    </row>
    <row r="133" s="42" customFormat="true" ht="18.75" hidden="true" customHeight="true" outlineLevel="0" collapsed="false">
      <c r="A133" s="622"/>
      <c r="B133" s="45"/>
      <c r="C133" s="47"/>
      <c r="D133" s="114"/>
      <c r="E133" s="600" t="str">
        <f aca="false">FHD_NUM_P_76</f>
        <v/>
      </c>
      <c r="F133" s="619" t="str">
        <f aca="false">FHD_P_76</f>
        <v/>
      </c>
      <c r="G133" s="209" t="s">
        <v>571</v>
      </c>
      <c r="H133" s="620"/>
      <c r="I133" s="620"/>
      <c r="J133" s="620"/>
      <c r="K133" s="620"/>
      <c r="L133" s="620"/>
      <c r="M133" s="417" t="str">
        <f aca="false">FHD_NOTE_P_76</f>
        <v/>
      </c>
      <c r="N133" s="602"/>
      <c r="O133" s="47"/>
      <c r="P133" s="47"/>
      <c r="Q133" s="45"/>
      <c r="R133" s="45"/>
      <c r="S133" s="45"/>
      <c r="T133" s="45"/>
      <c r="U133" s="47"/>
      <c r="V133" s="45"/>
      <c r="W133" s="45"/>
      <c r="X133" s="599"/>
      <c r="Y133" s="45"/>
      <c r="Z133" s="45"/>
      <c r="AA133" s="45"/>
      <c r="AB133" s="45"/>
      <c r="AC133" s="45"/>
      <c r="AD133" s="45"/>
      <c r="AE133" s="45"/>
      <c r="AF133" s="45"/>
      <c r="AG133" s="45"/>
      <c r="AH133" s="45"/>
      <c r="AI133" s="42" t="n">
        <v>0</v>
      </c>
    </row>
    <row r="134" s="42" customFormat="true" ht="18.75" hidden="true" customHeight="true" outlineLevel="0" collapsed="false">
      <c r="A134" s="622"/>
      <c r="B134" s="45"/>
      <c r="C134" s="47"/>
      <c r="D134" s="114"/>
      <c r="E134" s="600" t="str">
        <f aca="false">FHD_NUM_P_77</f>
        <v/>
      </c>
      <c r="F134" s="619" t="str">
        <f aca="false">FHD_P_77</f>
        <v/>
      </c>
      <c r="G134" s="209" t="s">
        <v>571</v>
      </c>
      <c r="H134" s="620"/>
      <c r="I134" s="620"/>
      <c r="J134" s="620"/>
      <c r="K134" s="620"/>
      <c r="L134" s="620"/>
      <c r="M134" s="417" t="str">
        <f aca="false">FHD_NOTE_P_77</f>
        <v/>
      </c>
      <c r="N134" s="602"/>
      <c r="O134" s="47"/>
      <c r="P134" s="47"/>
      <c r="Q134" s="45"/>
      <c r="R134" s="45"/>
      <c r="S134" s="45"/>
      <c r="T134" s="45"/>
      <c r="U134" s="47"/>
      <c r="V134" s="45"/>
      <c r="W134" s="45"/>
      <c r="X134" s="599"/>
      <c r="Y134" s="45"/>
      <c r="Z134" s="45"/>
      <c r="AA134" s="45"/>
      <c r="AB134" s="45"/>
      <c r="AC134" s="45"/>
      <c r="AD134" s="45"/>
      <c r="AE134" s="45"/>
      <c r="AF134" s="45"/>
      <c r="AG134" s="45"/>
      <c r="AH134" s="45"/>
      <c r="AI134" s="42" t="n">
        <v>0</v>
      </c>
    </row>
    <row r="135" s="47" customFormat="true" ht="0.75" hidden="true" customHeight="true" outlineLevel="0" collapsed="false">
      <c r="A135" s="622"/>
      <c r="D135" s="456"/>
      <c r="E135" s="147" t="str">
        <f aca="false">E134&amp;".0"</f>
        <v>.0</v>
      </c>
      <c r="F135" s="665"/>
      <c r="G135" s="666"/>
      <c r="H135" s="645"/>
      <c r="I135" s="645"/>
      <c r="J135" s="645"/>
      <c r="K135" s="645"/>
      <c r="L135" s="645"/>
      <c r="M135" s="659"/>
      <c r="AI135" s="47" t="n">
        <v>0</v>
      </c>
    </row>
    <row r="136" s="42" customFormat="true" ht="15" hidden="true" customHeight="true" outlineLevel="0" collapsed="false">
      <c r="A136" s="622"/>
      <c r="B136" s="45"/>
      <c r="C136" s="47"/>
      <c r="D136" s="117"/>
      <c r="E136" s="660"/>
      <c r="F136" s="661" t="s">
        <v>623</v>
      </c>
      <c r="G136" s="634"/>
      <c r="H136" s="635"/>
      <c r="I136" s="635"/>
      <c r="J136" s="635"/>
      <c r="K136" s="635"/>
      <c r="L136" s="635"/>
      <c r="M136" s="662" t="s">
        <v>624</v>
      </c>
      <c r="N136" s="602"/>
      <c r="O136" s="47"/>
      <c r="P136" s="47"/>
      <c r="Q136" s="45"/>
      <c r="R136" s="45"/>
      <c r="S136" s="45"/>
      <c r="T136" s="45"/>
      <c r="U136" s="47"/>
      <c r="V136" s="45"/>
      <c r="W136" s="45"/>
      <c r="X136" s="599"/>
      <c r="Y136" s="45"/>
      <c r="Z136" s="45"/>
      <c r="AA136" s="45"/>
      <c r="AB136" s="45"/>
      <c r="AC136" s="45"/>
      <c r="AD136" s="45"/>
      <c r="AE136" s="45"/>
      <c r="AF136" s="45"/>
      <c r="AG136" s="45"/>
      <c r="AH136" s="45"/>
      <c r="AI136" s="42" t="n">
        <v>0</v>
      </c>
    </row>
    <row r="137" customFormat="false" ht="75" hidden="false" customHeight="true" outlineLevel="0" collapsed="false">
      <c r="A137" s="622" t="s">
        <v>625</v>
      </c>
      <c r="D137" s="114"/>
      <c r="E137" s="600" t="str">
        <f aca="false">FHD_NUM_P_78</f>
        <v>15</v>
      </c>
      <c r="F137" s="619" t="str">
        <f aca="false">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7" s="209" t="s">
        <v>573</v>
      </c>
      <c r="H137" s="640"/>
      <c r="I137" s="640" t="n">
        <v>155.15</v>
      </c>
      <c r="J137" s="640" t="n">
        <v>156.94</v>
      </c>
      <c r="K137" s="640" t="n">
        <v>155.78</v>
      </c>
      <c r="L137" s="640" t="n">
        <v>0</v>
      </c>
      <c r="M137" s="417" t="str">
        <f aca="false">FHD_NOTE_P_78</f>
        <v/>
      </c>
      <c r="N137" s="602"/>
      <c r="AI137" s="42" t="n">
        <v>0</v>
      </c>
    </row>
    <row r="138" s="47" customFormat="true" ht="0.75" hidden="false" customHeight="true" outlineLevel="0" collapsed="false">
      <c r="A138" s="622"/>
      <c r="D138" s="456"/>
      <c r="E138" s="147" t="str">
        <f aca="false">E137&amp;".0"</f>
        <v>15.0</v>
      </c>
      <c r="F138" s="665"/>
      <c r="G138" s="666"/>
      <c r="H138" s="645"/>
      <c r="I138" s="645"/>
      <c r="J138" s="645"/>
      <c r="K138" s="645"/>
      <c r="L138" s="645"/>
      <c r="M138" s="659"/>
      <c r="AI138" s="47" t="n">
        <v>0</v>
      </c>
    </row>
    <row r="139" customFormat="false" ht="15" hidden="false" customHeight="true" outlineLevel="0" collapsed="false">
      <c r="A139" s="622"/>
      <c r="D139" s="117"/>
      <c r="E139" s="633"/>
      <c r="F139" s="161" t="s">
        <v>614</v>
      </c>
      <c r="G139" s="634"/>
      <c r="H139" s="635"/>
      <c r="I139" s="635"/>
      <c r="J139" s="635"/>
      <c r="K139" s="635"/>
      <c r="L139" s="635"/>
      <c r="M139" s="662" t="s">
        <v>626</v>
      </c>
      <c r="N139" s="602"/>
      <c r="AI139" s="42" t="n">
        <v>0</v>
      </c>
    </row>
    <row r="140" customFormat="false" ht="67.5" hidden="false" customHeight="true" outlineLevel="0" collapsed="false">
      <c r="A140" s="622"/>
      <c r="D140" s="114"/>
      <c r="E140" s="600" t="str">
        <f aca="false">FHD_NUM_P_79</f>
        <v>16</v>
      </c>
      <c r="F140" s="619" t="str">
        <f aca="false">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0" s="146" t="s">
        <v>575</v>
      </c>
      <c r="H140" s="640"/>
      <c r="I140" s="640" t="n">
        <v>154.72</v>
      </c>
      <c r="J140" s="640" t="n">
        <v>156.4</v>
      </c>
      <c r="K140" s="640" t="n">
        <v>155.84</v>
      </c>
      <c r="L140" s="640" t="n">
        <v>0</v>
      </c>
      <c r="M140" s="417" t="str">
        <f aca="false">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N140" s="602"/>
      <c r="AI140" s="42" t="n">
        <v>0</v>
      </c>
    </row>
    <row r="141" s="47" customFormat="true" ht="29.25" hidden="false" customHeight="true" outlineLevel="0" collapsed="false">
      <c r="A141" s="622"/>
      <c r="D141" s="456"/>
      <c r="E141" s="147" t="str">
        <f aca="false">E140&amp;".0"</f>
        <v>16.0</v>
      </c>
      <c r="F141" s="667"/>
      <c r="G141" s="666"/>
      <c r="H141" s="645"/>
      <c r="I141" s="645"/>
      <c r="J141" s="645"/>
      <c r="K141" s="645"/>
      <c r="L141" s="645"/>
      <c r="M141" s="659"/>
      <c r="AI141" s="47" t="n">
        <v>0</v>
      </c>
    </row>
    <row r="142" customFormat="false" ht="15" hidden="false" customHeight="true" outlineLevel="0" collapsed="false">
      <c r="A142" s="622"/>
      <c r="D142" s="117"/>
      <c r="E142" s="633"/>
      <c r="F142" s="161" t="s">
        <v>614</v>
      </c>
      <c r="G142" s="634"/>
      <c r="H142" s="635"/>
      <c r="I142" s="635"/>
      <c r="J142" s="635"/>
      <c r="K142" s="635"/>
      <c r="L142" s="635"/>
      <c r="M142" s="662" t="s">
        <v>627</v>
      </c>
      <c r="N142" s="602"/>
      <c r="AI142" s="42" t="n">
        <v>0</v>
      </c>
    </row>
    <row r="143" customFormat="false" ht="60" hidden="false" customHeight="true" outlineLevel="0" collapsed="false">
      <c r="A143" s="622"/>
      <c r="D143" s="114"/>
      <c r="E143" s="600" t="str">
        <f aca="false">FHD_NUM_P_80</f>
        <v>17</v>
      </c>
      <c r="F143" s="619" t="str">
        <f aca="false">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3" s="146" t="s">
        <v>628</v>
      </c>
      <c r="H143" s="620"/>
      <c r="I143" s="620" t="n">
        <f aca="false">I52/I120</f>
        <v>20.6879184402441</v>
      </c>
      <c r="J143" s="620" t="n">
        <f aca="false">J52/J122</f>
        <v>33.9607333469614</v>
      </c>
      <c r="K143" s="620" t="n">
        <f aca="false">K52/K120</f>
        <v>23.4875185004415</v>
      </c>
      <c r="L143" s="620" t="n">
        <v>0</v>
      </c>
      <c r="M143" s="417" t="str">
        <f aca="false">FHD_NOTE_P_80</f>
        <v>Регулируемыми организациями указывается информация с по договорам, заключенным в рамках осуществления регулируемой деятельности.</v>
      </c>
      <c r="N143" s="602"/>
      <c r="AI143" s="42" t="n">
        <v>0</v>
      </c>
    </row>
    <row r="144" customFormat="false" ht="66.75" hidden="false" customHeight="true" outlineLevel="0" collapsed="false">
      <c r="A144" s="622"/>
      <c r="D144" s="114"/>
      <c r="E144" s="600" t="str">
        <f aca="false">FHD_NUM_P_81</f>
        <v>18</v>
      </c>
      <c r="F144" s="619" t="str">
        <f aca="false">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4" s="146" t="s">
        <v>629</v>
      </c>
      <c r="H144" s="620"/>
      <c r="I144" s="620" t="n">
        <f aca="false">101.698/I122</f>
        <v>0.630661804832068</v>
      </c>
      <c r="J144" s="620" t="n">
        <f aca="false">17.704/J122</f>
        <v>0.517010775925007</v>
      </c>
      <c r="K144" s="620" t="n">
        <f aca="false">48.014/K122</f>
        <v>0.476315189032072</v>
      </c>
      <c r="L144" s="620" t="n">
        <v>0</v>
      </c>
      <c r="M144" s="417" t="str">
        <f aca="false">FHD_NOTE_P_81</f>
        <v>Регулируемыми организациями указывается информация с по договорам, заключенным в рамках осуществления регулируемой деятельности.</v>
      </c>
      <c r="N144" s="602"/>
      <c r="AI144" s="42" t="n">
        <v>0</v>
      </c>
    </row>
    <row r="145" customFormat="false" ht="18.75" hidden="false" customHeight="true" outlineLevel="0" collapsed="false">
      <c r="A145" s="622"/>
      <c r="C145" s="47" t="s">
        <v>616</v>
      </c>
      <c r="D145" s="114"/>
      <c r="E145" s="600" t="str">
        <f aca="false">FHD_NUM_P_82</f>
        <v>19</v>
      </c>
      <c r="F145" s="619" t="str">
        <f aca="false">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45" s="146" t="s">
        <v>319</v>
      </c>
      <c r="H145" s="668"/>
      <c r="I145" s="668"/>
      <c r="J145" s="668"/>
      <c r="K145" s="668"/>
      <c r="L145" s="668"/>
      <c r="M145" s="417" t="str">
        <f aca="false">FHD_NOTE_P_82</f>
        <v>Указывается ссылка на документ, предварительно загруженный в хранилище файлов ФГИС ЕИАС.</v>
      </c>
      <c r="N145" s="602"/>
      <c r="AI145" s="42" t="n">
        <v>0</v>
      </c>
    </row>
    <row r="146" customFormat="false" ht="18.75" hidden="false" customHeight="true" outlineLevel="0" collapsed="false">
      <c r="A146" s="622"/>
      <c r="C146" s="47" t="s">
        <v>616</v>
      </c>
      <c r="D146" s="114"/>
      <c r="E146" s="600" t="str">
        <f aca="false">FHD_NUM_P_83</f>
        <v>19.1</v>
      </c>
      <c r="F146" s="568" t="str">
        <f aca="false">FHD_P_83</f>
        <v>Информация о показателях физического износа объектов теплоснабжения</v>
      </c>
      <c r="G146" s="146" t="s">
        <v>319</v>
      </c>
      <c r="H146" s="668"/>
      <c r="I146" s="668"/>
      <c r="J146" s="668"/>
      <c r="K146" s="668"/>
      <c r="L146" s="668"/>
      <c r="M146" s="417" t="str">
        <f aca="false">FHD_NOTE_P_83</f>
        <v>Указывается ссылка на документ, предварительно загруженный в хранилище файлов ФГИС ЕИАС.</v>
      </c>
      <c r="N146" s="602"/>
      <c r="AI146" s="42" t="n">
        <v>0</v>
      </c>
    </row>
    <row r="147" customFormat="false" ht="18.75" hidden="false" customHeight="true" outlineLevel="0" collapsed="false">
      <c r="A147" s="622"/>
      <c r="C147" s="47" t="s">
        <v>616</v>
      </c>
      <c r="D147" s="114"/>
      <c r="E147" s="600" t="str">
        <f aca="false">FHD_NUM_P_84</f>
        <v>19.2</v>
      </c>
      <c r="F147" s="568" t="str">
        <f aca="false">FHD_P_84</f>
        <v>Информация о показателях энергетической эффективности объектов теплоснабжения</v>
      </c>
      <c r="G147" s="146" t="s">
        <v>319</v>
      </c>
      <c r="H147" s="668"/>
      <c r="I147" s="668"/>
      <c r="J147" s="668"/>
      <c r="K147" s="668"/>
      <c r="L147" s="668"/>
      <c r="M147" s="417" t="str">
        <f aca="false">FHD_NOTE_P_84</f>
        <v>Указывается ссылка на документ, предварительно загруженный в хранилище файлов ФГИС ЕИАС.</v>
      </c>
      <c r="N147" s="602"/>
      <c r="AI147" s="42" t="n">
        <v>0</v>
      </c>
    </row>
    <row r="148" customFormat="false" ht="11.25" hidden="false" customHeight="true" outlineLevel="0" collapsed="false">
      <c r="D148" s="114"/>
      <c r="AI148" s="42" t="n">
        <v>11</v>
      </c>
    </row>
    <row r="149" customFormat="false" ht="13.5" hidden="false" customHeight="true" outlineLevel="0" collapsed="false">
      <c r="D149" s="114"/>
      <c r="E149" s="409"/>
      <c r="F149" s="341"/>
      <c r="G149" s="341"/>
      <c r="H149" s="341"/>
      <c r="I149" s="488"/>
      <c r="J149" s="341"/>
      <c r="K149" s="341"/>
      <c r="L149" s="341"/>
      <c r="M149" s="75"/>
      <c r="AI149" s="42" t="n">
        <v>13</v>
      </c>
    </row>
    <row r="150" s="120" customFormat="true" ht="11.25" hidden="false" customHeight="true" outlineLevel="0" collapsed="false">
      <c r="A150" s="598"/>
      <c r="B150" s="47"/>
      <c r="C150" s="47"/>
      <c r="F150" s="141"/>
      <c r="G150" s="42"/>
      <c r="H150" s="42"/>
      <c r="I150" s="42"/>
      <c r="J150" s="42"/>
      <c r="K150" s="42"/>
      <c r="L150" s="42"/>
      <c r="N150" s="45"/>
      <c r="O150" s="47"/>
      <c r="P150" s="47"/>
      <c r="Q150" s="45"/>
      <c r="R150" s="45"/>
      <c r="S150" s="45"/>
      <c r="T150" s="45"/>
      <c r="U150" s="47"/>
      <c r="V150" s="45"/>
      <c r="W150" s="45"/>
      <c r="X150" s="599"/>
      <c r="Y150" s="45"/>
      <c r="Z150" s="45"/>
      <c r="AA150" s="45"/>
      <c r="AB150" s="45"/>
      <c r="AC150" s="45"/>
      <c r="AD150" s="45"/>
      <c r="AE150" s="47"/>
      <c r="AF150" s="47"/>
      <c r="AG150" s="47"/>
      <c r="AH150" s="47"/>
      <c r="AI150" s="120" t="n">
        <v>11</v>
      </c>
    </row>
    <row r="151" s="120" customFormat="true" ht="11.25" hidden="false" customHeight="true" outlineLevel="0" collapsed="false">
      <c r="A151" s="598"/>
      <c r="B151" s="47"/>
      <c r="C151" s="47"/>
      <c r="N151" s="45"/>
      <c r="O151" s="47"/>
      <c r="P151" s="47"/>
      <c r="Q151" s="45"/>
      <c r="R151" s="45"/>
      <c r="S151" s="45"/>
      <c r="T151" s="45"/>
      <c r="U151" s="47"/>
      <c r="V151" s="45"/>
      <c r="W151" s="45"/>
      <c r="X151" s="599"/>
      <c r="Y151" s="45"/>
      <c r="Z151" s="45"/>
      <c r="AA151" s="45"/>
      <c r="AB151" s="45"/>
      <c r="AC151" s="45"/>
      <c r="AD151" s="45"/>
      <c r="AE151" s="47"/>
      <c r="AF151" s="47"/>
      <c r="AG151" s="47"/>
      <c r="AH151" s="47"/>
      <c r="AI151" s="120" t="n">
        <v>11</v>
      </c>
    </row>
    <row r="152" s="120" customFormat="true" ht="11.25" hidden="false" customHeight="true" outlineLevel="0" collapsed="false">
      <c r="A152" s="598"/>
      <c r="B152" s="47"/>
      <c r="C152" s="47"/>
      <c r="N152" s="45"/>
      <c r="O152" s="47"/>
      <c r="P152" s="47"/>
      <c r="Q152" s="45"/>
      <c r="R152" s="45"/>
      <c r="S152" s="45"/>
      <c r="T152" s="45"/>
      <c r="U152" s="47"/>
      <c r="V152" s="45"/>
      <c r="W152" s="45"/>
      <c r="X152" s="599"/>
      <c r="Y152" s="45"/>
      <c r="Z152" s="45"/>
      <c r="AA152" s="45"/>
      <c r="AB152" s="45"/>
      <c r="AC152" s="45"/>
      <c r="AD152" s="45"/>
      <c r="AE152" s="47"/>
      <c r="AF152" s="47"/>
      <c r="AG152" s="47"/>
      <c r="AH152" s="47"/>
      <c r="AI152" s="120" t="n">
        <v>11</v>
      </c>
    </row>
    <row r="153" s="120" customFormat="true" ht="11.25" hidden="false" customHeight="true" outlineLevel="0" collapsed="false">
      <c r="A153" s="598"/>
      <c r="B153" s="47"/>
      <c r="C153" s="47"/>
      <c r="H153" s="47" t="str">
        <f aca="false">IF(H30-H31&lt;&gt;H89,"WARNING","")</f>
        <v/>
      </c>
      <c r="I153" s="47" t="str">
        <f aca="false">IF(I30-I31&lt;&gt;I89,"WARNING","")</f>
        <v/>
      </c>
      <c r="J153" s="47" t="str">
        <f aca="false">IF(J30-J31&lt;&gt;J89,"WARNING","")</f>
        <v/>
      </c>
      <c r="K153" s="47" t="str">
        <f aca="false">IF(K30-K31&lt;&gt;K89,"WARNING","")</f>
        <v/>
      </c>
      <c r="L153" s="47" t="str">
        <f aca="false">IF(L30-L31&lt;&gt;L89,"WARNING","")</f>
        <v/>
      </c>
      <c r="N153" s="45"/>
      <c r="O153" s="47"/>
      <c r="P153" s="47"/>
      <c r="Q153" s="45"/>
      <c r="R153" s="45"/>
      <c r="S153" s="45"/>
      <c r="T153" s="45"/>
      <c r="U153" s="47"/>
      <c r="V153" s="45"/>
      <c r="W153" s="45"/>
      <c r="X153" s="599"/>
      <c r="Y153" s="45"/>
      <c r="Z153" s="45"/>
      <c r="AA153" s="45"/>
      <c r="AB153" s="45"/>
      <c r="AC153" s="45"/>
      <c r="AD153" s="45"/>
      <c r="AE153" s="47"/>
      <c r="AF153" s="47"/>
      <c r="AG153" s="47"/>
      <c r="AH153" s="47"/>
      <c r="AI153" s="120" t="n">
        <v>11</v>
      </c>
    </row>
    <row r="154" s="120" customFormat="true" ht="11.25" hidden="false" customHeight="true" outlineLevel="0" collapsed="false">
      <c r="A154" s="598"/>
      <c r="B154" s="47"/>
      <c r="C154" s="47"/>
      <c r="N154" s="45"/>
      <c r="O154" s="47"/>
      <c r="P154" s="47"/>
      <c r="Q154" s="45"/>
      <c r="R154" s="45"/>
      <c r="S154" s="45"/>
      <c r="T154" s="45"/>
      <c r="U154" s="47"/>
      <c r="V154" s="45"/>
      <c r="W154" s="45"/>
      <c r="X154" s="599"/>
      <c r="Y154" s="45"/>
      <c r="Z154" s="45"/>
      <c r="AA154" s="45"/>
      <c r="AB154" s="45"/>
      <c r="AC154" s="45"/>
      <c r="AD154" s="45"/>
      <c r="AE154" s="47"/>
      <c r="AF154" s="47"/>
      <c r="AG154" s="47"/>
      <c r="AH154" s="47"/>
      <c r="AI154" s="120" t="n">
        <v>11</v>
      </c>
    </row>
    <row r="155" s="120" customFormat="true" ht="11.25" hidden="false" customHeight="true" outlineLevel="0" collapsed="false">
      <c r="A155" s="598"/>
      <c r="B155" s="47"/>
      <c r="C155" s="47"/>
      <c r="N155" s="45"/>
      <c r="O155" s="47"/>
      <c r="P155" s="47"/>
      <c r="Q155" s="45"/>
      <c r="R155" s="45"/>
      <c r="S155" s="45"/>
      <c r="T155" s="45"/>
      <c r="U155" s="47"/>
      <c r="V155" s="45"/>
      <c r="W155" s="45"/>
      <c r="X155" s="599"/>
      <c r="Y155" s="45"/>
      <c r="Z155" s="45"/>
      <c r="AA155" s="45"/>
      <c r="AB155" s="45"/>
      <c r="AC155" s="45"/>
      <c r="AD155" s="45"/>
      <c r="AE155" s="47"/>
      <c r="AF155" s="47"/>
      <c r="AG155" s="47"/>
      <c r="AH155" s="47"/>
      <c r="AI155" s="120" t="n">
        <v>11</v>
      </c>
    </row>
    <row r="156" s="120" customFormat="true" ht="11.25" hidden="false" customHeight="true" outlineLevel="0" collapsed="false">
      <c r="A156" s="598"/>
      <c r="B156" s="47"/>
      <c r="C156" s="47"/>
      <c r="N156" s="45"/>
      <c r="O156" s="47"/>
      <c r="P156" s="47"/>
      <c r="Q156" s="45"/>
      <c r="R156" s="45"/>
      <c r="S156" s="45"/>
      <c r="T156" s="45"/>
      <c r="U156" s="47"/>
      <c r="V156" s="45"/>
      <c r="W156" s="45"/>
      <c r="X156" s="599"/>
      <c r="Y156" s="45"/>
      <c r="Z156" s="45"/>
      <c r="AA156" s="45"/>
      <c r="AB156" s="45"/>
      <c r="AC156" s="45"/>
      <c r="AD156" s="45"/>
      <c r="AE156" s="47"/>
      <c r="AF156" s="47"/>
      <c r="AG156" s="47"/>
      <c r="AH156" s="47"/>
      <c r="AI156" s="120" t="n">
        <v>11</v>
      </c>
    </row>
    <row r="157" s="120" customFormat="true" ht="11.25" hidden="false" customHeight="true" outlineLevel="0" collapsed="false">
      <c r="A157" s="598"/>
      <c r="B157" s="47"/>
      <c r="C157" s="47"/>
      <c r="N157" s="45"/>
      <c r="O157" s="47"/>
      <c r="P157" s="47"/>
      <c r="Q157" s="45"/>
      <c r="R157" s="45"/>
      <c r="S157" s="45"/>
      <c r="T157" s="45"/>
      <c r="U157" s="47"/>
      <c r="V157" s="45"/>
      <c r="W157" s="45"/>
      <c r="X157" s="599"/>
      <c r="Y157" s="45"/>
      <c r="Z157" s="45"/>
      <c r="AA157" s="45"/>
      <c r="AB157" s="45"/>
      <c r="AC157" s="45"/>
      <c r="AD157" s="45"/>
      <c r="AE157" s="47"/>
      <c r="AF157" s="47"/>
      <c r="AG157" s="47"/>
      <c r="AH157" s="47"/>
      <c r="AI157" s="120" t="n">
        <v>11</v>
      </c>
    </row>
    <row r="158" s="120" customFormat="true" ht="11.25" hidden="false" customHeight="true" outlineLevel="0" collapsed="false">
      <c r="A158" s="598"/>
      <c r="B158" s="47"/>
      <c r="C158" s="47"/>
      <c r="N158" s="45"/>
      <c r="O158" s="47"/>
      <c r="P158" s="47"/>
      <c r="Q158" s="45"/>
      <c r="R158" s="45"/>
      <c r="S158" s="45"/>
      <c r="T158" s="45"/>
      <c r="U158" s="47"/>
      <c r="V158" s="45"/>
      <c r="W158" s="45"/>
      <c r="X158" s="599"/>
      <c r="Y158" s="45"/>
      <c r="Z158" s="45"/>
      <c r="AA158" s="45"/>
      <c r="AB158" s="45"/>
      <c r="AC158" s="45"/>
      <c r="AD158" s="45"/>
      <c r="AE158" s="47"/>
      <c r="AF158" s="47"/>
      <c r="AG158" s="47"/>
      <c r="AH158" s="47"/>
      <c r="AI158" s="120" t="n">
        <v>11</v>
      </c>
    </row>
    <row r="159" s="120" customFormat="true" ht="11.25" hidden="false" customHeight="true" outlineLevel="0" collapsed="false">
      <c r="A159" s="598"/>
      <c r="B159" s="47"/>
      <c r="C159" s="47"/>
      <c r="N159" s="45"/>
      <c r="O159" s="47"/>
      <c r="P159" s="47"/>
      <c r="Q159" s="45"/>
      <c r="R159" s="45"/>
      <c r="S159" s="45"/>
      <c r="T159" s="45"/>
      <c r="U159" s="47"/>
      <c r="V159" s="45"/>
      <c r="W159" s="45"/>
      <c r="X159" s="599"/>
      <c r="Y159" s="45"/>
      <c r="Z159" s="45"/>
      <c r="AA159" s="45"/>
      <c r="AB159" s="45"/>
      <c r="AC159" s="45"/>
      <c r="AD159" s="45"/>
      <c r="AE159" s="47"/>
      <c r="AF159" s="47"/>
      <c r="AG159" s="47"/>
      <c r="AH159" s="47"/>
      <c r="AI159" s="120" t="n">
        <v>11</v>
      </c>
    </row>
    <row r="160" s="120" customFormat="true" ht="11.25" hidden="false" customHeight="true" outlineLevel="0" collapsed="false">
      <c r="A160" s="598"/>
      <c r="B160" s="47"/>
      <c r="C160" s="47"/>
      <c r="N160" s="45"/>
      <c r="O160" s="47"/>
      <c r="P160" s="47"/>
      <c r="Q160" s="45"/>
      <c r="R160" s="45"/>
      <c r="S160" s="45"/>
      <c r="T160" s="45"/>
      <c r="U160" s="47"/>
      <c r="V160" s="45"/>
      <c r="W160" s="45"/>
      <c r="X160" s="599"/>
      <c r="Y160" s="45"/>
      <c r="Z160" s="45"/>
      <c r="AA160" s="45"/>
      <c r="AB160" s="45"/>
      <c r="AC160" s="45"/>
      <c r="AD160" s="45"/>
      <c r="AE160" s="47"/>
      <c r="AF160" s="47"/>
      <c r="AG160" s="47"/>
      <c r="AH160" s="47"/>
      <c r="AI160" s="120" t="n">
        <v>11</v>
      </c>
    </row>
    <row r="161" s="120" customFormat="true" ht="11.25" hidden="false" customHeight="true" outlineLevel="0" collapsed="false">
      <c r="A161" s="598"/>
      <c r="B161" s="47"/>
      <c r="C161" s="47"/>
      <c r="N161" s="45"/>
      <c r="O161" s="47"/>
      <c r="P161" s="47"/>
      <c r="Q161" s="45"/>
      <c r="R161" s="45"/>
      <c r="S161" s="45"/>
      <c r="T161" s="45"/>
      <c r="U161" s="47"/>
      <c r="V161" s="45"/>
      <c r="W161" s="45"/>
      <c r="X161" s="599"/>
      <c r="Y161" s="45"/>
      <c r="Z161" s="45"/>
      <c r="AA161" s="45"/>
      <c r="AB161" s="45"/>
      <c r="AC161" s="45"/>
      <c r="AD161" s="45"/>
      <c r="AE161" s="47"/>
      <c r="AF161" s="47"/>
      <c r="AG161" s="47"/>
      <c r="AH161" s="47"/>
      <c r="AI161" s="120" t="n">
        <v>11</v>
      </c>
    </row>
    <row r="162" s="120" customFormat="true" ht="11.25" hidden="false" customHeight="true" outlineLevel="0" collapsed="false">
      <c r="A162" s="598"/>
      <c r="B162" s="47"/>
      <c r="C162" s="47"/>
      <c r="N162" s="45"/>
      <c r="O162" s="47"/>
      <c r="P162" s="47"/>
      <c r="Q162" s="45"/>
      <c r="R162" s="45"/>
      <c r="S162" s="45"/>
      <c r="T162" s="45"/>
      <c r="U162" s="47"/>
      <c r="V162" s="45"/>
      <c r="W162" s="45"/>
      <c r="X162" s="599"/>
      <c r="Y162" s="45"/>
      <c r="Z162" s="45"/>
      <c r="AA162" s="45"/>
      <c r="AB162" s="45"/>
      <c r="AC162" s="45"/>
      <c r="AD162" s="45"/>
      <c r="AE162" s="47"/>
      <c r="AF162" s="47"/>
      <c r="AG162" s="47"/>
      <c r="AH162" s="47"/>
      <c r="AI162" s="120" t="n">
        <v>11</v>
      </c>
    </row>
    <row r="163" s="120" customFormat="true" ht="11.25" hidden="false" customHeight="true" outlineLevel="0" collapsed="false">
      <c r="A163" s="598"/>
      <c r="B163" s="47"/>
      <c r="C163" s="47"/>
      <c r="N163" s="45"/>
      <c r="O163" s="47"/>
      <c r="P163" s="47"/>
      <c r="Q163" s="45"/>
      <c r="R163" s="45"/>
      <c r="S163" s="45"/>
      <c r="T163" s="45"/>
      <c r="U163" s="47"/>
      <c r="V163" s="45"/>
      <c r="W163" s="45"/>
      <c r="X163" s="599"/>
      <c r="Y163" s="45"/>
      <c r="Z163" s="45"/>
      <c r="AA163" s="45"/>
      <c r="AB163" s="45"/>
      <c r="AC163" s="45"/>
      <c r="AD163" s="45"/>
      <c r="AE163" s="47"/>
      <c r="AF163" s="47"/>
      <c r="AG163" s="47"/>
      <c r="AH163" s="47"/>
      <c r="AI163" s="120" t="n">
        <v>11</v>
      </c>
    </row>
    <row r="164" s="120" customFormat="true" ht="11.25" hidden="false" customHeight="true" outlineLevel="0" collapsed="false">
      <c r="A164" s="598"/>
      <c r="B164" s="47"/>
      <c r="C164" s="47"/>
      <c r="N164" s="45"/>
      <c r="O164" s="47"/>
      <c r="P164" s="47"/>
      <c r="Q164" s="45"/>
      <c r="R164" s="45"/>
      <c r="S164" s="45"/>
      <c r="T164" s="45"/>
      <c r="U164" s="47"/>
      <c r="V164" s="45"/>
      <c r="W164" s="45"/>
      <c r="X164" s="599"/>
      <c r="Y164" s="45"/>
      <c r="Z164" s="45"/>
      <c r="AA164" s="45"/>
      <c r="AB164" s="45"/>
      <c r="AC164" s="45"/>
      <c r="AD164" s="45"/>
      <c r="AE164" s="47"/>
      <c r="AF164" s="47"/>
      <c r="AG164" s="47"/>
      <c r="AH164" s="47"/>
      <c r="AI164" s="120" t="n">
        <v>11</v>
      </c>
    </row>
    <row r="165" s="120" customFormat="true" ht="11.25" hidden="false" customHeight="true" outlineLevel="0" collapsed="false">
      <c r="A165" s="598"/>
      <c r="B165" s="47"/>
      <c r="C165" s="47"/>
      <c r="N165" s="45"/>
      <c r="O165" s="47"/>
      <c r="P165" s="47"/>
      <c r="Q165" s="45"/>
      <c r="R165" s="45"/>
      <c r="S165" s="45"/>
      <c r="T165" s="45"/>
      <c r="U165" s="47"/>
      <c r="V165" s="45"/>
      <c r="W165" s="45"/>
      <c r="X165" s="599"/>
      <c r="Y165" s="45"/>
      <c r="Z165" s="45"/>
      <c r="AA165" s="45"/>
      <c r="AB165" s="45"/>
      <c r="AC165" s="45"/>
      <c r="AD165" s="45"/>
      <c r="AE165" s="47"/>
      <c r="AF165" s="47"/>
      <c r="AG165" s="47"/>
      <c r="AH165" s="47"/>
      <c r="AI165" s="120" t="n">
        <v>11</v>
      </c>
    </row>
    <row r="166" s="120" customFormat="true" ht="11.25" hidden="false" customHeight="true" outlineLevel="0" collapsed="false">
      <c r="A166" s="598"/>
      <c r="B166" s="47"/>
      <c r="C166" s="47"/>
      <c r="N166" s="45"/>
      <c r="O166" s="47"/>
      <c r="P166" s="47"/>
      <c r="Q166" s="45"/>
      <c r="R166" s="45"/>
      <c r="S166" s="45"/>
      <c r="T166" s="45"/>
      <c r="U166" s="47"/>
      <c r="V166" s="45"/>
      <c r="W166" s="45"/>
      <c r="X166" s="599"/>
      <c r="Y166" s="45"/>
      <c r="Z166" s="45"/>
      <c r="AA166" s="45"/>
      <c r="AB166" s="45"/>
      <c r="AC166" s="45"/>
      <c r="AD166" s="45"/>
      <c r="AE166" s="47"/>
      <c r="AF166" s="47"/>
      <c r="AG166" s="47"/>
      <c r="AH166" s="47"/>
      <c r="AI166" s="120" t="n">
        <v>11</v>
      </c>
    </row>
    <row r="167" s="120" customFormat="true" ht="11.25" hidden="false" customHeight="true" outlineLevel="0" collapsed="false">
      <c r="A167" s="598"/>
      <c r="B167" s="47"/>
      <c r="C167" s="47"/>
      <c r="N167" s="45"/>
      <c r="O167" s="47"/>
      <c r="P167" s="47"/>
      <c r="Q167" s="45"/>
      <c r="R167" s="45"/>
      <c r="S167" s="45"/>
      <c r="T167" s="45"/>
      <c r="U167" s="47"/>
      <c r="V167" s="45"/>
      <c r="W167" s="45"/>
      <c r="X167" s="599"/>
      <c r="Y167" s="45"/>
      <c r="Z167" s="45"/>
      <c r="AA167" s="45"/>
      <c r="AB167" s="45"/>
      <c r="AC167" s="45"/>
      <c r="AD167" s="45"/>
      <c r="AE167" s="47"/>
      <c r="AF167" s="47"/>
      <c r="AG167" s="47"/>
      <c r="AH167" s="47"/>
      <c r="AI167" s="120" t="n">
        <v>11</v>
      </c>
    </row>
    <row r="168" s="120" customFormat="true" ht="11.25" hidden="false" customHeight="true" outlineLevel="0" collapsed="false">
      <c r="A168" s="598"/>
      <c r="B168" s="47"/>
      <c r="C168" s="47"/>
      <c r="N168" s="45"/>
      <c r="O168" s="47"/>
      <c r="P168" s="47"/>
      <c r="Q168" s="45"/>
      <c r="R168" s="45"/>
      <c r="S168" s="45"/>
      <c r="T168" s="45"/>
      <c r="U168" s="47"/>
      <c r="V168" s="45"/>
      <c r="W168" s="45"/>
      <c r="X168" s="599"/>
      <c r="Y168" s="45"/>
      <c r="Z168" s="45"/>
      <c r="AA168" s="45"/>
      <c r="AB168" s="45"/>
      <c r="AC168" s="45"/>
      <c r="AD168" s="45"/>
      <c r="AE168" s="47"/>
      <c r="AF168" s="47"/>
      <c r="AG168" s="47"/>
      <c r="AH168" s="47"/>
      <c r="AI168" s="120" t="n">
        <v>11</v>
      </c>
    </row>
    <row r="169" s="120" customFormat="true" ht="11.25" hidden="false" customHeight="true" outlineLevel="0" collapsed="false">
      <c r="A169" s="598"/>
      <c r="B169" s="47"/>
      <c r="C169" s="47"/>
      <c r="N169" s="45"/>
      <c r="O169" s="47"/>
      <c r="P169" s="47"/>
      <c r="Q169" s="45"/>
      <c r="R169" s="45"/>
      <c r="S169" s="45"/>
      <c r="T169" s="45"/>
      <c r="U169" s="47"/>
      <c r="V169" s="45"/>
      <c r="W169" s="45"/>
      <c r="X169" s="599"/>
      <c r="Y169" s="45"/>
      <c r="Z169" s="45"/>
      <c r="AA169" s="45"/>
      <c r="AB169" s="45"/>
      <c r="AC169" s="45"/>
      <c r="AD169" s="45"/>
      <c r="AE169" s="47"/>
      <c r="AF169" s="47"/>
      <c r="AG169" s="47"/>
      <c r="AH169" s="47"/>
      <c r="AI169" s="120" t="n">
        <v>11</v>
      </c>
    </row>
    <row r="170" s="120" customFormat="true" ht="11.25" hidden="false" customHeight="true" outlineLevel="0" collapsed="false">
      <c r="A170" s="598"/>
      <c r="B170" s="47"/>
      <c r="C170" s="47"/>
      <c r="N170" s="45"/>
      <c r="O170" s="47"/>
      <c r="P170" s="47"/>
      <c r="Q170" s="45"/>
      <c r="R170" s="45"/>
      <c r="S170" s="45"/>
      <c r="T170" s="45"/>
      <c r="U170" s="47"/>
      <c r="V170" s="45"/>
      <c r="W170" s="45"/>
      <c r="X170" s="599"/>
      <c r="Y170" s="45"/>
      <c r="Z170" s="45"/>
      <c r="AA170" s="45"/>
      <c r="AB170" s="45"/>
      <c r="AC170" s="45"/>
      <c r="AD170" s="45"/>
      <c r="AE170" s="47"/>
      <c r="AF170" s="47"/>
      <c r="AG170" s="47"/>
      <c r="AH170" s="47"/>
      <c r="AI170" s="120" t="n">
        <v>11</v>
      </c>
    </row>
    <row r="171" s="120" customFormat="true" ht="11.25" hidden="false" customHeight="true" outlineLevel="0" collapsed="false">
      <c r="A171" s="598"/>
      <c r="B171" s="47"/>
      <c r="C171" s="47"/>
      <c r="N171" s="45"/>
      <c r="O171" s="47"/>
      <c r="P171" s="47"/>
      <c r="Q171" s="45"/>
      <c r="R171" s="45"/>
      <c r="S171" s="45"/>
      <c r="T171" s="45"/>
      <c r="U171" s="47"/>
      <c r="V171" s="45"/>
      <c r="W171" s="45"/>
      <c r="X171" s="599"/>
      <c r="Y171" s="45"/>
      <c r="Z171" s="45"/>
      <c r="AA171" s="45"/>
      <c r="AB171" s="45"/>
      <c r="AC171" s="45"/>
      <c r="AD171" s="45"/>
      <c r="AE171" s="47"/>
      <c r="AF171" s="47"/>
      <c r="AG171" s="47"/>
      <c r="AH171" s="47"/>
      <c r="AI171" s="120" t="n">
        <v>11</v>
      </c>
    </row>
    <row r="172" s="120" customFormat="true" ht="11.25" hidden="false" customHeight="true" outlineLevel="0" collapsed="false">
      <c r="A172" s="598"/>
      <c r="B172" s="47"/>
      <c r="C172" s="47"/>
      <c r="N172" s="45"/>
      <c r="O172" s="47"/>
      <c r="P172" s="47"/>
      <c r="Q172" s="45"/>
      <c r="R172" s="45"/>
      <c r="S172" s="45"/>
      <c r="T172" s="45"/>
      <c r="U172" s="47"/>
      <c r="V172" s="45"/>
      <c r="W172" s="45"/>
      <c r="X172" s="599"/>
      <c r="Y172" s="45"/>
      <c r="Z172" s="45"/>
      <c r="AA172" s="45"/>
      <c r="AB172" s="45"/>
      <c r="AC172" s="45"/>
      <c r="AD172" s="45"/>
      <c r="AE172" s="47"/>
      <c r="AF172" s="47"/>
      <c r="AG172" s="47"/>
      <c r="AH172" s="47"/>
      <c r="AI172" s="120" t="n">
        <v>11</v>
      </c>
    </row>
    <row r="173" s="120" customFormat="true" ht="11.25" hidden="false" customHeight="true" outlineLevel="0" collapsed="false">
      <c r="A173" s="598"/>
      <c r="B173" s="47"/>
      <c r="C173" s="47"/>
      <c r="N173" s="45"/>
      <c r="O173" s="47"/>
      <c r="P173" s="47"/>
      <c r="Q173" s="45"/>
      <c r="R173" s="45"/>
      <c r="S173" s="45"/>
      <c r="T173" s="45"/>
      <c r="U173" s="47"/>
      <c r="V173" s="45"/>
      <c r="W173" s="45"/>
      <c r="X173" s="599"/>
      <c r="Y173" s="45"/>
      <c r="Z173" s="45"/>
      <c r="AA173" s="45"/>
      <c r="AB173" s="45"/>
      <c r="AC173" s="45"/>
      <c r="AD173" s="45"/>
      <c r="AE173" s="47"/>
      <c r="AF173" s="47"/>
      <c r="AG173" s="47"/>
      <c r="AH173" s="47"/>
      <c r="AI173" s="120" t="n">
        <v>11</v>
      </c>
    </row>
    <row r="174" s="120" customFormat="true" ht="11.25" hidden="false" customHeight="true" outlineLevel="0" collapsed="false">
      <c r="A174" s="598"/>
      <c r="B174" s="47"/>
      <c r="C174" s="47"/>
      <c r="N174" s="45"/>
      <c r="O174" s="47"/>
      <c r="P174" s="47"/>
      <c r="Q174" s="45"/>
      <c r="R174" s="45"/>
      <c r="S174" s="45"/>
      <c r="T174" s="45"/>
      <c r="U174" s="47"/>
      <c r="V174" s="45"/>
      <c r="W174" s="45"/>
      <c r="X174" s="599"/>
      <c r="Y174" s="45"/>
      <c r="Z174" s="45"/>
      <c r="AA174" s="45"/>
      <c r="AB174" s="45"/>
      <c r="AC174" s="45"/>
      <c r="AD174" s="45"/>
      <c r="AE174" s="47"/>
      <c r="AF174" s="47"/>
      <c r="AG174" s="47"/>
      <c r="AH174" s="47"/>
      <c r="AI174" s="120" t="n">
        <v>11</v>
      </c>
    </row>
    <row r="175" s="120" customFormat="true" ht="11.25" hidden="false" customHeight="true" outlineLevel="0" collapsed="false">
      <c r="A175" s="598"/>
      <c r="B175" s="47"/>
      <c r="C175" s="47"/>
      <c r="N175" s="45"/>
      <c r="O175" s="47"/>
      <c r="P175" s="47"/>
      <c r="Q175" s="45"/>
      <c r="R175" s="45"/>
      <c r="S175" s="45"/>
      <c r="T175" s="45"/>
      <c r="U175" s="47"/>
      <c r="V175" s="45"/>
      <c r="W175" s="45"/>
      <c r="X175" s="599"/>
      <c r="Y175" s="45"/>
      <c r="Z175" s="45"/>
      <c r="AA175" s="45"/>
      <c r="AB175" s="45"/>
      <c r="AC175" s="45"/>
      <c r="AD175" s="45"/>
      <c r="AE175" s="47"/>
      <c r="AF175" s="47"/>
      <c r="AG175" s="47"/>
      <c r="AH175" s="47"/>
      <c r="AI175" s="120" t="n">
        <v>11</v>
      </c>
    </row>
    <row r="176" s="120" customFormat="true" ht="11.25" hidden="false" customHeight="true" outlineLevel="0" collapsed="false">
      <c r="A176" s="598"/>
      <c r="B176" s="47"/>
      <c r="C176" s="47"/>
      <c r="N176" s="45"/>
      <c r="O176" s="47"/>
      <c r="P176" s="47"/>
      <c r="Q176" s="45"/>
      <c r="R176" s="45"/>
      <c r="S176" s="45"/>
      <c r="T176" s="45"/>
      <c r="U176" s="47"/>
      <c r="V176" s="45"/>
      <c r="W176" s="45"/>
      <c r="X176" s="599"/>
      <c r="Y176" s="45"/>
      <c r="Z176" s="45"/>
      <c r="AA176" s="45"/>
      <c r="AB176" s="45"/>
      <c r="AC176" s="45"/>
      <c r="AD176" s="45"/>
      <c r="AE176" s="47"/>
      <c r="AF176" s="47"/>
      <c r="AG176" s="47"/>
      <c r="AH176" s="47"/>
      <c r="AI176" s="120" t="n">
        <v>11</v>
      </c>
    </row>
    <row r="177" s="120" customFormat="true" ht="11.25" hidden="false" customHeight="true" outlineLevel="0" collapsed="false">
      <c r="A177" s="598"/>
      <c r="B177" s="47"/>
      <c r="C177" s="47"/>
      <c r="N177" s="45"/>
      <c r="O177" s="47"/>
      <c r="P177" s="47"/>
      <c r="Q177" s="45"/>
      <c r="R177" s="45"/>
      <c r="S177" s="45"/>
      <c r="T177" s="45"/>
      <c r="U177" s="47"/>
      <c r="V177" s="45"/>
      <c r="W177" s="45"/>
      <c r="X177" s="599"/>
      <c r="Y177" s="45"/>
      <c r="Z177" s="45"/>
      <c r="AA177" s="45"/>
      <c r="AB177" s="45"/>
      <c r="AC177" s="45"/>
      <c r="AD177" s="45"/>
      <c r="AE177" s="47"/>
      <c r="AF177" s="47"/>
      <c r="AG177" s="47"/>
      <c r="AH177" s="47"/>
      <c r="AI177" s="120" t="n">
        <v>11</v>
      </c>
    </row>
    <row r="178" s="120" customFormat="true" ht="11.25" hidden="false" customHeight="true" outlineLevel="0" collapsed="false">
      <c r="A178" s="598"/>
      <c r="B178" s="47"/>
      <c r="C178" s="47"/>
      <c r="N178" s="45"/>
      <c r="O178" s="47"/>
      <c r="P178" s="47"/>
      <c r="Q178" s="45"/>
      <c r="R178" s="45"/>
      <c r="S178" s="45"/>
      <c r="T178" s="45"/>
      <c r="U178" s="47"/>
      <c r="V178" s="45"/>
      <c r="W178" s="45"/>
      <c r="X178" s="599"/>
      <c r="Y178" s="45"/>
      <c r="Z178" s="45"/>
      <c r="AA178" s="45"/>
      <c r="AB178" s="45"/>
      <c r="AC178" s="45"/>
      <c r="AD178" s="45"/>
      <c r="AE178" s="47"/>
      <c r="AF178" s="47"/>
      <c r="AG178" s="47"/>
      <c r="AH178" s="47"/>
      <c r="AI178" s="120" t="n">
        <v>11</v>
      </c>
    </row>
    <row r="179" s="120" customFormat="true" ht="11.25" hidden="false" customHeight="true" outlineLevel="0" collapsed="false">
      <c r="A179" s="598"/>
      <c r="B179" s="47"/>
      <c r="C179" s="47"/>
      <c r="N179" s="45"/>
      <c r="O179" s="47"/>
      <c r="P179" s="47"/>
      <c r="Q179" s="45"/>
      <c r="R179" s="45"/>
      <c r="S179" s="45"/>
      <c r="T179" s="45"/>
      <c r="U179" s="47"/>
      <c r="V179" s="45"/>
      <c r="W179" s="45"/>
      <c r="X179" s="599"/>
      <c r="Y179" s="45"/>
      <c r="Z179" s="45"/>
      <c r="AA179" s="45"/>
      <c r="AB179" s="45"/>
      <c r="AC179" s="45"/>
      <c r="AD179" s="45"/>
      <c r="AE179" s="47"/>
      <c r="AF179" s="47"/>
      <c r="AG179" s="47"/>
      <c r="AH179" s="47"/>
      <c r="AI179" s="120" t="n">
        <v>11</v>
      </c>
    </row>
    <row r="180" s="120" customFormat="true" ht="11.25" hidden="false" customHeight="true" outlineLevel="0" collapsed="false">
      <c r="A180" s="598"/>
      <c r="B180" s="47"/>
      <c r="C180" s="47"/>
      <c r="N180" s="45"/>
      <c r="O180" s="47"/>
      <c r="P180" s="47"/>
      <c r="Q180" s="45"/>
      <c r="R180" s="45"/>
      <c r="S180" s="45"/>
      <c r="T180" s="45"/>
      <c r="U180" s="47"/>
      <c r="V180" s="45"/>
      <c r="W180" s="45"/>
      <c r="X180" s="599"/>
      <c r="Y180" s="45"/>
      <c r="Z180" s="45"/>
      <c r="AA180" s="45"/>
      <c r="AB180" s="45"/>
      <c r="AC180" s="45"/>
      <c r="AD180" s="45"/>
      <c r="AE180" s="47"/>
      <c r="AF180" s="47"/>
      <c r="AG180" s="47"/>
      <c r="AH180" s="47"/>
      <c r="AI180" s="120" t="n">
        <v>11</v>
      </c>
    </row>
    <row r="181" s="120" customFormat="true" ht="11.25" hidden="false" customHeight="true" outlineLevel="0" collapsed="false">
      <c r="A181" s="598"/>
      <c r="B181" s="47"/>
      <c r="C181" s="47"/>
      <c r="N181" s="45"/>
      <c r="O181" s="47"/>
      <c r="P181" s="47"/>
      <c r="Q181" s="45"/>
      <c r="R181" s="45"/>
      <c r="S181" s="45"/>
      <c r="T181" s="45"/>
      <c r="U181" s="47"/>
      <c r="V181" s="45"/>
      <c r="W181" s="45"/>
      <c r="X181" s="599"/>
      <c r="Y181" s="45"/>
      <c r="Z181" s="45"/>
      <c r="AA181" s="45"/>
      <c r="AB181" s="45"/>
      <c r="AC181" s="45"/>
      <c r="AD181" s="45"/>
      <c r="AE181" s="47"/>
      <c r="AF181" s="47"/>
      <c r="AG181" s="47"/>
      <c r="AH181" s="47"/>
      <c r="AI181" s="120" t="n">
        <v>11</v>
      </c>
    </row>
    <row r="182" s="120" customFormat="true" ht="11.25" hidden="false" customHeight="true" outlineLevel="0" collapsed="false">
      <c r="A182" s="598"/>
      <c r="B182" s="47"/>
      <c r="C182" s="47"/>
      <c r="N182" s="45"/>
      <c r="O182" s="47"/>
      <c r="P182" s="47"/>
      <c r="Q182" s="45"/>
      <c r="R182" s="45"/>
      <c r="S182" s="45"/>
      <c r="T182" s="45"/>
      <c r="U182" s="47"/>
      <c r="V182" s="45"/>
      <c r="W182" s="45"/>
      <c r="X182" s="599"/>
      <c r="Y182" s="45"/>
      <c r="Z182" s="45"/>
      <c r="AA182" s="45"/>
      <c r="AB182" s="45"/>
      <c r="AC182" s="45"/>
      <c r="AD182" s="45"/>
      <c r="AE182" s="47"/>
      <c r="AF182" s="47"/>
      <c r="AG182" s="47"/>
      <c r="AH182" s="47"/>
      <c r="AI182" s="120" t="n">
        <v>11</v>
      </c>
    </row>
    <row r="183" s="120" customFormat="true" ht="11.25" hidden="false" customHeight="true" outlineLevel="0" collapsed="false">
      <c r="A183" s="598"/>
      <c r="B183" s="47"/>
      <c r="C183" s="47"/>
      <c r="N183" s="45"/>
      <c r="O183" s="47"/>
      <c r="P183" s="47"/>
      <c r="Q183" s="45"/>
      <c r="R183" s="45"/>
      <c r="S183" s="45"/>
      <c r="T183" s="45"/>
      <c r="U183" s="47"/>
      <c r="V183" s="45"/>
      <c r="W183" s="45"/>
      <c r="X183" s="599"/>
      <c r="Y183" s="45"/>
      <c r="Z183" s="45"/>
      <c r="AA183" s="45"/>
      <c r="AB183" s="45"/>
      <c r="AC183" s="45"/>
      <c r="AD183" s="45"/>
      <c r="AE183" s="47"/>
      <c r="AF183" s="47"/>
      <c r="AG183" s="47"/>
      <c r="AH183" s="47"/>
      <c r="AI183" s="120" t="n">
        <v>11</v>
      </c>
    </row>
    <row r="184" s="120" customFormat="true" ht="11.25" hidden="false" customHeight="true" outlineLevel="0" collapsed="false">
      <c r="A184" s="598"/>
      <c r="B184" s="47"/>
      <c r="C184" s="47"/>
      <c r="N184" s="45"/>
      <c r="O184" s="47"/>
      <c r="P184" s="47"/>
      <c r="Q184" s="45"/>
      <c r="R184" s="45"/>
      <c r="S184" s="45"/>
      <c r="T184" s="45"/>
      <c r="U184" s="47"/>
      <c r="V184" s="45"/>
      <c r="W184" s="45"/>
      <c r="X184" s="599"/>
      <c r="Y184" s="45"/>
      <c r="Z184" s="45"/>
      <c r="AA184" s="45"/>
      <c r="AB184" s="45"/>
      <c r="AC184" s="45"/>
      <c r="AD184" s="45"/>
      <c r="AE184" s="47"/>
      <c r="AF184" s="47"/>
      <c r="AG184" s="47"/>
      <c r="AH184" s="47"/>
      <c r="AI184" s="120" t="n">
        <v>11</v>
      </c>
    </row>
    <row r="185" s="120" customFormat="true" ht="11.25" hidden="false" customHeight="true" outlineLevel="0" collapsed="false">
      <c r="A185" s="598"/>
      <c r="B185" s="47"/>
      <c r="C185" s="47"/>
      <c r="N185" s="45"/>
      <c r="O185" s="47"/>
      <c r="P185" s="47"/>
      <c r="Q185" s="45"/>
      <c r="R185" s="45"/>
      <c r="S185" s="45"/>
      <c r="T185" s="45"/>
      <c r="U185" s="47"/>
      <c r="V185" s="45"/>
      <c r="W185" s="45"/>
      <c r="X185" s="599"/>
      <c r="Y185" s="45"/>
      <c r="Z185" s="45"/>
      <c r="AA185" s="45"/>
      <c r="AB185" s="45"/>
      <c r="AC185" s="45"/>
      <c r="AD185" s="45"/>
      <c r="AE185" s="47"/>
      <c r="AF185" s="47"/>
      <c r="AG185" s="47"/>
      <c r="AH185" s="47"/>
      <c r="AI185" s="120" t="n">
        <v>11</v>
      </c>
    </row>
    <row r="186" s="120" customFormat="true" ht="11.25" hidden="false" customHeight="true" outlineLevel="0" collapsed="false">
      <c r="A186" s="598"/>
      <c r="B186" s="47"/>
      <c r="C186" s="47"/>
      <c r="N186" s="45"/>
      <c r="O186" s="47"/>
      <c r="P186" s="47"/>
      <c r="Q186" s="45"/>
      <c r="R186" s="45"/>
      <c r="S186" s="45"/>
      <c r="T186" s="45"/>
      <c r="U186" s="47"/>
      <c r="V186" s="45"/>
      <c r="W186" s="45"/>
      <c r="X186" s="599"/>
      <c r="Y186" s="45"/>
      <c r="Z186" s="45"/>
      <c r="AA186" s="45"/>
      <c r="AB186" s="45"/>
      <c r="AC186" s="45"/>
      <c r="AD186" s="45"/>
      <c r="AE186" s="47"/>
      <c r="AF186" s="47"/>
      <c r="AG186" s="47"/>
      <c r="AH186" s="47"/>
      <c r="AI186" s="120" t="n">
        <v>11</v>
      </c>
    </row>
    <row r="187" s="120" customFormat="true" ht="11.25" hidden="false" customHeight="true" outlineLevel="0" collapsed="false">
      <c r="A187" s="598"/>
      <c r="B187" s="47"/>
      <c r="C187" s="47"/>
      <c r="N187" s="45"/>
      <c r="O187" s="47"/>
      <c r="P187" s="47"/>
      <c r="Q187" s="45"/>
      <c r="R187" s="45"/>
      <c r="S187" s="45"/>
      <c r="T187" s="45"/>
      <c r="U187" s="47"/>
      <c r="V187" s="45"/>
      <c r="W187" s="45"/>
      <c r="X187" s="599"/>
      <c r="Y187" s="45"/>
      <c r="Z187" s="45"/>
      <c r="AA187" s="45"/>
      <c r="AB187" s="45"/>
      <c r="AC187" s="45"/>
      <c r="AD187" s="45"/>
      <c r="AE187" s="47"/>
      <c r="AF187" s="47"/>
      <c r="AG187" s="47"/>
      <c r="AH187" s="47"/>
      <c r="AI187" s="120" t="n">
        <v>11</v>
      </c>
    </row>
    <row r="188" s="120" customFormat="true" ht="11.25" hidden="false" customHeight="true" outlineLevel="0" collapsed="false">
      <c r="A188" s="598"/>
      <c r="B188" s="47"/>
      <c r="C188" s="47"/>
      <c r="N188" s="45"/>
      <c r="O188" s="47"/>
      <c r="P188" s="47"/>
      <c r="Q188" s="45"/>
      <c r="R188" s="45"/>
      <c r="S188" s="45"/>
      <c r="T188" s="45"/>
      <c r="U188" s="47"/>
      <c r="V188" s="45"/>
      <c r="W188" s="45"/>
      <c r="X188" s="599"/>
      <c r="Y188" s="45"/>
      <c r="Z188" s="45"/>
      <c r="AA188" s="45"/>
      <c r="AB188" s="45"/>
      <c r="AC188" s="45"/>
      <c r="AD188" s="45"/>
      <c r="AE188" s="47"/>
      <c r="AF188" s="47"/>
      <c r="AG188" s="47"/>
      <c r="AH188" s="47"/>
      <c r="AI188" s="120" t="n">
        <v>11</v>
      </c>
    </row>
    <row r="189" s="120" customFormat="true" ht="11.25" hidden="false" customHeight="true" outlineLevel="0" collapsed="false">
      <c r="A189" s="598"/>
      <c r="B189" s="47"/>
      <c r="C189" s="47"/>
      <c r="N189" s="45"/>
      <c r="O189" s="47"/>
      <c r="P189" s="47"/>
      <c r="Q189" s="45"/>
      <c r="R189" s="45"/>
      <c r="S189" s="45"/>
      <c r="T189" s="45"/>
      <c r="U189" s="47"/>
      <c r="V189" s="45"/>
      <c r="W189" s="45"/>
      <c r="X189" s="599"/>
      <c r="Y189" s="45"/>
      <c r="Z189" s="45"/>
      <c r="AA189" s="45"/>
      <c r="AB189" s="45"/>
      <c r="AC189" s="45"/>
      <c r="AD189" s="45"/>
      <c r="AE189" s="47"/>
      <c r="AF189" s="47"/>
      <c r="AG189" s="47"/>
      <c r="AH189" s="47"/>
      <c r="AI189" s="120" t="n">
        <v>11</v>
      </c>
    </row>
    <row r="190" s="120" customFormat="true" ht="11.25" hidden="false" customHeight="true" outlineLevel="0" collapsed="false">
      <c r="A190" s="598"/>
      <c r="B190" s="47"/>
      <c r="C190" s="47"/>
      <c r="N190" s="45"/>
      <c r="O190" s="47"/>
      <c r="P190" s="47"/>
      <c r="Q190" s="45"/>
      <c r="R190" s="45"/>
      <c r="S190" s="45"/>
      <c r="T190" s="45"/>
      <c r="U190" s="47"/>
      <c r="V190" s="45"/>
      <c r="W190" s="45"/>
      <c r="X190" s="599"/>
      <c r="Y190" s="45"/>
      <c r="Z190" s="45"/>
      <c r="AA190" s="45"/>
      <c r="AB190" s="45"/>
      <c r="AC190" s="45"/>
      <c r="AD190" s="45"/>
      <c r="AE190" s="47"/>
      <c r="AF190" s="47"/>
      <c r="AG190" s="47"/>
      <c r="AH190" s="47"/>
      <c r="AI190" s="120" t="n">
        <v>11</v>
      </c>
    </row>
    <row r="191" s="120" customFormat="true" ht="11.25" hidden="false" customHeight="true" outlineLevel="0" collapsed="false">
      <c r="A191" s="598"/>
      <c r="B191" s="47"/>
      <c r="C191" s="47"/>
      <c r="N191" s="45"/>
      <c r="O191" s="47"/>
      <c r="P191" s="47"/>
      <c r="Q191" s="45"/>
      <c r="R191" s="45"/>
      <c r="S191" s="45"/>
      <c r="T191" s="45"/>
      <c r="U191" s="47"/>
      <c r="V191" s="45"/>
      <c r="W191" s="45"/>
      <c r="X191" s="599"/>
      <c r="Y191" s="45"/>
      <c r="Z191" s="45"/>
      <c r="AA191" s="45"/>
      <c r="AB191" s="45"/>
      <c r="AC191" s="45"/>
      <c r="AD191" s="45"/>
      <c r="AE191" s="47"/>
      <c r="AF191" s="47"/>
      <c r="AG191" s="47"/>
      <c r="AH191" s="47"/>
      <c r="AI191" s="120" t="n">
        <v>11</v>
      </c>
    </row>
    <row r="192" s="120" customFormat="true" ht="11.25" hidden="false" customHeight="true" outlineLevel="0" collapsed="false">
      <c r="A192" s="598"/>
      <c r="B192" s="47"/>
      <c r="C192" s="47"/>
      <c r="N192" s="45"/>
      <c r="O192" s="47"/>
      <c r="P192" s="47"/>
      <c r="Q192" s="45"/>
      <c r="R192" s="45"/>
      <c r="S192" s="45"/>
      <c r="T192" s="45"/>
      <c r="U192" s="47"/>
      <c r="V192" s="45"/>
      <c r="W192" s="45"/>
      <c r="X192" s="599"/>
      <c r="Y192" s="45"/>
      <c r="Z192" s="45"/>
      <c r="AA192" s="45"/>
      <c r="AB192" s="45"/>
      <c r="AC192" s="45"/>
      <c r="AD192" s="45"/>
      <c r="AE192" s="47"/>
      <c r="AF192" s="47"/>
      <c r="AG192" s="47"/>
      <c r="AH192" s="47"/>
      <c r="AI192" s="120" t="n">
        <v>11</v>
      </c>
    </row>
    <row r="193" s="120" customFormat="true" ht="11.25" hidden="false" customHeight="true" outlineLevel="0" collapsed="false">
      <c r="A193" s="598"/>
      <c r="B193" s="47"/>
      <c r="C193" s="47"/>
      <c r="N193" s="45"/>
      <c r="O193" s="47"/>
      <c r="P193" s="47"/>
      <c r="Q193" s="45"/>
      <c r="R193" s="45"/>
      <c r="S193" s="45"/>
      <c r="T193" s="45"/>
      <c r="U193" s="47"/>
      <c r="V193" s="45"/>
      <c r="W193" s="45"/>
      <c r="X193" s="599"/>
      <c r="Y193" s="45"/>
      <c r="Z193" s="45"/>
      <c r="AA193" s="45"/>
      <c r="AB193" s="45"/>
      <c r="AC193" s="45"/>
      <c r="AD193" s="45"/>
      <c r="AE193" s="47"/>
      <c r="AF193" s="47"/>
      <c r="AG193" s="47"/>
      <c r="AH193" s="47"/>
      <c r="AI193" s="120" t="n">
        <v>11</v>
      </c>
    </row>
    <row r="194" s="120" customFormat="true" ht="11.25" hidden="false" customHeight="true" outlineLevel="0" collapsed="false">
      <c r="A194" s="598"/>
      <c r="B194" s="47"/>
      <c r="C194" s="47"/>
      <c r="N194" s="45"/>
      <c r="O194" s="47"/>
      <c r="P194" s="47"/>
      <c r="Q194" s="45"/>
      <c r="R194" s="45"/>
      <c r="S194" s="45"/>
      <c r="T194" s="45"/>
      <c r="U194" s="47"/>
      <c r="V194" s="45"/>
      <c r="W194" s="45"/>
      <c r="X194" s="599"/>
      <c r="Y194" s="45"/>
      <c r="Z194" s="45"/>
      <c r="AA194" s="45"/>
      <c r="AB194" s="45"/>
      <c r="AC194" s="45"/>
      <c r="AD194" s="45"/>
      <c r="AE194" s="47"/>
      <c r="AF194" s="47"/>
      <c r="AG194" s="47"/>
      <c r="AH194" s="47"/>
      <c r="AI194" s="120" t="n">
        <v>11</v>
      </c>
    </row>
    <row r="195" s="120" customFormat="true" ht="11.25" hidden="false" customHeight="true" outlineLevel="0" collapsed="false">
      <c r="A195" s="598"/>
      <c r="B195" s="47"/>
      <c r="C195" s="47"/>
      <c r="N195" s="45"/>
      <c r="O195" s="47"/>
      <c r="P195" s="47"/>
      <c r="Q195" s="45"/>
      <c r="R195" s="45"/>
      <c r="S195" s="45"/>
      <c r="T195" s="45"/>
      <c r="U195" s="47"/>
      <c r="V195" s="45"/>
      <c r="W195" s="45"/>
      <c r="X195" s="599"/>
      <c r="Y195" s="45"/>
      <c r="Z195" s="45"/>
      <c r="AA195" s="45"/>
      <c r="AB195" s="45"/>
      <c r="AC195" s="45"/>
      <c r="AD195" s="45"/>
      <c r="AE195" s="47"/>
      <c r="AF195" s="47"/>
      <c r="AG195" s="47"/>
      <c r="AH195" s="47"/>
      <c r="AI195" s="120" t="n">
        <v>11</v>
      </c>
    </row>
    <row r="196" s="120" customFormat="true" ht="11.25" hidden="false" customHeight="true" outlineLevel="0" collapsed="false">
      <c r="A196" s="598"/>
      <c r="B196" s="47"/>
      <c r="C196" s="47"/>
      <c r="N196" s="45"/>
      <c r="O196" s="47"/>
      <c r="P196" s="47"/>
      <c r="Q196" s="45"/>
      <c r="R196" s="45"/>
      <c r="S196" s="45"/>
      <c r="T196" s="45"/>
      <c r="U196" s="47"/>
      <c r="V196" s="45"/>
      <c r="W196" s="45"/>
      <c r="X196" s="599"/>
      <c r="Y196" s="45"/>
      <c r="Z196" s="45"/>
      <c r="AA196" s="45"/>
      <c r="AB196" s="45"/>
      <c r="AC196" s="45"/>
      <c r="AD196" s="45"/>
      <c r="AE196" s="47"/>
      <c r="AF196" s="47"/>
      <c r="AG196" s="47"/>
      <c r="AH196" s="47"/>
      <c r="AI196" s="120" t="n">
        <v>11</v>
      </c>
    </row>
    <row r="197" s="120" customFormat="true" ht="11.25" hidden="false" customHeight="true" outlineLevel="0" collapsed="false">
      <c r="A197" s="598"/>
      <c r="B197" s="47"/>
      <c r="C197" s="47"/>
      <c r="N197" s="45"/>
      <c r="O197" s="47"/>
      <c r="P197" s="47"/>
      <c r="Q197" s="45"/>
      <c r="R197" s="45"/>
      <c r="S197" s="45"/>
      <c r="T197" s="45"/>
      <c r="U197" s="47"/>
      <c r="V197" s="45"/>
      <c r="W197" s="45"/>
      <c r="X197" s="599"/>
      <c r="Y197" s="45"/>
      <c r="Z197" s="45"/>
      <c r="AA197" s="45"/>
      <c r="AB197" s="45"/>
      <c r="AC197" s="45"/>
      <c r="AD197" s="45"/>
      <c r="AE197" s="47"/>
      <c r="AF197" s="47"/>
      <c r="AG197" s="47"/>
      <c r="AH197" s="47"/>
      <c r="AI197" s="120" t="n">
        <v>11</v>
      </c>
    </row>
    <row r="198" s="120" customFormat="true" ht="11.25" hidden="false" customHeight="true" outlineLevel="0" collapsed="false">
      <c r="A198" s="598"/>
      <c r="B198" s="47"/>
      <c r="C198" s="47"/>
      <c r="N198" s="45"/>
      <c r="O198" s="47"/>
      <c r="P198" s="47"/>
      <c r="Q198" s="45"/>
      <c r="R198" s="45"/>
      <c r="S198" s="45"/>
      <c r="T198" s="45"/>
      <c r="U198" s="47"/>
      <c r="V198" s="45"/>
      <c r="W198" s="45"/>
      <c r="X198" s="599"/>
      <c r="Y198" s="45"/>
      <c r="Z198" s="45"/>
      <c r="AA198" s="45"/>
      <c r="AB198" s="45"/>
      <c r="AC198" s="45"/>
      <c r="AD198" s="45"/>
      <c r="AE198" s="47"/>
      <c r="AF198" s="47"/>
      <c r="AG198" s="47"/>
      <c r="AH198" s="47"/>
      <c r="AI198" s="120" t="n">
        <v>11</v>
      </c>
    </row>
    <row r="199" s="120" customFormat="true" ht="11.25" hidden="false" customHeight="true" outlineLevel="0" collapsed="false">
      <c r="A199" s="598"/>
      <c r="B199" s="47"/>
      <c r="C199" s="47"/>
      <c r="N199" s="45"/>
      <c r="O199" s="47"/>
      <c r="P199" s="47"/>
      <c r="Q199" s="45"/>
      <c r="R199" s="45"/>
      <c r="S199" s="45"/>
      <c r="T199" s="45"/>
      <c r="U199" s="47"/>
      <c r="V199" s="45"/>
      <c r="W199" s="45"/>
      <c r="X199" s="599"/>
      <c r="Y199" s="45"/>
      <c r="Z199" s="45"/>
      <c r="AA199" s="45"/>
      <c r="AB199" s="45"/>
      <c r="AC199" s="45"/>
      <c r="AD199" s="45"/>
      <c r="AE199" s="47"/>
      <c r="AF199" s="47"/>
      <c r="AG199" s="47"/>
      <c r="AH199" s="47"/>
      <c r="AI199" s="120" t="n">
        <v>11</v>
      </c>
    </row>
    <row r="200" s="120" customFormat="true" ht="11.25" hidden="false" customHeight="true" outlineLevel="0" collapsed="false">
      <c r="A200" s="598"/>
      <c r="B200" s="47"/>
      <c r="C200" s="47"/>
      <c r="N200" s="45"/>
      <c r="O200" s="47"/>
      <c r="P200" s="47"/>
      <c r="Q200" s="45"/>
      <c r="R200" s="45"/>
      <c r="S200" s="45"/>
      <c r="T200" s="45"/>
      <c r="U200" s="47"/>
      <c r="V200" s="45"/>
      <c r="W200" s="45"/>
      <c r="X200" s="599"/>
      <c r="Y200" s="45"/>
      <c r="Z200" s="45"/>
      <c r="AA200" s="45"/>
      <c r="AB200" s="45"/>
      <c r="AC200" s="45"/>
      <c r="AD200" s="45"/>
      <c r="AE200" s="47"/>
      <c r="AF200" s="47"/>
      <c r="AG200" s="47"/>
      <c r="AH200" s="47"/>
      <c r="AI200" s="120" t="n">
        <v>11</v>
      </c>
    </row>
    <row r="201" s="120" customFormat="true" ht="11.25" hidden="false" customHeight="true" outlineLevel="0" collapsed="false">
      <c r="A201" s="598"/>
      <c r="B201" s="47"/>
      <c r="C201" s="47"/>
      <c r="N201" s="45"/>
      <c r="O201" s="47"/>
      <c r="P201" s="47"/>
      <c r="Q201" s="45"/>
      <c r="R201" s="45"/>
      <c r="S201" s="45"/>
      <c r="T201" s="45"/>
      <c r="U201" s="47"/>
      <c r="V201" s="45"/>
      <c r="W201" s="45"/>
      <c r="X201" s="599"/>
      <c r="Y201" s="45"/>
      <c r="Z201" s="45"/>
      <c r="AA201" s="45"/>
      <c r="AB201" s="45"/>
      <c r="AC201" s="45"/>
      <c r="AD201" s="45"/>
      <c r="AE201" s="47"/>
      <c r="AF201" s="47"/>
      <c r="AG201" s="47"/>
      <c r="AH201" s="47"/>
      <c r="AI201" s="120" t="n">
        <v>11</v>
      </c>
    </row>
    <row r="202" s="120" customFormat="true" ht="11.25" hidden="false" customHeight="true" outlineLevel="0" collapsed="false">
      <c r="A202" s="598"/>
      <c r="B202" s="47"/>
      <c r="C202" s="47"/>
      <c r="N202" s="45"/>
      <c r="O202" s="47"/>
      <c r="P202" s="47"/>
      <c r="Q202" s="45"/>
      <c r="R202" s="45"/>
      <c r="S202" s="45"/>
      <c r="T202" s="45"/>
      <c r="U202" s="47"/>
      <c r="V202" s="45"/>
      <c r="W202" s="45"/>
      <c r="X202" s="599"/>
      <c r="Y202" s="45"/>
      <c r="Z202" s="45"/>
      <c r="AA202" s="45"/>
      <c r="AB202" s="45"/>
      <c r="AC202" s="45"/>
      <c r="AD202" s="45"/>
      <c r="AE202" s="47"/>
      <c r="AF202" s="47"/>
      <c r="AG202" s="47"/>
      <c r="AH202" s="47"/>
      <c r="AI202" s="120" t="n">
        <v>11</v>
      </c>
    </row>
    <row r="203" s="120" customFormat="true" ht="11.25" hidden="false" customHeight="true" outlineLevel="0" collapsed="false">
      <c r="A203" s="598"/>
      <c r="B203" s="47"/>
      <c r="C203" s="47"/>
      <c r="N203" s="45"/>
      <c r="O203" s="47"/>
      <c r="P203" s="47"/>
      <c r="Q203" s="45"/>
      <c r="R203" s="45"/>
      <c r="S203" s="45"/>
      <c r="T203" s="45"/>
      <c r="U203" s="47"/>
      <c r="V203" s="45"/>
      <c r="W203" s="45"/>
      <c r="X203" s="599"/>
      <c r="Y203" s="45"/>
      <c r="Z203" s="45"/>
      <c r="AA203" s="45"/>
      <c r="AB203" s="45"/>
      <c r="AC203" s="45"/>
      <c r="AD203" s="45"/>
      <c r="AE203" s="47"/>
      <c r="AF203" s="47"/>
      <c r="AG203" s="47"/>
      <c r="AH203" s="47"/>
      <c r="AI203" s="120" t="n">
        <v>11</v>
      </c>
    </row>
    <row r="204" s="120" customFormat="true" ht="11.25" hidden="false" customHeight="true" outlineLevel="0" collapsed="false">
      <c r="A204" s="598"/>
      <c r="B204" s="47"/>
      <c r="C204" s="47"/>
      <c r="N204" s="45"/>
      <c r="O204" s="47"/>
      <c r="P204" s="47"/>
      <c r="Q204" s="45"/>
      <c r="R204" s="45"/>
      <c r="S204" s="45"/>
      <c r="T204" s="45"/>
      <c r="U204" s="47"/>
      <c r="V204" s="45"/>
      <c r="W204" s="45"/>
      <c r="X204" s="599"/>
      <c r="Y204" s="45"/>
      <c r="Z204" s="45"/>
      <c r="AA204" s="45"/>
      <c r="AB204" s="45"/>
      <c r="AC204" s="45"/>
      <c r="AD204" s="45"/>
      <c r="AE204" s="47"/>
      <c r="AF204" s="47"/>
      <c r="AG204" s="47"/>
      <c r="AH204" s="47"/>
      <c r="AI204" s="120" t="n">
        <v>11</v>
      </c>
    </row>
    <row r="205" s="120" customFormat="true" ht="11.25" hidden="false" customHeight="true" outlineLevel="0" collapsed="false">
      <c r="A205" s="598"/>
      <c r="B205" s="47"/>
      <c r="C205" s="47"/>
      <c r="N205" s="45"/>
      <c r="O205" s="47"/>
      <c r="P205" s="47"/>
      <c r="Q205" s="45"/>
      <c r="R205" s="45"/>
      <c r="S205" s="45"/>
      <c r="T205" s="45"/>
      <c r="U205" s="47"/>
      <c r="V205" s="45"/>
      <c r="W205" s="45"/>
      <c r="X205" s="599"/>
      <c r="Y205" s="45"/>
      <c r="Z205" s="45"/>
      <c r="AA205" s="45"/>
      <c r="AB205" s="45"/>
      <c r="AC205" s="45"/>
      <c r="AD205" s="45"/>
      <c r="AE205" s="47"/>
      <c r="AF205" s="47"/>
      <c r="AG205" s="47"/>
      <c r="AH205" s="47"/>
      <c r="AI205" s="120" t="n">
        <v>11</v>
      </c>
    </row>
    <row r="206" s="120" customFormat="true" ht="11.25" hidden="false" customHeight="true" outlineLevel="0" collapsed="false">
      <c r="A206" s="598"/>
      <c r="B206" s="47"/>
      <c r="C206" s="47"/>
      <c r="N206" s="45"/>
      <c r="O206" s="47"/>
      <c r="P206" s="47"/>
      <c r="Q206" s="45"/>
      <c r="R206" s="45"/>
      <c r="S206" s="45"/>
      <c r="T206" s="45"/>
      <c r="U206" s="47"/>
      <c r="V206" s="45"/>
      <c r="W206" s="45"/>
      <c r="X206" s="599"/>
      <c r="Y206" s="45"/>
      <c r="Z206" s="45"/>
      <c r="AA206" s="45"/>
      <c r="AB206" s="45"/>
      <c r="AC206" s="45"/>
      <c r="AD206" s="45"/>
      <c r="AE206" s="47"/>
      <c r="AF206" s="47"/>
      <c r="AG206" s="47"/>
      <c r="AH206" s="47"/>
      <c r="AI206" s="120" t="n">
        <v>11</v>
      </c>
    </row>
    <row r="207" s="120" customFormat="true" ht="11.25" hidden="false" customHeight="true" outlineLevel="0" collapsed="false">
      <c r="A207" s="598"/>
      <c r="B207" s="47"/>
      <c r="C207" s="47"/>
      <c r="N207" s="45"/>
      <c r="O207" s="47"/>
      <c r="P207" s="47"/>
      <c r="Q207" s="45"/>
      <c r="R207" s="45"/>
      <c r="S207" s="45"/>
      <c r="T207" s="45"/>
      <c r="U207" s="47"/>
      <c r="V207" s="45"/>
      <c r="W207" s="45"/>
      <c r="X207" s="599"/>
      <c r="Y207" s="45"/>
      <c r="Z207" s="45"/>
      <c r="AA207" s="45"/>
      <c r="AB207" s="45"/>
      <c r="AC207" s="45"/>
      <c r="AD207" s="45"/>
      <c r="AE207" s="47"/>
      <c r="AF207" s="47"/>
      <c r="AG207" s="47"/>
      <c r="AH207" s="47"/>
      <c r="AI207" s="120" t="n">
        <v>11</v>
      </c>
    </row>
    <row r="208" s="120" customFormat="true" ht="11.25" hidden="false" customHeight="true" outlineLevel="0" collapsed="false">
      <c r="A208" s="598"/>
      <c r="B208" s="47"/>
      <c r="C208" s="47"/>
      <c r="N208" s="45"/>
      <c r="O208" s="47"/>
      <c r="P208" s="47"/>
      <c r="Q208" s="45"/>
      <c r="R208" s="45"/>
      <c r="S208" s="45"/>
      <c r="T208" s="45"/>
      <c r="U208" s="47"/>
      <c r="V208" s="45"/>
      <c r="W208" s="45"/>
      <c r="X208" s="599"/>
      <c r="Y208" s="45"/>
      <c r="Z208" s="45"/>
      <c r="AA208" s="45"/>
      <c r="AB208" s="45"/>
      <c r="AC208" s="45"/>
      <c r="AD208" s="45"/>
      <c r="AE208" s="47"/>
      <c r="AF208" s="47"/>
      <c r="AG208" s="47"/>
      <c r="AH208" s="47"/>
      <c r="AI208" s="120" t="n">
        <v>11</v>
      </c>
    </row>
    <row r="209" s="120" customFormat="true" ht="11.25" hidden="false" customHeight="true" outlineLevel="0" collapsed="false">
      <c r="A209" s="598"/>
      <c r="B209" s="47"/>
      <c r="C209" s="47"/>
      <c r="N209" s="45"/>
      <c r="O209" s="47"/>
      <c r="P209" s="47"/>
      <c r="Q209" s="45"/>
      <c r="R209" s="45"/>
      <c r="S209" s="45"/>
      <c r="T209" s="45"/>
      <c r="U209" s="47"/>
      <c r="V209" s="45"/>
      <c r="W209" s="45"/>
      <c r="X209" s="599"/>
      <c r="Y209" s="45"/>
      <c r="Z209" s="45"/>
      <c r="AA209" s="45"/>
      <c r="AB209" s="45"/>
      <c r="AC209" s="45"/>
      <c r="AD209" s="45"/>
      <c r="AE209" s="47"/>
      <c r="AF209" s="47"/>
      <c r="AG209" s="47"/>
      <c r="AH209" s="47"/>
      <c r="AI209" s="120" t="n">
        <v>11</v>
      </c>
    </row>
    <row r="210" s="120" customFormat="true" ht="11.25" hidden="false" customHeight="true" outlineLevel="0" collapsed="false">
      <c r="A210" s="598"/>
      <c r="B210" s="47"/>
      <c r="C210" s="47"/>
      <c r="N210" s="45"/>
      <c r="O210" s="47"/>
      <c r="P210" s="47"/>
      <c r="Q210" s="45"/>
      <c r="R210" s="45"/>
      <c r="S210" s="45"/>
      <c r="T210" s="45"/>
      <c r="U210" s="47"/>
      <c r="V210" s="45"/>
      <c r="W210" s="45"/>
      <c r="X210" s="599"/>
      <c r="Y210" s="45"/>
      <c r="Z210" s="45"/>
      <c r="AA210" s="45"/>
      <c r="AB210" s="45"/>
      <c r="AC210" s="45"/>
      <c r="AD210" s="45"/>
      <c r="AE210" s="47"/>
      <c r="AF210" s="47"/>
      <c r="AG210" s="47"/>
      <c r="AH210" s="47"/>
      <c r="AI210" s="120" t="n">
        <v>11</v>
      </c>
    </row>
    <row r="211" s="120" customFormat="true" ht="11.25" hidden="false" customHeight="true" outlineLevel="0" collapsed="false">
      <c r="A211" s="598"/>
      <c r="B211" s="47"/>
      <c r="C211" s="47"/>
      <c r="N211" s="45"/>
      <c r="O211" s="47"/>
      <c r="P211" s="47"/>
      <c r="Q211" s="45"/>
      <c r="R211" s="45"/>
      <c r="S211" s="45"/>
      <c r="T211" s="45"/>
      <c r="U211" s="47"/>
      <c r="V211" s="45"/>
      <c r="W211" s="45"/>
      <c r="X211" s="599"/>
      <c r="Y211" s="45"/>
      <c r="Z211" s="45"/>
      <c r="AA211" s="45"/>
      <c r="AB211" s="45"/>
      <c r="AC211" s="45"/>
      <c r="AD211" s="45"/>
      <c r="AE211" s="47"/>
      <c r="AF211" s="47"/>
      <c r="AG211" s="47"/>
      <c r="AH211" s="47"/>
      <c r="AI211" s="120" t="n">
        <v>11</v>
      </c>
    </row>
    <row r="212" s="120" customFormat="true" ht="11.25" hidden="false" customHeight="true" outlineLevel="0" collapsed="false">
      <c r="A212" s="598"/>
      <c r="B212" s="47"/>
      <c r="C212" s="47"/>
      <c r="N212" s="45"/>
      <c r="O212" s="47"/>
      <c r="P212" s="47"/>
      <c r="Q212" s="45"/>
      <c r="R212" s="45"/>
      <c r="S212" s="45"/>
      <c r="T212" s="45"/>
      <c r="U212" s="47"/>
      <c r="V212" s="45"/>
      <c r="W212" s="45"/>
      <c r="X212" s="599"/>
      <c r="Y212" s="45"/>
      <c r="Z212" s="45"/>
      <c r="AA212" s="45"/>
      <c r="AB212" s="45"/>
      <c r="AC212" s="45"/>
      <c r="AD212" s="45"/>
      <c r="AE212" s="47"/>
      <c r="AF212" s="47"/>
      <c r="AG212" s="47"/>
      <c r="AH212" s="47"/>
      <c r="AI212" s="120" t="n">
        <v>11</v>
      </c>
    </row>
    <row r="213" s="120" customFormat="true" ht="11.25" hidden="false" customHeight="true" outlineLevel="0" collapsed="false">
      <c r="A213" s="598"/>
      <c r="B213" s="47"/>
      <c r="C213" s="47"/>
      <c r="N213" s="45"/>
      <c r="O213" s="47"/>
      <c r="P213" s="47"/>
      <c r="Q213" s="45"/>
      <c r="R213" s="45"/>
      <c r="S213" s="45"/>
      <c r="T213" s="45"/>
      <c r="U213" s="47"/>
      <c r="V213" s="45"/>
      <c r="W213" s="45"/>
      <c r="X213" s="599"/>
      <c r="Y213" s="45"/>
      <c r="Z213" s="45"/>
      <c r="AA213" s="45"/>
      <c r="AB213" s="45"/>
      <c r="AC213" s="45"/>
      <c r="AD213" s="45"/>
      <c r="AE213" s="47"/>
      <c r="AF213" s="47"/>
      <c r="AG213" s="47"/>
      <c r="AH213" s="47"/>
      <c r="AI213" s="120" t="n">
        <v>11</v>
      </c>
    </row>
    <row r="214" s="120" customFormat="true" ht="11.25" hidden="false" customHeight="true" outlineLevel="0" collapsed="false">
      <c r="A214" s="598"/>
      <c r="B214" s="47"/>
      <c r="C214" s="47"/>
      <c r="N214" s="45"/>
      <c r="O214" s="47"/>
      <c r="P214" s="47"/>
      <c r="Q214" s="45"/>
      <c r="R214" s="45"/>
      <c r="S214" s="45"/>
      <c r="T214" s="45"/>
      <c r="U214" s="47"/>
      <c r="V214" s="45"/>
      <c r="W214" s="45"/>
      <c r="X214" s="599"/>
      <c r="Y214" s="45"/>
      <c r="Z214" s="45"/>
      <c r="AA214" s="45"/>
      <c r="AB214" s="45"/>
      <c r="AC214" s="45"/>
      <c r="AD214" s="45"/>
      <c r="AE214" s="47"/>
      <c r="AF214" s="47"/>
      <c r="AG214" s="47"/>
      <c r="AH214" s="47"/>
      <c r="AI214" s="120" t="n">
        <v>11</v>
      </c>
    </row>
    <row r="215" s="120" customFormat="true" ht="11.25" hidden="false" customHeight="true" outlineLevel="0" collapsed="false">
      <c r="A215" s="598"/>
      <c r="B215" s="47"/>
      <c r="C215" s="47"/>
      <c r="N215" s="45"/>
      <c r="O215" s="47"/>
      <c r="P215" s="47"/>
      <c r="Q215" s="45"/>
      <c r="R215" s="45"/>
      <c r="S215" s="45"/>
      <c r="T215" s="45"/>
      <c r="U215" s="47"/>
      <c r="V215" s="45"/>
      <c r="W215" s="45"/>
      <c r="X215" s="599"/>
      <c r="Y215" s="45"/>
      <c r="Z215" s="45"/>
      <c r="AA215" s="45"/>
      <c r="AB215" s="45"/>
      <c r="AC215" s="45"/>
      <c r="AD215" s="45"/>
      <c r="AE215" s="47"/>
      <c r="AF215" s="47"/>
      <c r="AG215" s="47"/>
      <c r="AH215" s="47"/>
      <c r="AI215" s="120" t="n">
        <v>11</v>
      </c>
    </row>
    <row r="216" s="120" customFormat="true" ht="11.25" hidden="false" customHeight="true" outlineLevel="0" collapsed="false">
      <c r="A216" s="598"/>
      <c r="B216" s="47"/>
      <c r="C216" s="47"/>
      <c r="N216" s="45"/>
      <c r="O216" s="47"/>
      <c r="P216" s="47"/>
      <c r="Q216" s="45"/>
      <c r="R216" s="45"/>
      <c r="S216" s="45"/>
      <c r="T216" s="45"/>
      <c r="U216" s="47"/>
      <c r="V216" s="45"/>
      <c r="W216" s="45"/>
      <c r="X216" s="599"/>
      <c r="Y216" s="45"/>
      <c r="Z216" s="45"/>
      <c r="AA216" s="45"/>
      <c r="AB216" s="45"/>
      <c r="AC216" s="45"/>
      <c r="AD216" s="45"/>
      <c r="AE216" s="47"/>
      <c r="AF216" s="47"/>
      <c r="AG216" s="47"/>
      <c r="AH216" s="47"/>
      <c r="AI216" s="120" t="n">
        <v>11</v>
      </c>
    </row>
    <row r="217" s="120" customFormat="true" ht="11.25" hidden="false" customHeight="true" outlineLevel="0" collapsed="false">
      <c r="A217" s="598"/>
      <c r="B217" s="47"/>
      <c r="C217" s="47"/>
      <c r="N217" s="45"/>
      <c r="O217" s="47"/>
      <c r="P217" s="47"/>
      <c r="Q217" s="45"/>
      <c r="R217" s="45"/>
      <c r="S217" s="45"/>
      <c r="T217" s="45"/>
      <c r="U217" s="47"/>
      <c r="V217" s="45"/>
      <c r="W217" s="45"/>
      <c r="X217" s="599"/>
      <c r="Y217" s="45"/>
      <c r="Z217" s="45"/>
      <c r="AA217" s="45"/>
      <c r="AB217" s="45"/>
      <c r="AC217" s="45"/>
      <c r="AD217" s="45"/>
      <c r="AE217" s="47"/>
      <c r="AF217" s="47"/>
      <c r="AG217" s="47"/>
      <c r="AH217" s="47"/>
      <c r="AI217" s="120" t="n">
        <v>11</v>
      </c>
    </row>
    <row r="218" s="120" customFormat="true" ht="11.25" hidden="false" customHeight="true" outlineLevel="0" collapsed="false">
      <c r="A218" s="598"/>
      <c r="B218" s="47"/>
      <c r="C218" s="47"/>
      <c r="N218" s="45"/>
      <c r="O218" s="47"/>
      <c r="P218" s="47"/>
      <c r="Q218" s="45"/>
      <c r="R218" s="45"/>
      <c r="S218" s="45"/>
      <c r="T218" s="45"/>
      <c r="U218" s="47"/>
      <c r="V218" s="45"/>
      <c r="W218" s="45"/>
      <c r="X218" s="599"/>
      <c r="Y218" s="45"/>
      <c r="Z218" s="45"/>
      <c r="AA218" s="45"/>
      <c r="AB218" s="45"/>
      <c r="AC218" s="45"/>
      <c r="AD218" s="45"/>
      <c r="AE218" s="47"/>
      <c r="AF218" s="47"/>
      <c r="AG218" s="47"/>
      <c r="AH218" s="47"/>
      <c r="AI218" s="120" t="n">
        <v>11</v>
      </c>
    </row>
    <row r="219" s="120" customFormat="true" ht="11.25" hidden="false" customHeight="true" outlineLevel="0" collapsed="false">
      <c r="A219" s="598"/>
      <c r="B219" s="47"/>
      <c r="C219" s="47"/>
      <c r="N219" s="45"/>
      <c r="O219" s="47"/>
      <c r="P219" s="47"/>
      <c r="Q219" s="45"/>
      <c r="R219" s="45"/>
      <c r="S219" s="45"/>
      <c r="T219" s="45"/>
      <c r="U219" s="47"/>
      <c r="V219" s="45"/>
      <c r="W219" s="45"/>
      <c r="X219" s="599"/>
      <c r="Y219" s="45"/>
      <c r="Z219" s="45"/>
      <c r="AA219" s="45"/>
      <c r="AB219" s="45"/>
      <c r="AC219" s="45"/>
      <c r="AD219" s="45"/>
      <c r="AE219" s="47"/>
      <c r="AF219" s="47"/>
      <c r="AG219" s="47"/>
      <c r="AH219" s="47"/>
      <c r="AI219" s="120" t="n">
        <v>11</v>
      </c>
    </row>
    <row r="220" s="120" customFormat="true" ht="11.25" hidden="false" customHeight="true" outlineLevel="0" collapsed="false">
      <c r="A220" s="598"/>
      <c r="B220" s="47"/>
      <c r="C220" s="47"/>
      <c r="N220" s="45"/>
      <c r="O220" s="47"/>
      <c r="P220" s="47"/>
      <c r="Q220" s="45"/>
      <c r="R220" s="45"/>
      <c r="S220" s="45"/>
      <c r="T220" s="45"/>
      <c r="U220" s="47"/>
      <c r="V220" s="45"/>
      <c r="W220" s="45"/>
      <c r="X220" s="599"/>
      <c r="Y220" s="45"/>
      <c r="Z220" s="45"/>
      <c r="AA220" s="45"/>
      <c r="AB220" s="45"/>
      <c r="AC220" s="45"/>
      <c r="AD220" s="45"/>
      <c r="AE220" s="47"/>
      <c r="AF220" s="47"/>
      <c r="AG220" s="47"/>
      <c r="AH220" s="47"/>
      <c r="AI220" s="120" t="n">
        <v>11</v>
      </c>
    </row>
    <row r="221" s="120" customFormat="true" ht="11.25" hidden="false" customHeight="true" outlineLevel="0" collapsed="false">
      <c r="A221" s="598"/>
      <c r="B221" s="47"/>
      <c r="C221" s="47"/>
      <c r="N221" s="45"/>
      <c r="O221" s="47"/>
      <c r="P221" s="47"/>
      <c r="Q221" s="45"/>
      <c r="R221" s="45"/>
      <c r="S221" s="45"/>
      <c r="T221" s="45"/>
      <c r="U221" s="47"/>
      <c r="V221" s="45"/>
      <c r="W221" s="45"/>
      <c r="X221" s="599"/>
      <c r="Y221" s="45"/>
      <c r="Z221" s="45"/>
      <c r="AA221" s="45"/>
      <c r="AB221" s="45"/>
      <c r="AC221" s="45"/>
      <c r="AD221" s="45"/>
      <c r="AE221" s="47"/>
      <c r="AF221" s="47"/>
      <c r="AG221" s="47"/>
      <c r="AH221" s="47"/>
      <c r="AI221" s="120" t="n">
        <v>11</v>
      </c>
    </row>
    <row r="222" s="120" customFormat="true" ht="11.25" hidden="false" customHeight="true" outlineLevel="0" collapsed="false">
      <c r="A222" s="598"/>
      <c r="B222" s="47"/>
      <c r="C222" s="47"/>
      <c r="N222" s="45"/>
      <c r="O222" s="47"/>
      <c r="P222" s="47"/>
      <c r="Q222" s="45"/>
      <c r="R222" s="45"/>
      <c r="S222" s="45"/>
      <c r="T222" s="45"/>
      <c r="U222" s="47"/>
      <c r="V222" s="45"/>
      <c r="W222" s="45"/>
      <c r="X222" s="599"/>
      <c r="Y222" s="45"/>
      <c r="Z222" s="45"/>
      <c r="AA222" s="45"/>
      <c r="AB222" s="45"/>
      <c r="AC222" s="45"/>
      <c r="AD222" s="45"/>
      <c r="AE222" s="47"/>
      <c r="AF222" s="47"/>
      <c r="AG222" s="47"/>
      <c r="AH222" s="47"/>
      <c r="AI222" s="120" t="n">
        <v>11</v>
      </c>
    </row>
    <row r="223" s="120" customFormat="true" ht="11.25" hidden="false" customHeight="true" outlineLevel="0" collapsed="false">
      <c r="A223" s="598"/>
      <c r="B223" s="47"/>
      <c r="C223" s="47"/>
      <c r="N223" s="45"/>
      <c r="O223" s="47"/>
      <c r="P223" s="47"/>
      <c r="Q223" s="45"/>
      <c r="R223" s="45"/>
      <c r="S223" s="45"/>
      <c r="T223" s="45"/>
      <c r="U223" s="47"/>
      <c r="V223" s="45"/>
      <c r="W223" s="45"/>
      <c r="X223" s="599"/>
      <c r="Y223" s="45"/>
      <c r="Z223" s="45"/>
      <c r="AA223" s="45"/>
      <c r="AB223" s="45"/>
      <c r="AC223" s="45"/>
      <c r="AD223" s="45"/>
      <c r="AE223" s="47"/>
      <c r="AF223" s="47"/>
      <c r="AG223" s="47"/>
      <c r="AH223" s="47"/>
      <c r="AI223" s="120" t="n">
        <v>11</v>
      </c>
    </row>
    <row r="224" s="120" customFormat="true" ht="11.25" hidden="false" customHeight="true" outlineLevel="0" collapsed="false">
      <c r="A224" s="598"/>
      <c r="B224" s="47"/>
      <c r="C224" s="47"/>
      <c r="N224" s="45"/>
      <c r="O224" s="47"/>
      <c r="P224" s="47"/>
      <c r="Q224" s="45"/>
      <c r="R224" s="45"/>
      <c r="S224" s="45"/>
      <c r="T224" s="45"/>
      <c r="U224" s="47"/>
      <c r="V224" s="45"/>
      <c r="W224" s="45"/>
      <c r="X224" s="599"/>
      <c r="Y224" s="45"/>
      <c r="Z224" s="45"/>
      <c r="AA224" s="45"/>
      <c r="AB224" s="45"/>
      <c r="AC224" s="45"/>
      <c r="AD224" s="45"/>
      <c r="AE224" s="47"/>
      <c r="AF224" s="47"/>
      <c r="AG224" s="47"/>
      <c r="AH224" s="47"/>
      <c r="AI224" s="120" t="n">
        <v>11</v>
      </c>
    </row>
    <row r="225" s="120" customFormat="true" ht="11.25" hidden="false" customHeight="true" outlineLevel="0" collapsed="false">
      <c r="A225" s="598"/>
      <c r="B225" s="47"/>
      <c r="C225" s="47"/>
      <c r="N225" s="45"/>
      <c r="O225" s="47"/>
      <c r="P225" s="47"/>
      <c r="Q225" s="45"/>
      <c r="R225" s="45"/>
      <c r="S225" s="45"/>
      <c r="T225" s="45"/>
      <c r="U225" s="47"/>
      <c r="V225" s="45"/>
      <c r="W225" s="45"/>
      <c r="X225" s="599"/>
      <c r="Y225" s="45"/>
      <c r="Z225" s="45"/>
      <c r="AA225" s="45"/>
      <c r="AB225" s="45"/>
      <c r="AC225" s="45"/>
      <c r="AD225" s="45"/>
      <c r="AE225" s="47"/>
      <c r="AF225" s="47"/>
      <c r="AG225" s="47"/>
      <c r="AH225" s="47"/>
      <c r="AI225" s="120" t="n">
        <v>11</v>
      </c>
    </row>
    <row r="226" s="120" customFormat="true" ht="11.25" hidden="false" customHeight="true" outlineLevel="0" collapsed="false">
      <c r="A226" s="598"/>
      <c r="B226" s="47"/>
      <c r="C226" s="47"/>
      <c r="N226" s="45"/>
      <c r="O226" s="47"/>
      <c r="P226" s="47"/>
      <c r="Q226" s="45"/>
      <c r="R226" s="45"/>
      <c r="S226" s="45"/>
      <c r="T226" s="45"/>
      <c r="U226" s="47"/>
      <c r="V226" s="45"/>
      <c r="W226" s="45"/>
      <c r="X226" s="599"/>
      <c r="Y226" s="45"/>
      <c r="Z226" s="45"/>
      <c r="AA226" s="45"/>
      <c r="AB226" s="45"/>
      <c r="AC226" s="45"/>
      <c r="AD226" s="45"/>
      <c r="AE226" s="47"/>
      <c r="AF226" s="47"/>
      <c r="AG226" s="47"/>
      <c r="AH226" s="47"/>
      <c r="AI226" s="120" t="n">
        <v>11</v>
      </c>
    </row>
    <row r="227" s="120" customFormat="true" ht="11.25" hidden="false" customHeight="true" outlineLevel="0" collapsed="false">
      <c r="A227" s="598"/>
      <c r="B227" s="47"/>
      <c r="C227" s="47"/>
      <c r="N227" s="45"/>
      <c r="O227" s="47"/>
      <c r="P227" s="47"/>
      <c r="Q227" s="45"/>
      <c r="R227" s="45"/>
      <c r="S227" s="45"/>
      <c r="T227" s="45"/>
      <c r="U227" s="47"/>
      <c r="V227" s="45"/>
      <c r="W227" s="45"/>
      <c r="X227" s="599"/>
      <c r="Y227" s="45"/>
      <c r="Z227" s="45"/>
      <c r="AA227" s="45"/>
      <c r="AB227" s="45"/>
      <c r="AC227" s="45"/>
      <c r="AD227" s="45"/>
      <c r="AE227" s="47"/>
      <c r="AF227" s="47"/>
      <c r="AG227" s="47"/>
      <c r="AH227" s="47"/>
      <c r="AI227" s="120" t="n">
        <v>11</v>
      </c>
    </row>
    <row r="228" s="120" customFormat="true" ht="11.25" hidden="false" customHeight="true" outlineLevel="0" collapsed="false">
      <c r="A228" s="598"/>
      <c r="B228" s="47"/>
      <c r="C228" s="47"/>
      <c r="N228" s="45"/>
      <c r="O228" s="47"/>
      <c r="P228" s="47"/>
      <c r="Q228" s="45"/>
      <c r="R228" s="45"/>
      <c r="S228" s="45"/>
      <c r="T228" s="45"/>
      <c r="U228" s="47"/>
      <c r="V228" s="45"/>
      <c r="W228" s="45"/>
      <c r="X228" s="599"/>
      <c r="Y228" s="45"/>
      <c r="Z228" s="45"/>
      <c r="AA228" s="45"/>
      <c r="AB228" s="45"/>
      <c r="AC228" s="45"/>
      <c r="AD228" s="45"/>
      <c r="AE228" s="47"/>
      <c r="AF228" s="47"/>
      <c r="AG228" s="47"/>
      <c r="AH228" s="47"/>
      <c r="AI228" s="120" t="n">
        <v>11</v>
      </c>
    </row>
    <row r="229" s="120" customFormat="true" ht="11.25" hidden="false" customHeight="true" outlineLevel="0" collapsed="false">
      <c r="A229" s="598"/>
      <c r="B229" s="47"/>
      <c r="C229" s="47"/>
      <c r="N229" s="45"/>
      <c r="O229" s="47"/>
      <c r="P229" s="47"/>
      <c r="Q229" s="45"/>
      <c r="R229" s="45"/>
      <c r="S229" s="45"/>
      <c r="T229" s="45"/>
      <c r="U229" s="47"/>
      <c r="V229" s="45"/>
      <c r="W229" s="45"/>
      <c r="X229" s="599"/>
      <c r="Y229" s="45"/>
      <c r="Z229" s="45"/>
      <c r="AA229" s="45"/>
      <c r="AB229" s="45"/>
      <c r="AC229" s="45"/>
      <c r="AD229" s="45"/>
      <c r="AE229" s="47"/>
      <c r="AF229" s="47"/>
      <c r="AG229" s="47"/>
      <c r="AH229" s="47"/>
      <c r="AI229" s="120" t="n">
        <v>11</v>
      </c>
    </row>
    <row r="230" s="120" customFormat="true" ht="11.25" hidden="false" customHeight="true" outlineLevel="0" collapsed="false">
      <c r="A230" s="598"/>
      <c r="B230" s="47"/>
      <c r="C230" s="47"/>
      <c r="N230" s="45"/>
      <c r="O230" s="47"/>
      <c r="P230" s="47"/>
      <c r="Q230" s="45"/>
      <c r="R230" s="45"/>
      <c r="S230" s="45"/>
      <c r="T230" s="45"/>
      <c r="U230" s="47"/>
      <c r="V230" s="45"/>
      <c r="W230" s="45"/>
      <c r="X230" s="599"/>
      <c r="Y230" s="45"/>
      <c r="Z230" s="45"/>
      <c r="AA230" s="45"/>
      <c r="AB230" s="45"/>
      <c r="AC230" s="45"/>
      <c r="AD230" s="45"/>
      <c r="AE230" s="47"/>
      <c r="AF230" s="47"/>
      <c r="AG230" s="47"/>
      <c r="AH230" s="47"/>
      <c r="AI230" s="120" t="n">
        <v>11</v>
      </c>
    </row>
    <row r="231" s="120" customFormat="true" ht="11.25" hidden="false" customHeight="true" outlineLevel="0" collapsed="false">
      <c r="A231" s="598"/>
      <c r="B231" s="47"/>
      <c r="C231" s="47"/>
      <c r="N231" s="45"/>
      <c r="O231" s="47"/>
      <c r="P231" s="47"/>
      <c r="Q231" s="45"/>
      <c r="R231" s="45"/>
      <c r="S231" s="45"/>
      <c r="T231" s="45"/>
      <c r="U231" s="47"/>
      <c r="V231" s="45"/>
      <c r="W231" s="45"/>
      <c r="X231" s="599"/>
      <c r="Y231" s="45"/>
      <c r="Z231" s="45"/>
      <c r="AA231" s="45"/>
      <c r="AB231" s="45"/>
      <c r="AC231" s="45"/>
      <c r="AD231" s="45"/>
      <c r="AE231" s="47"/>
      <c r="AF231" s="47"/>
      <c r="AG231" s="47"/>
      <c r="AH231" s="47"/>
      <c r="AI231" s="120" t="n">
        <v>11</v>
      </c>
    </row>
    <row r="232" s="120" customFormat="true" ht="11.25" hidden="false" customHeight="true" outlineLevel="0" collapsed="false">
      <c r="A232" s="598"/>
      <c r="B232" s="47"/>
      <c r="C232" s="47"/>
      <c r="N232" s="45"/>
      <c r="O232" s="47"/>
      <c r="P232" s="47"/>
      <c r="Q232" s="45"/>
      <c r="R232" s="45"/>
      <c r="S232" s="45"/>
      <c r="T232" s="45"/>
      <c r="U232" s="47"/>
      <c r="V232" s="45"/>
      <c r="W232" s="45"/>
      <c r="X232" s="599"/>
      <c r="Y232" s="45"/>
      <c r="Z232" s="45"/>
      <c r="AA232" s="45"/>
      <c r="AB232" s="45"/>
      <c r="AC232" s="45"/>
      <c r="AD232" s="45"/>
      <c r="AE232" s="47"/>
      <c r="AF232" s="47"/>
      <c r="AG232" s="47"/>
      <c r="AH232" s="47"/>
      <c r="AI232" s="120" t="n">
        <v>11</v>
      </c>
    </row>
    <row r="233" s="120" customFormat="true" ht="11.25" hidden="false" customHeight="true" outlineLevel="0" collapsed="false">
      <c r="A233" s="598"/>
      <c r="B233" s="47"/>
      <c r="C233" s="47"/>
      <c r="N233" s="45"/>
      <c r="O233" s="47"/>
      <c r="P233" s="47"/>
      <c r="Q233" s="45"/>
      <c r="R233" s="45"/>
      <c r="S233" s="45"/>
      <c r="T233" s="45"/>
      <c r="U233" s="47"/>
      <c r="V233" s="45"/>
      <c r="W233" s="45"/>
      <c r="X233" s="599"/>
      <c r="Y233" s="45"/>
      <c r="Z233" s="45"/>
      <c r="AA233" s="45"/>
      <c r="AB233" s="45"/>
      <c r="AC233" s="45"/>
      <c r="AD233" s="45"/>
      <c r="AE233" s="47"/>
      <c r="AF233" s="47"/>
      <c r="AG233" s="47"/>
      <c r="AH233" s="47"/>
      <c r="AI233" s="120" t="n">
        <v>11</v>
      </c>
    </row>
    <row r="234" s="120" customFormat="true" ht="11.25" hidden="false" customHeight="true" outlineLevel="0" collapsed="false">
      <c r="A234" s="598"/>
      <c r="B234" s="47"/>
      <c r="C234" s="47"/>
      <c r="N234" s="45"/>
      <c r="O234" s="47"/>
      <c r="P234" s="47"/>
      <c r="Q234" s="45"/>
      <c r="R234" s="45"/>
      <c r="S234" s="45"/>
      <c r="T234" s="45"/>
      <c r="U234" s="47"/>
      <c r="V234" s="45"/>
      <c r="W234" s="45"/>
      <c r="X234" s="599"/>
      <c r="Y234" s="45"/>
      <c r="Z234" s="45"/>
      <c r="AA234" s="45"/>
      <c r="AB234" s="45"/>
      <c r="AC234" s="45"/>
      <c r="AD234" s="45"/>
      <c r="AE234" s="47"/>
      <c r="AF234" s="47"/>
      <c r="AG234" s="47"/>
      <c r="AH234" s="47"/>
      <c r="AI234" s="120" t="n">
        <v>11</v>
      </c>
    </row>
    <row r="235" s="120" customFormat="true" ht="11.25" hidden="false" customHeight="true" outlineLevel="0" collapsed="false">
      <c r="A235" s="598"/>
      <c r="B235" s="47"/>
      <c r="C235" s="47"/>
      <c r="N235" s="45"/>
      <c r="O235" s="47"/>
      <c r="P235" s="47"/>
      <c r="Q235" s="45"/>
      <c r="R235" s="45"/>
      <c r="S235" s="45"/>
      <c r="T235" s="45"/>
      <c r="U235" s="47"/>
      <c r="V235" s="45"/>
      <c r="W235" s="45"/>
      <c r="X235" s="599"/>
      <c r="Y235" s="45"/>
      <c r="Z235" s="45"/>
      <c r="AA235" s="45"/>
      <c r="AB235" s="45"/>
      <c r="AC235" s="45"/>
      <c r="AD235" s="45"/>
      <c r="AE235" s="47"/>
      <c r="AF235" s="47"/>
      <c r="AG235" s="47"/>
      <c r="AH235" s="47"/>
      <c r="AI235" s="120" t="n">
        <v>11</v>
      </c>
    </row>
    <row r="236" s="120" customFormat="true" ht="11.25" hidden="false" customHeight="true" outlineLevel="0" collapsed="false">
      <c r="A236" s="598"/>
      <c r="B236" s="47"/>
      <c r="C236" s="47"/>
      <c r="N236" s="45"/>
      <c r="O236" s="47"/>
      <c r="P236" s="47"/>
      <c r="Q236" s="45"/>
      <c r="R236" s="45"/>
      <c r="S236" s="45"/>
      <c r="T236" s="45"/>
      <c r="U236" s="47"/>
      <c r="V236" s="45"/>
      <c r="W236" s="45"/>
      <c r="X236" s="599"/>
      <c r="Y236" s="45"/>
      <c r="Z236" s="45"/>
      <c r="AA236" s="45"/>
      <c r="AB236" s="45"/>
      <c r="AC236" s="45"/>
      <c r="AD236" s="45"/>
      <c r="AE236" s="47"/>
      <c r="AF236" s="47"/>
      <c r="AG236" s="47"/>
      <c r="AH236" s="47"/>
      <c r="AI236" s="120" t="n">
        <v>11</v>
      </c>
    </row>
    <row r="237" s="120" customFormat="true" ht="11.25" hidden="false" customHeight="true" outlineLevel="0" collapsed="false">
      <c r="A237" s="598"/>
      <c r="B237" s="47"/>
      <c r="C237" s="47"/>
      <c r="N237" s="45"/>
      <c r="O237" s="47"/>
      <c r="P237" s="47"/>
      <c r="Q237" s="45"/>
      <c r="R237" s="45"/>
      <c r="S237" s="45"/>
      <c r="T237" s="45"/>
      <c r="U237" s="47"/>
      <c r="V237" s="45"/>
      <c r="W237" s="45"/>
      <c r="X237" s="599"/>
      <c r="Y237" s="45"/>
      <c r="Z237" s="45"/>
      <c r="AA237" s="45"/>
      <c r="AB237" s="45"/>
      <c r="AC237" s="45"/>
      <c r="AD237" s="45"/>
      <c r="AE237" s="47"/>
      <c r="AF237" s="47"/>
      <c r="AG237" s="47"/>
      <c r="AH237" s="47"/>
      <c r="AI237" s="120" t="n">
        <v>11</v>
      </c>
    </row>
    <row r="238" s="120" customFormat="true" ht="11.25" hidden="false" customHeight="true" outlineLevel="0" collapsed="false">
      <c r="A238" s="598"/>
      <c r="B238" s="47"/>
      <c r="C238" s="47"/>
      <c r="N238" s="45"/>
      <c r="O238" s="47"/>
      <c r="P238" s="47"/>
      <c r="Q238" s="45"/>
      <c r="R238" s="45"/>
      <c r="S238" s="45"/>
      <c r="T238" s="45"/>
      <c r="U238" s="47"/>
      <c r="V238" s="45"/>
      <c r="W238" s="45"/>
      <c r="X238" s="599"/>
      <c r="Y238" s="45"/>
      <c r="Z238" s="45"/>
      <c r="AA238" s="45"/>
      <c r="AB238" s="45"/>
      <c r="AC238" s="45"/>
      <c r="AD238" s="45"/>
      <c r="AE238" s="47"/>
      <c r="AF238" s="47"/>
      <c r="AG238" s="47"/>
      <c r="AH238" s="47"/>
      <c r="AI238" s="120" t="n">
        <v>11</v>
      </c>
    </row>
    <row r="239" s="120" customFormat="true" ht="11.25" hidden="false" customHeight="true" outlineLevel="0" collapsed="false">
      <c r="A239" s="598"/>
      <c r="B239" s="47"/>
      <c r="C239" s="47"/>
      <c r="N239" s="45"/>
      <c r="O239" s="47"/>
      <c r="P239" s="47"/>
      <c r="Q239" s="45"/>
      <c r="R239" s="45"/>
      <c r="S239" s="45"/>
      <c r="T239" s="45"/>
      <c r="U239" s="47"/>
      <c r="V239" s="45"/>
      <c r="W239" s="45"/>
      <c r="X239" s="599"/>
      <c r="Y239" s="45"/>
      <c r="Z239" s="45"/>
      <c r="AA239" s="45"/>
      <c r="AB239" s="45"/>
      <c r="AC239" s="45"/>
      <c r="AD239" s="45"/>
      <c r="AE239" s="47"/>
      <c r="AF239" s="47"/>
      <c r="AG239" s="47"/>
      <c r="AH239" s="47"/>
      <c r="AI239" s="120" t="n">
        <v>11</v>
      </c>
    </row>
    <row r="240" s="120" customFormat="true" ht="11.25" hidden="false" customHeight="true" outlineLevel="0" collapsed="false">
      <c r="A240" s="598"/>
      <c r="B240" s="47"/>
      <c r="C240" s="47"/>
      <c r="N240" s="45"/>
      <c r="O240" s="47"/>
      <c r="P240" s="47"/>
      <c r="Q240" s="45"/>
      <c r="R240" s="45"/>
      <c r="S240" s="45"/>
      <c r="T240" s="45"/>
      <c r="U240" s="47"/>
      <c r="V240" s="45"/>
      <c r="W240" s="45"/>
      <c r="X240" s="599"/>
      <c r="Y240" s="45"/>
      <c r="Z240" s="45"/>
      <c r="AA240" s="45"/>
      <c r="AB240" s="45"/>
      <c r="AC240" s="45"/>
      <c r="AD240" s="45"/>
      <c r="AE240" s="47"/>
      <c r="AF240" s="47"/>
      <c r="AG240" s="47"/>
      <c r="AH240" s="47"/>
      <c r="AI240" s="120" t="n">
        <v>11</v>
      </c>
    </row>
    <row r="241" s="120" customFormat="true" ht="11.25" hidden="false" customHeight="true" outlineLevel="0" collapsed="false">
      <c r="A241" s="598"/>
      <c r="B241" s="47"/>
      <c r="C241" s="47"/>
      <c r="N241" s="45"/>
      <c r="O241" s="47"/>
      <c r="P241" s="47"/>
      <c r="Q241" s="45"/>
      <c r="R241" s="45"/>
      <c r="S241" s="45"/>
      <c r="T241" s="45"/>
      <c r="U241" s="47"/>
      <c r="V241" s="45"/>
      <c r="W241" s="45"/>
      <c r="X241" s="599"/>
      <c r="Y241" s="45"/>
      <c r="Z241" s="45"/>
      <c r="AA241" s="45"/>
      <c r="AB241" s="45"/>
      <c r="AC241" s="45"/>
      <c r="AD241" s="45"/>
      <c r="AE241" s="47"/>
      <c r="AF241" s="47"/>
      <c r="AG241" s="47"/>
      <c r="AH241" s="47"/>
      <c r="AI241" s="120" t="n">
        <v>11</v>
      </c>
    </row>
    <row r="242" s="120" customFormat="true" ht="11.25" hidden="false" customHeight="true" outlineLevel="0" collapsed="false">
      <c r="A242" s="598"/>
      <c r="B242" s="47"/>
      <c r="C242" s="47"/>
      <c r="N242" s="45"/>
      <c r="O242" s="47"/>
      <c r="P242" s="47"/>
      <c r="Q242" s="45"/>
      <c r="R242" s="45"/>
      <c r="S242" s="45"/>
      <c r="T242" s="45"/>
      <c r="U242" s="47"/>
      <c r="V242" s="45"/>
      <c r="W242" s="45"/>
      <c r="X242" s="599"/>
      <c r="Y242" s="45"/>
      <c r="Z242" s="45"/>
      <c r="AA242" s="45"/>
      <c r="AB242" s="45"/>
      <c r="AC242" s="45"/>
      <c r="AD242" s="45"/>
      <c r="AE242" s="47"/>
      <c r="AF242" s="47"/>
      <c r="AG242" s="47"/>
      <c r="AH242" s="47"/>
      <c r="AI242" s="120" t="n">
        <v>11</v>
      </c>
    </row>
    <row r="243" s="120" customFormat="true" ht="11.25" hidden="false" customHeight="true" outlineLevel="0" collapsed="false">
      <c r="A243" s="598"/>
      <c r="B243" s="47"/>
      <c r="C243" s="47"/>
      <c r="N243" s="45"/>
      <c r="O243" s="47"/>
      <c r="P243" s="47"/>
      <c r="Q243" s="45"/>
      <c r="R243" s="45"/>
      <c r="S243" s="45"/>
      <c r="T243" s="45"/>
      <c r="U243" s="47"/>
      <c r="V243" s="45"/>
      <c r="W243" s="45"/>
      <c r="X243" s="599"/>
      <c r="Y243" s="45"/>
      <c r="Z243" s="45"/>
      <c r="AA243" s="45"/>
      <c r="AB243" s="45"/>
      <c r="AC243" s="45"/>
      <c r="AD243" s="45"/>
      <c r="AE243" s="47"/>
      <c r="AF243" s="47"/>
      <c r="AG243" s="47"/>
      <c r="AH243" s="47"/>
      <c r="AI243" s="120" t="n">
        <v>11</v>
      </c>
    </row>
    <row r="244" s="120" customFormat="true" ht="11.25" hidden="false" customHeight="true" outlineLevel="0" collapsed="false">
      <c r="A244" s="598"/>
      <c r="B244" s="47"/>
      <c r="C244" s="47"/>
      <c r="N244" s="45"/>
      <c r="O244" s="47"/>
      <c r="P244" s="47"/>
      <c r="Q244" s="45"/>
      <c r="R244" s="45"/>
      <c r="S244" s="45"/>
      <c r="T244" s="45"/>
      <c r="U244" s="47"/>
      <c r="V244" s="45"/>
      <c r="W244" s="45"/>
      <c r="X244" s="599"/>
      <c r="Y244" s="45"/>
      <c r="Z244" s="45"/>
      <c r="AA244" s="45"/>
      <c r="AB244" s="45"/>
      <c r="AC244" s="45"/>
      <c r="AD244" s="45"/>
      <c r="AE244" s="47"/>
      <c r="AF244" s="47"/>
      <c r="AG244" s="47"/>
      <c r="AH244" s="47"/>
      <c r="AI244" s="120" t="n">
        <v>11</v>
      </c>
    </row>
    <row r="245" s="120" customFormat="true" ht="11.25" hidden="false" customHeight="true" outlineLevel="0" collapsed="false">
      <c r="A245" s="598"/>
      <c r="B245" s="47"/>
      <c r="C245" s="47"/>
      <c r="N245" s="45"/>
      <c r="O245" s="47"/>
      <c r="P245" s="47"/>
      <c r="Q245" s="45"/>
      <c r="R245" s="45"/>
      <c r="S245" s="45"/>
      <c r="T245" s="45"/>
      <c r="U245" s="47"/>
      <c r="V245" s="45"/>
      <c r="W245" s="45"/>
      <c r="X245" s="599"/>
      <c r="Y245" s="45"/>
      <c r="Z245" s="45"/>
      <c r="AA245" s="45"/>
      <c r="AB245" s="45"/>
      <c r="AC245" s="45"/>
      <c r="AD245" s="45"/>
      <c r="AE245" s="47"/>
      <c r="AF245" s="47"/>
      <c r="AG245" s="47"/>
      <c r="AH245" s="47"/>
      <c r="AI245" s="120" t="n">
        <v>11</v>
      </c>
    </row>
    <row r="246" s="120" customFormat="true" ht="11.25" hidden="false" customHeight="true" outlineLevel="0" collapsed="false">
      <c r="A246" s="598"/>
      <c r="B246" s="47"/>
      <c r="C246" s="47"/>
      <c r="N246" s="45"/>
      <c r="O246" s="47"/>
      <c r="P246" s="47"/>
      <c r="Q246" s="45"/>
      <c r="R246" s="45"/>
      <c r="S246" s="45"/>
      <c r="T246" s="45"/>
      <c r="U246" s="47"/>
      <c r="V246" s="45"/>
      <c r="W246" s="45"/>
      <c r="X246" s="599"/>
      <c r="Y246" s="45"/>
      <c r="Z246" s="45"/>
      <c r="AA246" s="45"/>
      <c r="AB246" s="45"/>
      <c r="AC246" s="45"/>
      <c r="AD246" s="45"/>
      <c r="AE246" s="47"/>
      <c r="AF246" s="47"/>
      <c r="AG246" s="47"/>
      <c r="AH246" s="47"/>
      <c r="AI246" s="120" t="n">
        <v>11</v>
      </c>
    </row>
    <row r="247" s="120" customFormat="true" ht="11.25" hidden="false" customHeight="true" outlineLevel="0" collapsed="false">
      <c r="A247" s="598"/>
      <c r="B247" s="47"/>
      <c r="C247" s="47"/>
      <c r="N247" s="45"/>
      <c r="O247" s="47"/>
      <c r="P247" s="47"/>
      <c r="Q247" s="45"/>
      <c r="R247" s="45"/>
      <c r="S247" s="45"/>
      <c r="T247" s="45"/>
      <c r="U247" s="47"/>
      <c r="V247" s="45"/>
      <c r="W247" s="45"/>
      <c r="X247" s="599"/>
      <c r="Y247" s="45"/>
      <c r="Z247" s="45"/>
      <c r="AA247" s="45"/>
      <c r="AB247" s="45"/>
      <c r="AC247" s="45"/>
      <c r="AD247" s="45"/>
      <c r="AE247" s="47"/>
      <c r="AF247" s="47"/>
      <c r="AG247" s="47"/>
      <c r="AH247" s="47"/>
      <c r="AI247" s="120" t="n">
        <v>11</v>
      </c>
    </row>
    <row r="248" s="120" customFormat="true" ht="11.25" hidden="false" customHeight="true" outlineLevel="0" collapsed="false">
      <c r="A248" s="598"/>
      <c r="B248" s="47"/>
      <c r="C248" s="47"/>
      <c r="N248" s="45"/>
      <c r="O248" s="47"/>
      <c r="P248" s="47"/>
      <c r="Q248" s="45"/>
      <c r="R248" s="45"/>
      <c r="S248" s="45"/>
      <c r="T248" s="45"/>
      <c r="U248" s="47"/>
      <c r="V248" s="45"/>
      <c r="W248" s="45"/>
      <c r="X248" s="599"/>
      <c r="Y248" s="45"/>
      <c r="Z248" s="45"/>
      <c r="AA248" s="45"/>
      <c r="AB248" s="45"/>
      <c r="AC248" s="45"/>
      <c r="AD248" s="45"/>
      <c r="AE248" s="47"/>
      <c r="AF248" s="47"/>
      <c r="AG248" s="47"/>
      <c r="AH248" s="47"/>
      <c r="AI248" s="120" t="n">
        <v>11</v>
      </c>
    </row>
    <row r="249" s="120" customFormat="true" ht="11.25" hidden="false" customHeight="true" outlineLevel="0" collapsed="false">
      <c r="A249" s="598"/>
      <c r="B249" s="47"/>
      <c r="C249" s="47"/>
      <c r="N249" s="45"/>
      <c r="O249" s="47"/>
      <c r="P249" s="47"/>
      <c r="Q249" s="45"/>
      <c r="R249" s="45"/>
      <c r="S249" s="45"/>
      <c r="T249" s="45"/>
      <c r="U249" s="47"/>
      <c r="V249" s="45"/>
      <c r="W249" s="45"/>
      <c r="X249" s="599"/>
      <c r="Y249" s="45"/>
      <c r="Z249" s="45"/>
      <c r="AA249" s="45"/>
      <c r="AB249" s="45"/>
      <c r="AC249" s="45"/>
      <c r="AD249" s="45"/>
      <c r="AE249" s="47"/>
      <c r="AF249" s="47"/>
      <c r="AG249" s="47"/>
      <c r="AH249" s="47"/>
      <c r="AI249" s="120" t="n">
        <v>11</v>
      </c>
    </row>
    <row r="250" s="120" customFormat="true" ht="11.25" hidden="false" customHeight="true" outlineLevel="0" collapsed="false">
      <c r="A250" s="598"/>
      <c r="B250" s="47"/>
      <c r="C250" s="47"/>
      <c r="N250" s="45"/>
      <c r="O250" s="47"/>
      <c r="P250" s="47"/>
      <c r="Q250" s="45"/>
      <c r="R250" s="45"/>
      <c r="S250" s="45"/>
      <c r="T250" s="45"/>
      <c r="U250" s="47"/>
      <c r="V250" s="45"/>
      <c r="W250" s="45"/>
      <c r="X250" s="599"/>
      <c r="Y250" s="45"/>
      <c r="Z250" s="45"/>
      <c r="AA250" s="45"/>
      <c r="AB250" s="45"/>
      <c r="AC250" s="45"/>
      <c r="AD250" s="45"/>
      <c r="AE250" s="47"/>
      <c r="AF250" s="47"/>
      <c r="AG250" s="47"/>
      <c r="AH250" s="47"/>
      <c r="AI250" s="120" t="n">
        <v>11</v>
      </c>
    </row>
    <row r="251" s="120" customFormat="true" ht="11.25" hidden="false" customHeight="true" outlineLevel="0" collapsed="false">
      <c r="A251" s="598"/>
      <c r="B251" s="47"/>
      <c r="C251" s="47"/>
      <c r="N251" s="45"/>
      <c r="O251" s="47"/>
      <c r="P251" s="47"/>
      <c r="Q251" s="45"/>
      <c r="R251" s="45"/>
      <c r="S251" s="45"/>
      <c r="T251" s="45"/>
      <c r="U251" s="47"/>
      <c r="V251" s="45"/>
      <c r="W251" s="45"/>
      <c r="X251" s="599"/>
      <c r="Y251" s="45"/>
      <c r="Z251" s="45"/>
      <c r="AA251" s="45"/>
      <c r="AB251" s="45"/>
      <c r="AC251" s="45"/>
      <c r="AD251" s="45"/>
      <c r="AE251" s="47"/>
      <c r="AF251" s="47"/>
      <c r="AG251" s="47"/>
      <c r="AH251" s="47"/>
      <c r="AI251" s="120" t="n">
        <v>11</v>
      </c>
    </row>
    <row r="252" s="120" customFormat="true" ht="11.25" hidden="false" customHeight="true" outlineLevel="0" collapsed="false">
      <c r="A252" s="598"/>
      <c r="B252" s="47"/>
      <c r="C252" s="47"/>
      <c r="N252" s="45"/>
      <c r="O252" s="47"/>
      <c r="P252" s="47"/>
      <c r="Q252" s="45"/>
      <c r="R252" s="45"/>
      <c r="S252" s="45"/>
      <c r="T252" s="45"/>
      <c r="U252" s="47"/>
      <c r="V252" s="45"/>
      <c r="W252" s="45"/>
      <c r="X252" s="599"/>
      <c r="Y252" s="45"/>
      <c r="Z252" s="45"/>
      <c r="AA252" s="45"/>
      <c r="AB252" s="45"/>
      <c r="AC252" s="45"/>
      <c r="AD252" s="45"/>
      <c r="AE252" s="47"/>
      <c r="AF252" s="47"/>
      <c r="AG252" s="47"/>
      <c r="AH252" s="47"/>
      <c r="AI252" s="120" t="n">
        <v>11</v>
      </c>
    </row>
    <row r="253" s="120" customFormat="true" ht="11.25" hidden="false" customHeight="true" outlineLevel="0" collapsed="false">
      <c r="A253" s="598"/>
      <c r="B253" s="47"/>
      <c r="C253" s="47"/>
      <c r="N253" s="45"/>
      <c r="O253" s="47"/>
      <c r="P253" s="47"/>
      <c r="Q253" s="45"/>
      <c r="R253" s="45"/>
      <c r="S253" s="45"/>
      <c r="T253" s="45"/>
      <c r="U253" s="47"/>
      <c r="V253" s="45"/>
      <c r="W253" s="45"/>
      <c r="X253" s="599"/>
      <c r="Y253" s="45"/>
      <c r="Z253" s="45"/>
      <c r="AA253" s="45"/>
      <c r="AB253" s="45"/>
      <c r="AC253" s="45"/>
      <c r="AD253" s="45"/>
      <c r="AE253" s="47"/>
      <c r="AF253" s="47"/>
      <c r="AG253" s="47"/>
      <c r="AH253" s="47"/>
      <c r="AI253" s="120" t="n">
        <v>11</v>
      </c>
    </row>
    <row r="254" s="120" customFormat="true" ht="11.25" hidden="false" customHeight="true" outlineLevel="0" collapsed="false">
      <c r="A254" s="598"/>
      <c r="B254" s="47"/>
      <c r="C254" s="47"/>
      <c r="N254" s="45"/>
      <c r="O254" s="47"/>
      <c r="P254" s="47"/>
      <c r="Q254" s="45"/>
      <c r="R254" s="45"/>
      <c r="S254" s="45"/>
      <c r="T254" s="45"/>
      <c r="U254" s="47"/>
      <c r="V254" s="45"/>
      <c r="W254" s="45"/>
      <c r="X254" s="599"/>
      <c r="Y254" s="45"/>
      <c r="Z254" s="45"/>
      <c r="AA254" s="45"/>
      <c r="AB254" s="45"/>
      <c r="AC254" s="45"/>
      <c r="AD254" s="45"/>
      <c r="AE254" s="47"/>
      <c r="AF254" s="47"/>
      <c r="AG254" s="47"/>
      <c r="AH254" s="47"/>
      <c r="AI254" s="120" t="n">
        <v>11</v>
      </c>
    </row>
    <row r="255" s="120" customFormat="true" ht="11.25" hidden="false" customHeight="true" outlineLevel="0" collapsed="false">
      <c r="A255" s="598"/>
      <c r="B255" s="47"/>
      <c r="C255" s="47"/>
      <c r="N255" s="45"/>
      <c r="O255" s="47"/>
      <c r="P255" s="47"/>
      <c r="Q255" s="45"/>
      <c r="R255" s="45"/>
      <c r="S255" s="45"/>
      <c r="T255" s="45"/>
      <c r="U255" s="47"/>
      <c r="V255" s="45"/>
      <c r="W255" s="45"/>
      <c r="X255" s="599"/>
      <c r="Y255" s="45"/>
      <c r="Z255" s="45"/>
      <c r="AA255" s="45"/>
      <c r="AB255" s="45"/>
      <c r="AC255" s="45"/>
      <c r="AD255" s="45"/>
      <c r="AE255" s="47"/>
      <c r="AF255" s="47"/>
      <c r="AG255" s="47"/>
      <c r="AH255" s="47"/>
      <c r="AI255" s="120" t="n">
        <v>11</v>
      </c>
    </row>
    <row r="256" s="120" customFormat="true" ht="11.25" hidden="false" customHeight="true" outlineLevel="0" collapsed="false">
      <c r="A256" s="598"/>
      <c r="B256" s="47"/>
      <c r="C256" s="47"/>
      <c r="N256" s="45"/>
      <c r="O256" s="47"/>
      <c r="P256" s="47"/>
      <c r="Q256" s="45"/>
      <c r="R256" s="45"/>
      <c r="S256" s="45"/>
      <c r="T256" s="45"/>
      <c r="U256" s="47"/>
      <c r="V256" s="45"/>
      <c r="W256" s="45"/>
      <c r="X256" s="599"/>
      <c r="Y256" s="45"/>
      <c r="Z256" s="45"/>
      <c r="AA256" s="45"/>
      <c r="AB256" s="45"/>
      <c r="AC256" s="45"/>
      <c r="AD256" s="45"/>
      <c r="AE256" s="47"/>
      <c r="AF256" s="47"/>
      <c r="AG256" s="47"/>
      <c r="AH256" s="47"/>
      <c r="AI256" s="120" t="n">
        <v>11</v>
      </c>
    </row>
    <row r="257" s="120" customFormat="true" ht="11.25" hidden="false" customHeight="true" outlineLevel="0" collapsed="false">
      <c r="A257" s="598"/>
      <c r="B257" s="47"/>
      <c r="C257" s="47"/>
      <c r="N257" s="45"/>
      <c r="O257" s="47"/>
      <c r="P257" s="47"/>
      <c r="Q257" s="45"/>
      <c r="R257" s="45"/>
      <c r="S257" s="45"/>
      <c r="T257" s="45"/>
      <c r="U257" s="47"/>
      <c r="V257" s="45"/>
      <c r="W257" s="45"/>
      <c r="X257" s="599"/>
      <c r="Y257" s="45"/>
      <c r="Z257" s="45"/>
      <c r="AA257" s="45"/>
      <c r="AB257" s="45"/>
      <c r="AC257" s="45"/>
      <c r="AD257" s="45"/>
      <c r="AE257" s="47"/>
      <c r="AF257" s="47"/>
      <c r="AG257" s="47"/>
      <c r="AH257" s="47"/>
      <c r="AI257" s="120" t="n">
        <v>11</v>
      </c>
    </row>
    <row r="258" s="120" customFormat="true" ht="11.25" hidden="false" customHeight="true" outlineLevel="0" collapsed="false">
      <c r="A258" s="598"/>
      <c r="B258" s="47"/>
      <c r="C258" s="47"/>
      <c r="N258" s="45"/>
      <c r="O258" s="47"/>
      <c r="P258" s="47"/>
      <c r="Q258" s="45"/>
      <c r="R258" s="45"/>
      <c r="S258" s="45"/>
      <c r="T258" s="45"/>
      <c r="U258" s="47"/>
      <c r="V258" s="45"/>
      <c r="W258" s="45"/>
      <c r="X258" s="599"/>
      <c r="Y258" s="45"/>
      <c r="Z258" s="45"/>
      <c r="AA258" s="45"/>
      <c r="AB258" s="45"/>
      <c r="AC258" s="45"/>
      <c r="AD258" s="45"/>
      <c r="AE258" s="47"/>
      <c r="AF258" s="47"/>
      <c r="AG258" s="47"/>
      <c r="AH258" s="47"/>
      <c r="AI258" s="120" t="n">
        <v>11</v>
      </c>
    </row>
    <row r="259" s="120" customFormat="true" ht="11.25" hidden="false" customHeight="true" outlineLevel="0" collapsed="false">
      <c r="A259" s="598"/>
      <c r="B259" s="47"/>
      <c r="C259" s="47"/>
      <c r="N259" s="45"/>
      <c r="O259" s="47"/>
      <c r="P259" s="47"/>
      <c r="Q259" s="45"/>
      <c r="R259" s="45"/>
      <c r="S259" s="45"/>
      <c r="T259" s="45"/>
      <c r="U259" s="47"/>
      <c r="V259" s="45"/>
      <c r="W259" s="45"/>
      <c r="X259" s="599"/>
      <c r="Y259" s="45"/>
      <c r="Z259" s="45"/>
      <c r="AA259" s="45"/>
      <c r="AB259" s="45"/>
      <c r="AC259" s="45"/>
      <c r="AD259" s="45"/>
      <c r="AE259" s="47"/>
      <c r="AF259" s="47"/>
      <c r="AG259" s="47"/>
      <c r="AH259" s="47"/>
      <c r="AI259" s="120" t="n">
        <v>11</v>
      </c>
    </row>
    <row r="260" s="120" customFormat="true" ht="11.25" hidden="false" customHeight="true" outlineLevel="0" collapsed="false">
      <c r="A260" s="598"/>
      <c r="B260" s="47"/>
      <c r="C260" s="47"/>
      <c r="N260" s="45"/>
      <c r="O260" s="47"/>
      <c r="P260" s="47"/>
      <c r="Q260" s="45"/>
      <c r="R260" s="45"/>
      <c r="S260" s="45"/>
      <c r="T260" s="45"/>
      <c r="U260" s="47"/>
      <c r="V260" s="45"/>
      <c r="W260" s="45"/>
      <c r="X260" s="599"/>
      <c r="Y260" s="45"/>
      <c r="Z260" s="45"/>
      <c r="AA260" s="45"/>
      <c r="AB260" s="45"/>
      <c r="AC260" s="45"/>
      <c r="AD260" s="45"/>
      <c r="AE260" s="47"/>
      <c r="AF260" s="47"/>
      <c r="AG260" s="47"/>
      <c r="AH260" s="47"/>
      <c r="AI260" s="120" t="n">
        <v>11</v>
      </c>
    </row>
    <row r="261" s="120" customFormat="true" ht="11.25" hidden="false" customHeight="true" outlineLevel="0" collapsed="false">
      <c r="A261" s="598"/>
      <c r="B261" s="47"/>
      <c r="C261" s="47"/>
      <c r="N261" s="45"/>
      <c r="O261" s="47"/>
      <c r="P261" s="47"/>
      <c r="Q261" s="45"/>
      <c r="R261" s="45"/>
      <c r="S261" s="45"/>
      <c r="T261" s="45"/>
      <c r="U261" s="47"/>
      <c r="V261" s="45"/>
      <c r="W261" s="45"/>
      <c r="X261" s="599"/>
      <c r="Y261" s="45"/>
      <c r="Z261" s="45"/>
      <c r="AA261" s="45"/>
      <c r="AB261" s="45"/>
      <c r="AC261" s="45"/>
      <c r="AD261" s="45"/>
      <c r="AE261" s="47"/>
      <c r="AF261" s="47"/>
      <c r="AG261" s="47"/>
      <c r="AH261" s="47"/>
      <c r="AI261" s="120" t="n">
        <v>11</v>
      </c>
    </row>
    <row r="262" s="120" customFormat="true" ht="11.25" hidden="false" customHeight="true" outlineLevel="0" collapsed="false">
      <c r="A262" s="598"/>
      <c r="B262" s="47"/>
      <c r="C262" s="47"/>
      <c r="N262" s="45"/>
      <c r="O262" s="47"/>
      <c r="P262" s="47"/>
      <c r="Q262" s="45"/>
      <c r="R262" s="45"/>
      <c r="S262" s="45"/>
      <c r="T262" s="45"/>
      <c r="U262" s="47"/>
      <c r="V262" s="45"/>
      <c r="W262" s="45"/>
      <c r="X262" s="599"/>
      <c r="Y262" s="45"/>
      <c r="Z262" s="45"/>
      <c r="AA262" s="45"/>
      <c r="AB262" s="45"/>
      <c r="AC262" s="45"/>
      <c r="AD262" s="45"/>
      <c r="AE262" s="47"/>
      <c r="AF262" s="47"/>
      <c r="AG262" s="47"/>
      <c r="AH262" s="47"/>
      <c r="AI262" s="120" t="n">
        <v>11</v>
      </c>
    </row>
    <row r="263" s="120" customFormat="true" ht="11.25" hidden="false" customHeight="true" outlineLevel="0" collapsed="false">
      <c r="A263" s="598"/>
      <c r="B263" s="47"/>
      <c r="C263" s="47"/>
      <c r="N263" s="45"/>
      <c r="O263" s="47"/>
      <c r="P263" s="47"/>
      <c r="Q263" s="45"/>
      <c r="R263" s="45"/>
      <c r="S263" s="45"/>
      <c r="T263" s="45"/>
      <c r="U263" s="47"/>
      <c r="V263" s="45"/>
      <c r="W263" s="45"/>
      <c r="X263" s="599"/>
      <c r="Y263" s="45"/>
      <c r="Z263" s="45"/>
      <c r="AA263" s="45"/>
      <c r="AB263" s="45"/>
      <c r="AC263" s="45"/>
      <c r="AD263" s="45"/>
      <c r="AE263" s="47"/>
      <c r="AF263" s="47"/>
      <c r="AG263" s="47"/>
      <c r="AH263" s="47"/>
      <c r="AI263" s="120" t="n">
        <v>11</v>
      </c>
    </row>
    <row r="264" s="120" customFormat="true" ht="11.25" hidden="false" customHeight="true" outlineLevel="0" collapsed="false">
      <c r="A264" s="598"/>
      <c r="B264" s="47"/>
      <c r="C264" s="47"/>
      <c r="N264" s="45"/>
      <c r="O264" s="47"/>
      <c r="P264" s="47"/>
      <c r="Q264" s="45"/>
      <c r="R264" s="45"/>
      <c r="S264" s="45"/>
      <c r="T264" s="45"/>
      <c r="U264" s="47"/>
      <c r="V264" s="45"/>
      <c r="W264" s="45"/>
      <c r="X264" s="599"/>
      <c r="Y264" s="45"/>
      <c r="Z264" s="45"/>
      <c r="AA264" s="45"/>
      <c r="AB264" s="45"/>
      <c r="AC264" s="45"/>
      <c r="AD264" s="45"/>
      <c r="AE264" s="47"/>
      <c r="AF264" s="47"/>
      <c r="AG264" s="47"/>
      <c r="AH264" s="47"/>
      <c r="AI264" s="120" t="n">
        <v>11</v>
      </c>
    </row>
    <row r="265" s="120" customFormat="true" ht="11.25" hidden="false" customHeight="true" outlineLevel="0" collapsed="false">
      <c r="A265" s="598"/>
      <c r="B265" s="47"/>
      <c r="C265" s="47"/>
      <c r="N265" s="45"/>
      <c r="O265" s="47"/>
      <c r="P265" s="47"/>
      <c r="Q265" s="45"/>
      <c r="R265" s="45"/>
      <c r="S265" s="45"/>
      <c r="T265" s="45"/>
      <c r="U265" s="47"/>
      <c r="V265" s="45"/>
      <c r="W265" s="45"/>
      <c r="X265" s="599"/>
      <c r="Y265" s="45"/>
      <c r="Z265" s="45"/>
      <c r="AA265" s="45"/>
      <c r="AB265" s="45"/>
      <c r="AC265" s="45"/>
      <c r="AD265" s="45"/>
      <c r="AE265" s="47"/>
      <c r="AF265" s="47"/>
      <c r="AG265" s="47"/>
      <c r="AH265" s="47"/>
      <c r="AI265" s="120" t="n">
        <v>11</v>
      </c>
    </row>
    <row r="266" s="120" customFormat="true" ht="11.25" hidden="false" customHeight="true" outlineLevel="0" collapsed="false">
      <c r="A266" s="598"/>
      <c r="B266" s="47"/>
      <c r="C266" s="47"/>
      <c r="N266" s="45"/>
      <c r="O266" s="47"/>
      <c r="P266" s="47"/>
      <c r="Q266" s="45"/>
      <c r="R266" s="45"/>
      <c r="S266" s="45"/>
      <c r="T266" s="45"/>
      <c r="U266" s="47"/>
      <c r="V266" s="45"/>
      <c r="W266" s="45"/>
      <c r="X266" s="599"/>
      <c r="Y266" s="45"/>
      <c r="Z266" s="45"/>
      <c r="AA266" s="45"/>
      <c r="AB266" s="45"/>
      <c r="AC266" s="45"/>
      <c r="AD266" s="45"/>
      <c r="AE266" s="47"/>
      <c r="AF266" s="47"/>
      <c r="AG266" s="47"/>
      <c r="AH266" s="47"/>
      <c r="AI266" s="120" t="n">
        <v>11</v>
      </c>
    </row>
    <row r="267" s="120" customFormat="true" ht="11.25" hidden="false" customHeight="true" outlineLevel="0" collapsed="false">
      <c r="A267" s="598"/>
      <c r="B267" s="47"/>
      <c r="C267" s="47"/>
      <c r="N267" s="45"/>
      <c r="O267" s="47"/>
      <c r="P267" s="47"/>
      <c r="Q267" s="45"/>
      <c r="R267" s="45"/>
      <c r="S267" s="45"/>
      <c r="T267" s="45"/>
      <c r="U267" s="47"/>
      <c r="V267" s="45"/>
      <c r="W267" s="45"/>
      <c r="X267" s="599"/>
      <c r="Y267" s="45"/>
      <c r="Z267" s="45"/>
      <c r="AA267" s="45"/>
      <c r="AB267" s="45"/>
      <c r="AC267" s="45"/>
      <c r="AD267" s="45"/>
      <c r="AE267" s="47"/>
      <c r="AF267" s="47"/>
      <c r="AG267" s="47"/>
      <c r="AH267" s="47"/>
      <c r="AI267" s="120" t="n">
        <v>11</v>
      </c>
    </row>
    <row r="268" s="120" customFormat="true" ht="11.25" hidden="false" customHeight="true" outlineLevel="0" collapsed="false">
      <c r="A268" s="598"/>
      <c r="B268" s="47"/>
      <c r="C268" s="47"/>
      <c r="N268" s="45"/>
      <c r="O268" s="47"/>
      <c r="P268" s="47"/>
      <c r="Q268" s="45"/>
      <c r="R268" s="45"/>
      <c r="S268" s="45"/>
      <c r="T268" s="45"/>
      <c r="U268" s="47"/>
      <c r="V268" s="45"/>
      <c r="W268" s="45"/>
      <c r="X268" s="599"/>
      <c r="Y268" s="45"/>
      <c r="Z268" s="45"/>
      <c r="AA268" s="45"/>
      <c r="AB268" s="45"/>
      <c r="AC268" s="45"/>
      <c r="AD268" s="45"/>
      <c r="AE268" s="47"/>
      <c r="AF268" s="47"/>
      <c r="AG268" s="47"/>
      <c r="AH268" s="47"/>
      <c r="AI268" s="120" t="n">
        <v>11</v>
      </c>
    </row>
    <row r="269" s="120" customFormat="true" ht="11.25" hidden="false" customHeight="true" outlineLevel="0" collapsed="false">
      <c r="A269" s="598"/>
      <c r="B269" s="47"/>
      <c r="C269" s="47"/>
      <c r="N269" s="45"/>
      <c r="O269" s="47"/>
      <c r="P269" s="47"/>
      <c r="Q269" s="45"/>
      <c r="R269" s="45"/>
      <c r="S269" s="45"/>
      <c r="T269" s="45"/>
      <c r="U269" s="47"/>
      <c r="V269" s="45"/>
      <c r="W269" s="45"/>
      <c r="X269" s="599"/>
      <c r="Y269" s="45"/>
      <c r="Z269" s="45"/>
      <c r="AA269" s="45"/>
      <c r="AB269" s="45"/>
      <c r="AC269" s="45"/>
      <c r="AD269" s="45"/>
      <c r="AE269" s="47"/>
      <c r="AF269" s="47"/>
      <c r="AG269" s="47"/>
      <c r="AH269" s="47"/>
      <c r="AI269" s="120" t="n">
        <v>11</v>
      </c>
    </row>
    <row r="270" s="120" customFormat="true" ht="11.25" hidden="false" customHeight="true" outlineLevel="0" collapsed="false">
      <c r="A270" s="598"/>
      <c r="B270" s="47"/>
      <c r="C270" s="47"/>
      <c r="N270" s="45"/>
      <c r="O270" s="47"/>
      <c r="P270" s="47"/>
      <c r="Q270" s="45"/>
      <c r="R270" s="45"/>
      <c r="S270" s="45"/>
      <c r="T270" s="45"/>
      <c r="U270" s="47"/>
      <c r="V270" s="45"/>
      <c r="W270" s="45"/>
      <c r="X270" s="599"/>
      <c r="Y270" s="45"/>
      <c r="Z270" s="45"/>
      <c r="AA270" s="45"/>
      <c r="AB270" s="45"/>
      <c r="AC270" s="45"/>
      <c r="AD270" s="45"/>
      <c r="AE270" s="47"/>
      <c r="AF270" s="47"/>
      <c r="AG270" s="47"/>
      <c r="AH270" s="47"/>
      <c r="AI270" s="120" t="n">
        <v>11</v>
      </c>
    </row>
    <row r="271" s="120" customFormat="true" ht="11.25" hidden="false" customHeight="true" outlineLevel="0" collapsed="false">
      <c r="A271" s="598"/>
      <c r="B271" s="47"/>
      <c r="C271" s="47"/>
      <c r="N271" s="45"/>
      <c r="O271" s="47"/>
      <c r="P271" s="47"/>
      <c r="Q271" s="45"/>
      <c r="R271" s="45"/>
      <c r="S271" s="45"/>
      <c r="T271" s="45"/>
      <c r="U271" s="47"/>
      <c r="V271" s="45"/>
      <c r="W271" s="45"/>
      <c r="X271" s="599"/>
      <c r="Y271" s="45"/>
      <c r="Z271" s="45"/>
      <c r="AA271" s="45"/>
      <c r="AB271" s="45"/>
      <c r="AC271" s="45"/>
      <c r="AD271" s="45"/>
      <c r="AE271" s="47"/>
      <c r="AF271" s="47"/>
      <c r="AG271" s="47"/>
      <c r="AH271" s="47"/>
      <c r="AI271" s="120" t="n">
        <v>11</v>
      </c>
    </row>
    <row r="272" s="120" customFormat="true" ht="11.25" hidden="false" customHeight="true" outlineLevel="0" collapsed="false">
      <c r="A272" s="598"/>
      <c r="B272" s="47"/>
      <c r="C272" s="47"/>
      <c r="N272" s="45"/>
      <c r="O272" s="47"/>
      <c r="P272" s="47"/>
      <c r="Q272" s="45"/>
      <c r="R272" s="45"/>
      <c r="S272" s="45"/>
      <c r="T272" s="45"/>
      <c r="U272" s="47"/>
      <c r="V272" s="45"/>
      <c r="W272" s="45"/>
      <c r="X272" s="599"/>
      <c r="Y272" s="45"/>
      <c r="Z272" s="45"/>
      <c r="AA272" s="45"/>
      <c r="AB272" s="45"/>
      <c r="AC272" s="45"/>
      <c r="AD272" s="45"/>
      <c r="AE272" s="47"/>
      <c r="AF272" s="47"/>
      <c r="AG272" s="47"/>
      <c r="AH272" s="47"/>
      <c r="AI272" s="120" t="n">
        <v>11</v>
      </c>
    </row>
    <row r="273" s="120" customFormat="true" ht="11.25" hidden="false" customHeight="true" outlineLevel="0" collapsed="false">
      <c r="A273" s="598"/>
      <c r="B273" s="47"/>
      <c r="C273" s="47"/>
      <c r="N273" s="45"/>
      <c r="O273" s="47"/>
      <c r="P273" s="47"/>
      <c r="Q273" s="45"/>
      <c r="R273" s="45"/>
      <c r="S273" s="45"/>
      <c r="T273" s="45"/>
      <c r="U273" s="47"/>
      <c r="V273" s="45"/>
      <c r="W273" s="45"/>
      <c r="X273" s="599"/>
      <c r="Y273" s="45"/>
      <c r="Z273" s="45"/>
      <c r="AA273" s="45"/>
      <c r="AB273" s="45"/>
      <c r="AC273" s="45"/>
      <c r="AD273" s="45"/>
      <c r="AE273" s="47"/>
      <c r="AF273" s="47"/>
      <c r="AG273" s="47"/>
      <c r="AH273" s="47"/>
      <c r="AI273" s="120" t="n">
        <v>11</v>
      </c>
    </row>
    <row r="274" s="120" customFormat="true" ht="11.25" hidden="false" customHeight="true" outlineLevel="0" collapsed="false">
      <c r="A274" s="598"/>
      <c r="B274" s="47"/>
      <c r="C274" s="47"/>
      <c r="N274" s="45"/>
      <c r="O274" s="47"/>
      <c r="P274" s="47"/>
      <c r="Q274" s="45"/>
      <c r="R274" s="45"/>
      <c r="S274" s="45"/>
      <c r="T274" s="45"/>
      <c r="U274" s="47"/>
      <c r="V274" s="45"/>
      <c r="W274" s="45"/>
      <c r="X274" s="599"/>
      <c r="Y274" s="45"/>
      <c r="Z274" s="45"/>
      <c r="AA274" s="45"/>
      <c r="AB274" s="45"/>
      <c r="AC274" s="45"/>
      <c r="AD274" s="45"/>
      <c r="AE274" s="47"/>
      <c r="AF274" s="47"/>
      <c r="AG274" s="47"/>
      <c r="AH274" s="47"/>
      <c r="AI274" s="120" t="n">
        <v>11</v>
      </c>
    </row>
    <row r="275" s="120" customFormat="true" ht="11.25" hidden="false" customHeight="true" outlineLevel="0" collapsed="false">
      <c r="A275" s="598"/>
      <c r="B275" s="47"/>
      <c r="C275" s="47"/>
      <c r="N275" s="45"/>
      <c r="O275" s="47"/>
      <c r="P275" s="47"/>
      <c r="Q275" s="45"/>
      <c r="R275" s="45"/>
      <c r="S275" s="45"/>
      <c r="T275" s="45"/>
      <c r="U275" s="47"/>
      <c r="V275" s="45"/>
      <c r="W275" s="45"/>
      <c r="X275" s="599"/>
      <c r="Y275" s="45"/>
      <c r="Z275" s="45"/>
      <c r="AA275" s="45"/>
      <c r="AB275" s="45"/>
      <c r="AC275" s="45"/>
      <c r="AD275" s="45"/>
      <c r="AE275" s="47"/>
      <c r="AF275" s="47"/>
      <c r="AG275" s="47"/>
      <c r="AH275" s="47"/>
      <c r="AI275" s="120" t="n">
        <v>11</v>
      </c>
    </row>
    <row r="276" s="120" customFormat="true" ht="11.25" hidden="false" customHeight="true" outlineLevel="0" collapsed="false">
      <c r="A276" s="598"/>
      <c r="B276" s="47"/>
      <c r="C276" s="47"/>
      <c r="N276" s="45"/>
      <c r="O276" s="47"/>
      <c r="P276" s="47"/>
      <c r="Q276" s="45"/>
      <c r="R276" s="45"/>
      <c r="S276" s="45"/>
      <c r="T276" s="45"/>
      <c r="U276" s="47"/>
      <c r="V276" s="45"/>
      <c r="W276" s="45"/>
      <c r="X276" s="599"/>
      <c r="Y276" s="45"/>
      <c r="Z276" s="45"/>
      <c r="AA276" s="45"/>
      <c r="AB276" s="45"/>
      <c r="AC276" s="45"/>
      <c r="AD276" s="45"/>
      <c r="AE276" s="47"/>
      <c r="AF276" s="47"/>
      <c r="AG276" s="47"/>
      <c r="AH276" s="47"/>
      <c r="AI276" s="120" t="n">
        <v>11</v>
      </c>
    </row>
    <row r="277" s="120" customFormat="true" ht="11.25" hidden="false" customHeight="true" outlineLevel="0" collapsed="false">
      <c r="A277" s="598"/>
      <c r="B277" s="47"/>
      <c r="C277" s="47"/>
      <c r="N277" s="45"/>
      <c r="O277" s="47"/>
      <c r="P277" s="47"/>
      <c r="Q277" s="45"/>
      <c r="R277" s="45"/>
      <c r="S277" s="45"/>
      <c r="T277" s="45"/>
      <c r="U277" s="47"/>
      <c r="V277" s="45"/>
      <c r="W277" s="45"/>
      <c r="X277" s="599"/>
      <c r="Y277" s="45"/>
      <c r="Z277" s="45"/>
      <c r="AA277" s="45"/>
      <c r="AB277" s="45"/>
      <c r="AC277" s="45"/>
      <c r="AD277" s="45"/>
      <c r="AE277" s="47"/>
      <c r="AF277" s="47"/>
      <c r="AG277" s="47"/>
      <c r="AH277" s="47"/>
      <c r="AI277" s="120" t="n">
        <v>11</v>
      </c>
    </row>
    <row r="278" s="120" customFormat="true" ht="11.25" hidden="false" customHeight="true" outlineLevel="0" collapsed="false">
      <c r="A278" s="598"/>
      <c r="B278" s="47"/>
      <c r="C278" s="47"/>
      <c r="N278" s="45"/>
      <c r="O278" s="47"/>
      <c r="P278" s="47"/>
      <c r="Q278" s="45"/>
      <c r="R278" s="45"/>
      <c r="S278" s="45"/>
      <c r="T278" s="45"/>
      <c r="U278" s="47"/>
      <c r="V278" s="45"/>
      <c r="W278" s="45"/>
      <c r="X278" s="599"/>
      <c r="Y278" s="45"/>
      <c r="Z278" s="45"/>
      <c r="AA278" s="45"/>
      <c r="AB278" s="45"/>
      <c r="AC278" s="45"/>
      <c r="AD278" s="45"/>
      <c r="AE278" s="47"/>
      <c r="AF278" s="47"/>
      <c r="AG278" s="47"/>
      <c r="AH278" s="47"/>
      <c r="AI278" s="120" t="n">
        <v>11</v>
      </c>
    </row>
    <row r="279" s="120" customFormat="true" ht="11.25" hidden="false" customHeight="true" outlineLevel="0" collapsed="false">
      <c r="A279" s="598"/>
      <c r="B279" s="47"/>
      <c r="C279" s="47"/>
      <c r="N279" s="45"/>
      <c r="O279" s="47"/>
      <c r="P279" s="47"/>
      <c r="Q279" s="45"/>
      <c r="R279" s="45"/>
      <c r="S279" s="45"/>
      <c r="T279" s="45"/>
      <c r="U279" s="47"/>
      <c r="V279" s="45"/>
      <c r="W279" s="45"/>
      <c r="X279" s="599"/>
      <c r="Y279" s="45"/>
      <c r="Z279" s="45"/>
      <c r="AA279" s="45"/>
      <c r="AB279" s="45"/>
      <c r="AC279" s="45"/>
      <c r="AD279" s="45"/>
      <c r="AE279" s="47"/>
      <c r="AF279" s="47"/>
      <c r="AG279" s="47"/>
      <c r="AH279" s="47"/>
      <c r="AI279" s="120" t="n">
        <v>11</v>
      </c>
    </row>
    <row r="280" s="120" customFormat="true" ht="11.25" hidden="false" customHeight="true" outlineLevel="0" collapsed="false">
      <c r="A280" s="598"/>
      <c r="B280" s="47"/>
      <c r="C280" s="47"/>
      <c r="N280" s="45"/>
      <c r="O280" s="47"/>
      <c r="P280" s="47"/>
      <c r="Q280" s="45"/>
      <c r="R280" s="45"/>
      <c r="S280" s="45"/>
      <c r="T280" s="45"/>
      <c r="U280" s="47"/>
      <c r="V280" s="45"/>
      <c r="W280" s="45"/>
      <c r="X280" s="599"/>
      <c r="Y280" s="45"/>
      <c r="Z280" s="45"/>
      <c r="AA280" s="45"/>
      <c r="AB280" s="45"/>
      <c r="AC280" s="45"/>
      <c r="AD280" s="45"/>
      <c r="AE280" s="47"/>
      <c r="AF280" s="47"/>
      <c r="AG280" s="47"/>
      <c r="AH280" s="47"/>
      <c r="AI280" s="120" t="n">
        <v>11</v>
      </c>
    </row>
    <row r="281" s="120" customFormat="true" ht="11.25" hidden="false" customHeight="true" outlineLevel="0" collapsed="false">
      <c r="A281" s="598"/>
      <c r="B281" s="47"/>
      <c r="C281" s="47"/>
      <c r="N281" s="45"/>
      <c r="O281" s="47"/>
      <c r="P281" s="47"/>
      <c r="Q281" s="45"/>
      <c r="R281" s="45"/>
      <c r="S281" s="45"/>
      <c r="T281" s="45"/>
      <c r="U281" s="47"/>
      <c r="V281" s="45"/>
      <c r="W281" s="45"/>
      <c r="X281" s="599"/>
      <c r="Y281" s="45"/>
      <c r="Z281" s="45"/>
      <c r="AA281" s="45"/>
      <c r="AB281" s="45"/>
      <c r="AC281" s="45"/>
      <c r="AD281" s="45"/>
      <c r="AE281" s="47"/>
      <c r="AF281" s="47"/>
      <c r="AG281" s="47"/>
      <c r="AH281" s="47"/>
      <c r="AI281" s="120" t="n">
        <v>11</v>
      </c>
    </row>
    <row r="282" s="120" customFormat="true" ht="11.25" hidden="false" customHeight="true" outlineLevel="0" collapsed="false">
      <c r="A282" s="598"/>
      <c r="B282" s="47"/>
      <c r="C282" s="47"/>
      <c r="N282" s="45"/>
      <c r="O282" s="47"/>
      <c r="P282" s="47"/>
      <c r="Q282" s="45"/>
      <c r="R282" s="45"/>
      <c r="S282" s="45"/>
      <c r="T282" s="45"/>
      <c r="U282" s="47"/>
      <c r="V282" s="45"/>
      <c r="W282" s="45"/>
      <c r="X282" s="599"/>
      <c r="Y282" s="45"/>
      <c r="Z282" s="45"/>
      <c r="AA282" s="45"/>
      <c r="AB282" s="45"/>
      <c r="AC282" s="45"/>
      <c r="AD282" s="45"/>
      <c r="AE282" s="47"/>
      <c r="AF282" s="47"/>
      <c r="AG282" s="47"/>
      <c r="AH282" s="47"/>
      <c r="AI282" s="120" t="n">
        <v>11</v>
      </c>
    </row>
    <row r="283" s="120" customFormat="true" ht="11.25" hidden="false" customHeight="true" outlineLevel="0" collapsed="false">
      <c r="A283" s="598"/>
      <c r="B283" s="47"/>
      <c r="C283" s="47"/>
      <c r="N283" s="45"/>
      <c r="O283" s="47"/>
      <c r="P283" s="47"/>
      <c r="Q283" s="45"/>
      <c r="R283" s="45"/>
      <c r="S283" s="45"/>
      <c r="T283" s="45"/>
      <c r="U283" s="47"/>
      <c r="V283" s="45"/>
      <c r="W283" s="45"/>
      <c r="X283" s="599"/>
      <c r="Y283" s="45"/>
      <c r="Z283" s="45"/>
      <c r="AA283" s="45"/>
      <c r="AB283" s="45"/>
      <c r="AC283" s="45"/>
      <c r="AD283" s="45"/>
      <c r="AE283" s="47"/>
      <c r="AF283" s="47"/>
      <c r="AG283" s="47"/>
      <c r="AH283" s="47"/>
      <c r="AI283" s="120" t="n">
        <v>11</v>
      </c>
    </row>
    <row r="284" s="120" customFormat="true" ht="11.25" hidden="false" customHeight="true" outlineLevel="0" collapsed="false">
      <c r="A284" s="598"/>
      <c r="B284" s="47"/>
      <c r="C284" s="47"/>
      <c r="N284" s="45"/>
      <c r="O284" s="47"/>
      <c r="P284" s="47"/>
      <c r="Q284" s="45"/>
      <c r="R284" s="45"/>
      <c r="S284" s="45"/>
      <c r="T284" s="45"/>
      <c r="U284" s="47"/>
      <c r="V284" s="45"/>
      <c r="W284" s="45"/>
      <c r="X284" s="599"/>
      <c r="Y284" s="45"/>
      <c r="Z284" s="45"/>
      <c r="AA284" s="45"/>
      <c r="AB284" s="45"/>
      <c r="AC284" s="45"/>
      <c r="AD284" s="45"/>
      <c r="AE284" s="47"/>
      <c r="AF284" s="47"/>
      <c r="AG284" s="47"/>
      <c r="AH284" s="47"/>
      <c r="AI284" s="120" t="n">
        <v>11</v>
      </c>
    </row>
    <row r="285" s="120" customFormat="true" ht="11.25" hidden="false" customHeight="true" outlineLevel="0" collapsed="false">
      <c r="A285" s="598"/>
      <c r="B285" s="47"/>
      <c r="C285" s="47"/>
      <c r="N285" s="45"/>
      <c r="O285" s="47"/>
      <c r="P285" s="47"/>
      <c r="Q285" s="45"/>
      <c r="R285" s="45"/>
      <c r="S285" s="45"/>
      <c r="T285" s="45"/>
      <c r="U285" s="47"/>
      <c r="V285" s="45"/>
      <c r="W285" s="45"/>
      <c r="X285" s="599"/>
      <c r="Y285" s="45"/>
      <c r="Z285" s="45"/>
      <c r="AA285" s="45"/>
      <c r="AB285" s="45"/>
      <c r="AC285" s="45"/>
      <c r="AD285" s="45"/>
      <c r="AE285" s="47"/>
      <c r="AF285" s="47"/>
      <c r="AG285" s="47"/>
      <c r="AH285" s="47"/>
      <c r="AI285" s="120" t="n">
        <v>11</v>
      </c>
    </row>
    <row r="286" s="120" customFormat="true" ht="11.25" hidden="false" customHeight="true" outlineLevel="0" collapsed="false">
      <c r="A286" s="598"/>
      <c r="B286" s="47"/>
      <c r="C286" s="47"/>
      <c r="N286" s="45"/>
      <c r="O286" s="47"/>
      <c r="P286" s="47"/>
      <c r="Q286" s="45"/>
      <c r="R286" s="45"/>
      <c r="S286" s="45"/>
      <c r="T286" s="45"/>
      <c r="U286" s="47"/>
      <c r="V286" s="45"/>
      <c r="W286" s="45"/>
      <c r="X286" s="599"/>
      <c r="Y286" s="45"/>
      <c r="Z286" s="45"/>
      <c r="AA286" s="45"/>
      <c r="AB286" s="45"/>
      <c r="AC286" s="45"/>
      <c r="AD286" s="45"/>
      <c r="AE286" s="47"/>
      <c r="AF286" s="47"/>
      <c r="AG286" s="47"/>
      <c r="AH286" s="47"/>
      <c r="AI286" s="120" t="n">
        <v>11</v>
      </c>
    </row>
    <row r="287" s="120" customFormat="true" ht="11.25" hidden="false" customHeight="true" outlineLevel="0" collapsed="false">
      <c r="A287" s="598"/>
      <c r="B287" s="47"/>
      <c r="C287" s="47"/>
      <c r="N287" s="45"/>
      <c r="O287" s="47"/>
      <c r="P287" s="47"/>
      <c r="Q287" s="45"/>
      <c r="R287" s="45"/>
      <c r="S287" s="45"/>
      <c r="T287" s="45"/>
      <c r="U287" s="47"/>
      <c r="V287" s="45"/>
      <c r="W287" s="45"/>
      <c r="X287" s="599"/>
      <c r="Y287" s="45"/>
      <c r="Z287" s="45"/>
      <c r="AA287" s="45"/>
      <c r="AB287" s="45"/>
      <c r="AC287" s="45"/>
      <c r="AD287" s="45"/>
      <c r="AE287" s="47"/>
      <c r="AF287" s="47"/>
      <c r="AG287" s="47"/>
      <c r="AH287" s="47"/>
      <c r="AI287" s="120" t="n">
        <v>11</v>
      </c>
    </row>
    <row r="288" s="120" customFormat="true" ht="11.25" hidden="false" customHeight="true" outlineLevel="0" collapsed="false">
      <c r="A288" s="598"/>
      <c r="B288" s="47"/>
      <c r="C288" s="47"/>
      <c r="N288" s="45"/>
      <c r="O288" s="47"/>
      <c r="P288" s="47"/>
      <c r="Q288" s="45"/>
      <c r="R288" s="45"/>
      <c r="S288" s="45"/>
      <c r="T288" s="45"/>
      <c r="U288" s="47"/>
      <c r="V288" s="45"/>
      <c r="W288" s="45"/>
      <c r="X288" s="599"/>
      <c r="Y288" s="45"/>
      <c r="Z288" s="45"/>
      <c r="AA288" s="45"/>
      <c r="AB288" s="45"/>
      <c r="AC288" s="45"/>
      <c r="AD288" s="45"/>
      <c r="AE288" s="47"/>
      <c r="AF288" s="47"/>
      <c r="AG288" s="47"/>
      <c r="AH288" s="47"/>
      <c r="AI288" s="120" t="n">
        <v>11</v>
      </c>
    </row>
    <row r="289" s="120" customFormat="true" ht="11.25" hidden="false" customHeight="true" outlineLevel="0" collapsed="false">
      <c r="A289" s="598"/>
      <c r="B289" s="47"/>
      <c r="C289" s="47"/>
      <c r="N289" s="45"/>
      <c r="O289" s="47"/>
      <c r="P289" s="47"/>
      <c r="Q289" s="45"/>
      <c r="R289" s="45"/>
      <c r="S289" s="45"/>
      <c r="T289" s="45"/>
      <c r="U289" s="47"/>
      <c r="V289" s="45"/>
      <c r="W289" s="45"/>
      <c r="X289" s="599"/>
      <c r="Y289" s="45"/>
      <c r="Z289" s="45"/>
      <c r="AA289" s="45"/>
      <c r="AB289" s="45"/>
      <c r="AC289" s="45"/>
      <c r="AD289" s="45"/>
      <c r="AE289" s="47"/>
      <c r="AF289" s="47"/>
      <c r="AG289" s="47"/>
      <c r="AH289" s="47"/>
      <c r="AI289" s="120" t="n">
        <v>11</v>
      </c>
    </row>
    <row r="290" s="120" customFormat="true" ht="11.25" hidden="false" customHeight="true" outlineLevel="0" collapsed="false">
      <c r="A290" s="598"/>
      <c r="B290" s="47"/>
      <c r="C290" s="47"/>
      <c r="N290" s="45"/>
      <c r="O290" s="47"/>
      <c r="P290" s="47"/>
      <c r="Q290" s="45"/>
      <c r="R290" s="45"/>
      <c r="S290" s="45"/>
      <c r="T290" s="45"/>
      <c r="U290" s="47"/>
      <c r="V290" s="45"/>
      <c r="W290" s="45"/>
      <c r="X290" s="599"/>
      <c r="Y290" s="45"/>
      <c r="Z290" s="45"/>
      <c r="AA290" s="45"/>
      <c r="AB290" s="45"/>
      <c r="AC290" s="45"/>
      <c r="AD290" s="45"/>
      <c r="AE290" s="47"/>
      <c r="AF290" s="47"/>
      <c r="AG290" s="47"/>
      <c r="AH290" s="47"/>
      <c r="AI290" s="120" t="n">
        <v>11</v>
      </c>
    </row>
    <row r="291" s="120" customFormat="true" ht="11.25" hidden="false" customHeight="true" outlineLevel="0" collapsed="false">
      <c r="A291" s="598"/>
      <c r="B291" s="47"/>
      <c r="C291" s="47"/>
      <c r="N291" s="45"/>
      <c r="O291" s="47"/>
      <c r="P291" s="47"/>
      <c r="Q291" s="45"/>
      <c r="R291" s="45"/>
      <c r="S291" s="45"/>
      <c r="T291" s="45"/>
      <c r="U291" s="47"/>
      <c r="V291" s="45"/>
      <c r="W291" s="45"/>
      <c r="X291" s="599"/>
      <c r="Y291" s="45"/>
      <c r="Z291" s="45"/>
      <c r="AA291" s="45"/>
      <c r="AB291" s="45"/>
      <c r="AC291" s="45"/>
      <c r="AD291" s="45"/>
      <c r="AE291" s="47"/>
      <c r="AF291" s="47"/>
      <c r="AG291" s="47"/>
      <c r="AH291" s="47"/>
      <c r="AI291" s="120" t="n">
        <v>11</v>
      </c>
    </row>
    <row r="292" s="120" customFormat="true" ht="11.25" hidden="false" customHeight="true" outlineLevel="0" collapsed="false">
      <c r="A292" s="598"/>
      <c r="B292" s="47"/>
      <c r="C292" s="47"/>
      <c r="N292" s="45"/>
      <c r="O292" s="47"/>
      <c r="P292" s="47"/>
      <c r="Q292" s="45"/>
      <c r="R292" s="45"/>
      <c r="S292" s="45"/>
      <c r="T292" s="45"/>
      <c r="U292" s="47"/>
      <c r="V292" s="45"/>
      <c r="W292" s="45"/>
      <c r="X292" s="599"/>
      <c r="Y292" s="45"/>
      <c r="Z292" s="45"/>
      <c r="AA292" s="45"/>
      <c r="AB292" s="45"/>
      <c r="AC292" s="45"/>
      <c r="AD292" s="45"/>
      <c r="AE292" s="47"/>
      <c r="AF292" s="47"/>
      <c r="AG292" s="47"/>
      <c r="AH292" s="47"/>
      <c r="AI292" s="120" t="n">
        <v>11</v>
      </c>
    </row>
    <row r="293" s="120" customFormat="true" ht="11.25" hidden="false" customHeight="true" outlineLevel="0" collapsed="false">
      <c r="A293" s="598"/>
      <c r="B293" s="47"/>
      <c r="C293" s="47"/>
      <c r="N293" s="45"/>
      <c r="O293" s="47"/>
      <c r="P293" s="47"/>
      <c r="Q293" s="45"/>
      <c r="R293" s="45"/>
      <c r="S293" s="45"/>
      <c r="T293" s="45"/>
      <c r="U293" s="47"/>
      <c r="V293" s="45"/>
      <c r="W293" s="45"/>
      <c r="X293" s="599"/>
      <c r="Y293" s="45"/>
      <c r="Z293" s="45"/>
      <c r="AA293" s="45"/>
      <c r="AB293" s="45"/>
      <c r="AC293" s="45"/>
      <c r="AD293" s="45"/>
      <c r="AE293" s="47"/>
      <c r="AF293" s="47"/>
      <c r="AG293" s="47"/>
      <c r="AH293" s="47"/>
      <c r="AI293" s="120" t="n">
        <v>11</v>
      </c>
    </row>
    <row r="294" s="120" customFormat="true" ht="11.25" hidden="false" customHeight="true" outlineLevel="0" collapsed="false">
      <c r="A294" s="598"/>
      <c r="B294" s="47"/>
      <c r="C294" s="47"/>
      <c r="N294" s="45"/>
      <c r="O294" s="47"/>
      <c r="P294" s="47"/>
      <c r="Q294" s="45"/>
      <c r="R294" s="45"/>
      <c r="S294" s="45"/>
      <c r="T294" s="45"/>
      <c r="U294" s="47"/>
      <c r="V294" s="45"/>
      <c r="W294" s="45"/>
      <c r="X294" s="599"/>
      <c r="Y294" s="45"/>
      <c r="Z294" s="45"/>
      <c r="AA294" s="45"/>
      <c r="AB294" s="45"/>
      <c r="AC294" s="45"/>
      <c r="AD294" s="45"/>
      <c r="AE294" s="47"/>
      <c r="AF294" s="47"/>
      <c r="AG294" s="47"/>
      <c r="AH294" s="47"/>
      <c r="AI294" s="120" t="n">
        <v>11</v>
      </c>
    </row>
    <row r="295" s="120" customFormat="true" ht="11.25" hidden="false" customHeight="true" outlineLevel="0" collapsed="false">
      <c r="A295" s="598"/>
      <c r="B295" s="47"/>
      <c r="C295" s="47"/>
      <c r="N295" s="45"/>
      <c r="O295" s="47"/>
      <c r="P295" s="47"/>
      <c r="Q295" s="45"/>
      <c r="R295" s="45"/>
      <c r="S295" s="45"/>
      <c r="T295" s="45"/>
      <c r="U295" s="47"/>
      <c r="V295" s="45"/>
      <c r="W295" s="45"/>
      <c r="X295" s="599"/>
      <c r="Y295" s="45"/>
      <c r="Z295" s="45"/>
      <c r="AA295" s="45"/>
      <c r="AB295" s="45"/>
      <c r="AC295" s="45"/>
      <c r="AD295" s="45"/>
      <c r="AE295" s="47"/>
      <c r="AF295" s="47"/>
      <c r="AG295" s="47"/>
      <c r="AH295" s="47"/>
      <c r="AI295" s="120" t="n">
        <v>11</v>
      </c>
    </row>
    <row r="296" s="120" customFormat="true" ht="11.25" hidden="false" customHeight="true" outlineLevel="0" collapsed="false">
      <c r="A296" s="598"/>
      <c r="B296" s="47"/>
      <c r="C296" s="47"/>
      <c r="N296" s="45"/>
      <c r="O296" s="47"/>
      <c r="P296" s="47"/>
      <c r="Q296" s="45"/>
      <c r="R296" s="45"/>
      <c r="S296" s="45"/>
      <c r="T296" s="45"/>
      <c r="U296" s="47"/>
      <c r="V296" s="45"/>
      <c r="W296" s="45"/>
      <c r="X296" s="599"/>
      <c r="Y296" s="45"/>
      <c r="Z296" s="45"/>
      <c r="AA296" s="45"/>
      <c r="AB296" s="45"/>
      <c r="AC296" s="45"/>
      <c r="AD296" s="45"/>
      <c r="AE296" s="47"/>
      <c r="AF296" s="47"/>
      <c r="AG296" s="47"/>
      <c r="AH296" s="47"/>
      <c r="AI296" s="120" t="n">
        <v>11</v>
      </c>
    </row>
    <row r="297" s="120" customFormat="true" ht="11.25" hidden="false" customHeight="true" outlineLevel="0" collapsed="false">
      <c r="A297" s="598"/>
      <c r="B297" s="47"/>
      <c r="C297" s="47"/>
      <c r="N297" s="45"/>
      <c r="O297" s="47"/>
      <c r="P297" s="47"/>
      <c r="Q297" s="45"/>
      <c r="R297" s="45"/>
      <c r="S297" s="45"/>
      <c r="T297" s="45"/>
      <c r="U297" s="47"/>
      <c r="V297" s="45"/>
      <c r="W297" s="45"/>
      <c r="X297" s="599"/>
      <c r="Y297" s="45"/>
      <c r="Z297" s="45"/>
      <c r="AA297" s="45"/>
      <c r="AB297" s="45"/>
      <c r="AC297" s="45"/>
      <c r="AD297" s="45"/>
      <c r="AE297" s="47"/>
      <c r="AF297" s="47"/>
      <c r="AG297" s="47"/>
      <c r="AH297" s="47"/>
      <c r="AI297" s="120" t="n">
        <v>11</v>
      </c>
    </row>
    <row r="298" s="120" customFormat="true" ht="11.25" hidden="false" customHeight="true" outlineLevel="0" collapsed="false">
      <c r="A298" s="598"/>
      <c r="B298" s="47"/>
      <c r="C298" s="47"/>
      <c r="N298" s="45"/>
      <c r="O298" s="47"/>
      <c r="P298" s="47"/>
      <c r="Q298" s="45"/>
      <c r="R298" s="45"/>
      <c r="S298" s="45"/>
      <c r="T298" s="45"/>
      <c r="U298" s="47"/>
      <c r="V298" s="45"/>
      <c r="W298" s="45"/>
      <c r="X298" s="599"/>
      <c r="Y298" s="45"/>
      <c r="Z298" s="45"/>
      <c r="AA298" s="45"/>
      <c r="AB298" s="45"/>
      <c r="AC298" s="45"/>
      <c r="AD298" s="45"/>
      <c r="AE298" s="47"/>
      <c r="AF298" s="47"/>
      <c r="AG298" s="47"/>
      <c r="AH298" s="47"/>
      <c r="AI298" s="120" t="n">
        <v>11</v>
      </c>
    </row>
    <row r="299" s="120" customFormat="true" ht="11.25" hidden="false" customHeight="true" outlineLevel="0" collapsed="false">
      <c r="A299" s="598"/>
      <c r="B299" s="47"/>
      <c r="C299" s="47"/>
      <c r="N299" s="45"/>
      <c r="O299" s="47"/>
      <c r="P299" s="47"/>
      <c r="Q299" s="45"/>
      <c r="R299" s="45"/>
      <c r="S299" s="45"/>
      <c r="T299" s="45"/>
      <c r="U299" s="47"/>
      <c r="V299" s="45"/>
      <c r="W299" s="45"/>
      <c r="X299" s="599"/>
      <c r="Y299" s="45"/>
      <c r="Z299" s="45"/>
      <c r="AA299" s="45"/>
      <c r="AB299" s="45"/>
      <c r="AC299" s="45"/>
      <c r="AD299" s="45"/>
      <c r="AE299" s="47"/>
      <c r="AF299" s="47"/>
      <c r="AG299" s="47"/>
      <c r="AH299" s="47"/>
      <c r="AI299" s="120" t="n">
        <v>11</v>
      </c>
    </row>
    <row r="300" s="120" customFormat="true" ht="11.25" hidden="false" customHeight="true" outlineLevel="0" collapsed="false">
      <c r="A300" s="598"/>
      <c r="B300" s="47"/>
      <c r="C300" s="47"/>
      <c r="N300" s="45"/>
      <c r="O300" s="47"/>
      <c r="P300" s="47"/>
      <c r="Q300" s="45"/>
      <c r="R300" s="45"/>
      <c r="S300" s="45"/>
      <c r="T300" s="45"/>
      <c r="U300" s="47"/>
      <c r="V300" s="45"/>
      <c r="W300" s="45"/>
      <c r="X300" s="599"/>
      <c r="Y300" s="45"/>
      <c r="Z300" s="45"/>
      <c r="AA300" s="45"/>
      <c r="AB300" s="45"/>
      <c r="AC300" s="45"/>
      <c r="AD300" s="45"/>
      <c r="AE300" s="47"/>
      <c r="AF300" s="47"/>
      <c r="AG300" s="47"/>
      <c r="AH300" s="47"/>
      <c r="AI300" s="120" t="n">
        <v>11</v>
      </c>
    </row>
    <row r="301" s="120" customFormat="true" ht="11.25" hidden="false" customHeight="true" outlineLevel="0" collapsed="false">
      <c r="A301" s="598"/>
      <c r="B301" s="47"/>
      <c r="C301" s="47"/>
      <c r="N301" s="45"/>
      <c r="O301" s="47"/>
      <c r="P301" s="47"/>
      <c r="Q301" s="45"/>
      <c r="R301" s="45"/>
      <c r="S301" s="45"/>
      <c r="T301" s="45"/>
      <c r="U301" s="47"/>
      <c r="V301" s="45"/>
      <c r="W301" s="45"/>
      <c r="X301" s="599"/>
      <c r="Y301" s="45"/>
      <c r="Z301" s="45"/>
      <c r="AA301" s="45"/>
      <c r="AB301" s="45"/>
      <c r="AC301" s="45"/>
      <c r="AD301" s="45"/>
      <c r="AE301" s="47"/>
      <c r="AF301" s="47"/>
      <c r="AG301" s="47"/>
      <c r="AH301" s="47"/>
      <c r="AI301" s="120" t="n">
        <v>11</v>
      </c>
    </row>
    <row r="302" s="120" customFormat="true" ht="11.25" hidden="false" customHeight="true" outlineLevel="0" collapsed="false">
      <c r="A302" s="598"/>
      <c r="B302" s="47"/>
      <c r="C302" s="47"/>
      <c r="N302" s="45"/>
      <c r="O302" s="47"/>
      <c r="P302" s="47"/>
      <c r="Q302" s="45"/>
      <c r="R302" s="45"/>
      <c r="S302" s="45"/>
      <c r="T302" s="45"/>
      <c r="U302" s="47"/>
      <c r="V302" s="45"/>
      <c r="W302" s="45"/>
      <c r="X302" s="599"/>
      <c r="Y302" s="45"/>
      <c r="Z302" s="45"/>
      <c r="AA302" s="45"/>
      <c r="AB302" s="45"/>
      <c r="AC302" s="45"/>
      <c r="AD302" s="45"/>
      <c r="AE302" s="47"/>
      <c r="AF302" s="47"/>
      <c r="AG302" s="47"/>
      <c r="AH302" s="47"/>
      <c r="AI302" s="120" t="n">
        <v>11</v>
      </c>
    </row>
    <row r="303" s="120" customFormat="true" ht="11.25" hidden="false" customHeight="true" outlineLevel="0" collapsed="false">
      <c r="A303" s="598"/>
      <c r="B303" s="47"/>
      <c r="C303" s="47"/>
      <c r="N303" s="45"/>
      <c r="O303" s="47"/>
      <c r="P303" s="47"/>
      <c r="Q303" s="45"/>
      <c r="R303" s="45"/>
      <c r="S303" s="45"/>
      <c r="T303" s="45"/>
      <c r="U303" s="47"/>
      <c r="V303" s="45"/>
      <c r="W303" s="45"/>
      <c r="X303" s="599"/>
      <c r="Y303" s="45"/>
      <c r="Z303" s="45"/>
      <c r="AA303" s="45"/>
      <c r="AB303" s="45"/>
      <c r="AC303" s="45"/>
      <c r="AD303" s="45"/>
      <c r="AE303" s="47"/>
      <c r="AF303" s="47"/>
      <c r="AG303" s="47"/>
      <c r="AH303" s="47"/>
      <c r="AI303" s="120" t="n">
        <v>11</v>
      </c>
    </row>
    <row r="304" s="120" customFormat="true" ht="11.25" hidden="false" customHeight="true" outlineLevel="0" collapsed="false">
      <c r="A304" s="598"/>
      <c r="B304" s="47"/>
      <c r="C304" s="47"/>
      <c r="N304" s="45"/>
      <c r="O304" s="47"/>
      <c r="P304" s="47"/>
      <c r="Q304" s="45"/>
      <c r="R304" s="45"/>
      <c r="S304" s="45"/>
      <c r="T304" s="45"/>
      <c r="U304" s="47"/>
      <c r="V304" s="45"/>
      <c r="W304" s="45"/>
      <c r="X304" s="599"/>
      <c r="Y304" s="45"/>
      <c r="Z304" s="45"/>
      <c r="AA304" s="45"/>
      <c r="AB304" s="45"/>
      <c r="AC304" s="45"/>
      <c r="AD304" s="45"/>
      <c r="AE304" s="47"/>
      <c r="AF304" s="47"/>
      <c r="AG304" s="47"/>
      <c r="AH304" s="47"/>
      <c r="AI304" s="120" t="n">
        <v>11</v>
      </c>
    </row>
    <row r="305" s="120" customFormat="true" ht="11.25" hidden="false" customHeight="true" outlineLevel="0" collapsed="false">
      <c r="A305" s="598"/>
      <c r="B305" s="47"/>
      <c r="C305" s="47"/>
      <c r="N305" s="45"/>
      <c r="O305" s="47"/>
      <c r="P305" s="47"/>
      <c r="Q305" s="45"/>
      <c r="R305" s="45"/>
      <c r="S305" s="45"/>
      <c r="T305" s="45"/>
      <c r="U305" s="47"/>
      <c r="V305" s="45"/>
      <c r="W305" s="45"/>
      <c r="X305" s="599"/>
      <c r="Y305" s="45"/>
      <c r="Z305" s="45"/>
      <c r="AA305" s="45"/>
      <c r="AB305" s="45"/>
      <c r="AC305" s="45"/>
      <c r="AD305" s="45"/>
      <c r="AE305" s="47"/>
      <c r="AF305" s="47"/>
      <c r="AG305" s="47"/>
      <c r="AH305" s="47"/>
      <c r="AI305" s="120" t="n">
        <v>11</v>
      </c>
    </row>
    <row r="306" customFormat="false" ht="11.25" hidden="false" customHeight="true" outlineLevel="0" collapsed="false">
      <c r="AI306" s="42" t="n">
        <v>11</v>
      </c>
    </row>
    <row r="307" customFormat="false" ht="11.25" hidden="false" customHeight="true" outlineLevel="0" collapsed="false">
      <c r="AI307" s="42" t="n">
        <v>11</v>
      </c>
    </row>
    <row r="308" customFormat="false" ht="11.25" hidden="false" customHeight="true" outlineLevel="0" collapsed="false">
      <c r="AI308" s="42" t="n">
        <v>11</v>
      </c>
    </row>
    <row r="309" customFormat="false" ht="11.25" hidden="false" customHeight="true" outlineLevel="0" collapsed="false">
      <c r="A309" s="669"/>
      <c r="B309" s="42"/>
      <c r="N309" s="42"/>
      <c r="Q309" s="42"/>
      <c r="R309" s="42"/>
      <c r="S309" s="42"/>
      <c r="T309" s="42"/>
      <c r="V309" s="42"/>
      <c r="W309" s="42"/>
      <c r="X309" s="42"/>
      <c r="Y309" s="42"/>
      <c r="Z309" s="42"/>
      <c r="AA309" s="42"/>
      <c r="AB309" s="42"/>
      <c r="AC309" s="42"/>
      <c r="AD309" s="42"/>
      <c r="AE309" s="42"/>
      <c r="AF309" s="42"/>
      <c r="AG309" s="42"/>
      <c r="AH309" s="42"/>
      <c r="AI309" s="42" t="n">
        <v>11</v>
      </c>
    </row>
    <row r="310" customFormat="false" ht="11.25" hidden="false" customHeight="true" outlineLevel="0" collapsed="false">
      <c r="A310" s="669"/>
      <c r="B310" s="42"/>
      <c r="N310" s="42"/>
      <c r="Q310" s="42"/>
      <c r="R310" s="42"/>
      <c r="S310" s="42"/>
      <c r="T310" s="42"/>
      <c r="V310" s="42"/>
      <c r="W310" s="42"/>
      <c r="X310" s="42"/>
      <c r="Y310" s="42"/>
      <c r="Z310" s="42"/>
      <c r="AA310" s="42"/>
      <c r="AB310" s="42"/>
      <c r="AC310" s="42"/>
      <c r="AD310" s="42"/>
      <c r="AE310" s="42"/>
      <c r="AF310" s="42"/>
      <c r="AG310" s="42"/>
      <c r="AH310" s="42"/>
      <c r="AI310" s="42" t="n">
        <v>11</v>
      </c>
    </row>
    <row r="311" customFormat="false" ht="11.25" hidden="false" customHeight="true" outlineLevel="0" collapsed="false">
      <c r="A311" s="669"/>
      <c r="B311" s="42"/>
      <c r="N311" s="42"/>
      <c r="Q311" s="42"/>
      <c r="R311" s="42"/>
      <c r="S311" s="42"/>
      <c r="T311" s="42"/>
      <c r="V311" s="42"/>
      <c r="W311" s="42"/>
      <c r="X311" s="42"/>
      <c r="Y311" s="42"/>
      <c r="Z311" s="42"/>
      <c r="AA311" s="42"/>
      <c r="AB311" s="42"/>
      <c r="AC311" s="42"/>
      <c r="AD311" s="42"/>
      <c r="AE311" s="42"/>
      <c r="AF311" s="42"/>
      <c r="AG311" s="42"/>
      <c r="AH311" s="42"/>
      <c r="AI311" s="42" t="n">
        <v>11</v>
      </c>
    </row>
    <row r="312" customFormat="false" ht="11.25" hidden="false" customHeight="true" outlineLevel="0" collapsed="false">
      <c r="A312" s="669"/>
      <c r="B312" s="42"/>
      <c r="N312" s="42"/>
      <c r="Q312" s="42"/>
      <c r="R312" s="42"/>
      <c r="S312" s="42"/>
      <c r="T312" s="42"/>
      <c r="V312" s="42"/>
      <c r="W312" s="42"/>
      <c r="X312" s="42"/>
      <c r="Y312" s="42"/>
      <c r="Z312" s="42"/>
      <c r="AA312" s="42"/>
      <c r="AB312" s="42"/>
      <c r="AC312" s="42"/>
      <c r="AD312" s="42"/>
      <c r="AE312" s="42"/>
      <c r="AF312" s="42"/>
      <c r="AG312" s="42"/>
      <c r="AH312" s="42"/>
      <c r="AI312" s="42" t="n">
        <v>11</v>
      </c>
    </row>
    <row r="313" customFormat="false" ht="11.25" hidden="false" customHeight="true" outlineLevel="0" collapsed="false">
      <c r="A313" s="669"/>
      <c r="B313" s="42"/>
      <c r="N313" s="42"/>
      <c r="Q313" s="42"/>
      <c r="R313" s="42"/>
      <c r="S313" s="42"/>
      <c r="T313" s="42"/>
      <c r="V313" s="42"/>
      <c r="W313" s="42"/>
      <c r="X313" s="42"/>
      <c r="Y313" s="42"/>
      <c r="Z313" s="42"/>
      <c r="AA313" s="42"/>
      <c r="AB313" s="42"/>
      <c r="AC313" s="42"/>
      <c r="AD313" s="42"/>
      <c r="AE313" s="42"/>
      <c r="AF313" s="42"/>
      <c r="AG313" s="42"/>
      <c r="AH313" s="42"/>
      <c r="AI313" s="42" t="n">
        <v>11</v>
      </c>
    </row>
    <row r="314" customFormat="false" ht="11.25" hidden="false" customHeight="true" outlineLevel="0" collapsed="false">
      <c r="A314" s="669"/>
      <c r="B314" s="42"/>
      <c r="N314" s="42"/>
      <c r="Q314" s="42"/>
      <c r="R314" s="42"/>
      <c r="S314" s="42"/>
      <c r="T314" s="42"/>
      <c r="V314" s="42"/>
      <c r="W314" s="42"/>
      <c r="X314" s="42"/>
      <c r="Y314" s="42"/>
      <c r="Z314" s="42"/>
      <c r="AA314" s="42"/>
      <c r="AB314" s="42"/>
      <c r="AC314" s="42"/>
      <c r="AD314" s="42"/>
      <c r="AE314" s="42"/>
      <c r="AF314" s="42"/>
      <c r="AG314" s="42"/>
      <c r="AH314" s="42"/>
      <c r="AI314" s="42" t="n">
        <v>11</v>
      </c>
    </row>
    <row r="315" customFormat="false" ht="11.25" hidden="false" customHeight="true" outlineLevel="0" collapsed="false">
      <c r="A315" s="669"/>
      <c r="B315" s="42"/>
      <c r="N315" s="42"/>
      <c r="Q315" s="42"/>
      <c r="R315" s="42"/>
      <c r="S315" s="42"/>
      <c r="T315" s="42"/>
      <c r="V315" s="42"/>
      <c r="W315" s="42"/>
      <c r="X315" s="42"/>
      <c r="Y315" s="42"/>
      <c r="Z315" s="42"/>
      <c r="AA315" s="42"/>
      <c r="AB315" s="42"/>
      <c r="AC315" s="42"/>
      <c r="AD315" s="42"/>
      <c r="AE315" s="42"/>
      <c r="AF315" s="42"/>
      <c r="AG315" s="42"/>
      <c r="AH315" s="42"/>
      <c r="AI315" s="42" t="n">
        <v>11</v>
      </c>
    </row>
    <row r="316" customFormat="false" ht="11.25" hidden="false" customHeight="true" outlineLevel="0" collapsed="false">
      <c r="A316" s="669"/>
      <c r="B316" s="42"/>
      <c r="N316" s="42"/>
      <c r="Q316" s="42"/>
      <c r="R316" s="42"/>
      <c r="S316" s="42"/>
      <c r="T316" s="42"/>
      <c r="V316" s="42"/>
      <c r="W316" s="42"/>
      <c r="X316" s="42"/>
      <c r="Y316" s="42"/>
      <c r="Z316" s="42"/>
      <c r="AA316" s="42"/>
      <c r="AB316" s="42"/>
      <c r="AC316" s="42"/>
      <c r="AD316" s="42"/>
      <c r="AE316" s="42"/>
      <c r="AF316" s="42"/>
      <c r="AG316" s="42"/>
      <c r="AH316" s="42"/>
      <c r="AI316" s="42" t="n">
        <v>11</v>
      </c>
    </row>
    <row r="317" customFormat="false" ht="11.25" hidden="false" customHeight="true" outlineLevel="0" collapsed="false">
      <c r="A317" s="669"/>
      <c r="B317" s="42"/>
      <c r="N317" s="42"/>
      <c r="Q317" s="42"/>
      <c r="R317" s="42"/>
      <c r="S317" s="42"/>
      <c r="T317" s="42"/>
      <c r="V317" s="42"/>
      <c r="W317" s="42"/>
      <c r="X317" s="42"/>
      <c r="Y317" s="42"/>
      <c r="Z317" s="42"/>
      <c r="AA317" s="42"/>
      <c r="AB317" s="42"/>
      <c r="AC317" s="42"/>
      <c r="AD317" s="42"/>
      <c r="AE317" s="42"/>
      <c r="AF317" s="42"/>
      <c r="AG317" s="42"/>
      <c r="AH317" s="42"/>
      <c r="AI317" s="42" t="n">
        <v>11</v>
      </c>
    </row>
    <row r="318" customFormat="false" ht="11.25" hidden="false" customHeight="true" outlineLevel="0" collapsed="false">
      <c r="A318" s="669"/>
      <c r="B318" s="42"/>
      <c r="N318" s="42"/>
      <c r="Q318" s="42"/>
      <c r="R318" s="42"/>
      <c r="S318" s="42"/>
      <c r="T318" s="42"/>
      <c r="V318" s="42"/>
      <c r="W318" s="42"/>
      <c r="X318" s="42"/>
      <c r="Y318" s="42"/>
      <c r="Z318" s="42"/>
      <c r="AA318" s="42"/>
      <c r="AB318" s="42"/>
      <c r="AC318" s="42"/>
      <c r="AD318" s="42"/>
      <c r="AE318" s="42"/>
      <c r="AF318" s="42"/>
      <c r="AG318" s="42"/>
      <c r="AH318" s="42"/>
      <c r="AI318" s="42" t="n">
        <v>11</v>
      </c>
    </row>
    <row r="319" customFormat="false" ht="11.25" hidden="false" customHeight="true" outlineLevel="0" collapsed="false">
      <c r="A319" s="669"/>
      <c r="B319" s="42"/>
      <c r="N319" s="42"/>
      <c r="Q319" s="42"/>
      <c r="R319" s="42"/>
      <c r="S319" s="42"/>
      <c r="T319" s="42"/>
      <c r="V319" s="42"/>
      <c r="W319" s="42"/>
      <c r="X319" s="42"/>
      <c r="Y319" s="42"/>
      <c r="Z319" s="42"/>
      <c r="AA319" s="42"/>
      <c r="AB319" s="42"/>
      <c r="AC319" s="42"/>
      <c r="AD319" s="42"/>
      <c r="AE319" s="42"/>
      <c r="AF319" s="42"/>
      <c r="AG319" s="42"/>
      <c r="AH319" s="42"/>
      <c r="AI319" s="42" t="n">
        <v>11</v>
      </c>
    </row>
    <row r="320" customFormat="false" ht="11.25" hidden="true" customHeight="true" outlineLevel="0" collapsed="false">
      <c r="A320" s="598" t="s">
        <v>81</v>
      </c>
      <c r="B320" s="45" t="n">
        <v>0</v>
      </c>
      <c r="C320" s="47" t="n">
        <v>0</v>
      </c>
      <c r="D320" s="42" t="n">
        <v>3</v>
      </c>
      <c r="E320" s="42" t="n">
        <v>7</v>
      </c>
      <c r="F320" s="42" t="n">
        <v>54</v>
      </c>
      <c r="G320" s="42" t="n">
        <v>10</v>
      </c>
      <c r="H320" s="42" t="n">
        <v>0</v>
      </c>
      <c r="I320" s="42" t="n">
        <v>40</v>
      </c>
      <c r="J320" s="42" t="n">
        <v>0</v>
      </c>
      <c r="K320" s="42" t="n">
        <v>0</v>
      </c>
      <c r="L320" s="42" t="n">
        <v>0</v>
      </c>
      <c r="M320" s="42" t="n">
        <v>102</v>
      </c>
      <c r="N320" s="45" t="n">
        <v>9</v>
      </c>
      <c r="O320" s="47" t="n">
        <v>5</v>
      </c>
      <c r="P320" s="47" t="n">
        <v>3</v>
      </c>
      <c r="Q320" s="45" t="n">
        <v>3</v>
      </c>
      <c r="R320" s="45" t="n">
        <v>3</v>
      </c>
      <c r="S320" s="45" t="n">
        <v>3</v>
      </c>
      <c r="T320" s="45" t="n">
        <v>3</v>
      </c>
      <c r="U320" s="47" t="n">
        <v>10</v>
      </c>
      <c r="V320" s="45" t="n">
        <v>34</v>
      </c>
      <c r="W320" s="45" t="n">
        <v>9</v>
      </c>
      <c r="X320" s="599" t="n">
        <v>8</v>
      </c>
      <c r="Y320" s="45" t="n">
        <v>8</v>
      </c>
      <c r="Z320" s="45" t="n">
        <v>8</v>
      </c>
      <c r="AA320" s="45" t="n">
        <v>8</v>
      </c>
      <c r="AB320" s="45" t="n">
        <v>8</v>
      </c>
      <c r="AC320" s="45" t="n">
        <v>8</v>
      </c>
      <c r="AD320" s="45" t="n">
        <v>8</v>
      </c>
      <c r="AE320" s="45" t="n">
        <v>8</v>
      </c>
      <c r="AF320" s="45" t="n">
        <v>8</v>
      </c>
      <c r="AG320" s="45" t="n">
        <v>8</v>
      </c>
      <c r="AH320" s="45" t="n">
        <v>8</v>
      </c>
      <c r="AI320" s="42" t="n">
        <v>11</v>
      </c>
    </row>
  </sheetData>
  <mergeCells count="19">
    <mergeCell ref="B2:B7"/>
    <mergeCell ref="E21:I21"/>
    <mergeCell ref="E22:I22"/>
    <mergeCell ref="F25:G25"/>
    <mergeCell ref="M25:M29"/>
    <mergeCell ref="F26:G26"/>
    <mergeCell ref="F27:G27"/>
    <mergeCell ref="E28:G28"/>
    <mergeCell ref="A33:A46"/>
    <mergeCell ref="B34:B39"/>
    <mergeCell ref="B40:B45"/>
    <mergeCell ref="A47:A49"/>
    <mergeCell ref="A73:A74"/>
    <mergeCell ref="A99:A107"/>
    <mergeCell ref="A108:A112"/>
    <mergeCell ref="A113:A115"/>
    <mergeCell ref="A116:A128"/>
    <mergeCell ref="A132:A136"/>
    <mergeCell ref="A137:A147"/>
  </mergeCells>
  <dataValidations count="11">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H72:L72 H74:L7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7:L7 H45:L45" type="list">
      <formula1>kind_of_purchase_method</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F10 F12 H76:L76"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G4 H34:L34 H39:L39 G42"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L6 H9:L13 H15:L15 H17:L17 H30:L30 H32:L33 H35:L38 H42:L44 H46:L71 H73:L73 H75:L75 H77:L87 H91:L91 H99:L103 H105:L106 H108:L111 H113:L136 H144:L144" type="decimal">
      <formula1>0</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2 F40" type="list">
      <formula1>kind_of_fuels</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G110" type="list">
      <formula1>kind_of_volume_te_unit</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98:L98 H145:L147"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89:L90"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92:L97 H137:L137 H140:L140 H143:L143" type="decimal">
      <formula1>-9.99999999999999E+037</formula1>
      <formula2>9.99999999999999E+037</formula2>
    </dataValidation>
    <dataValidation allowBlank="true" error="Введите значение от 0 до 100%" errorStyle="stop" errorTitle="Ошибка" operator="between" showDropDown="false" showErrorMessage="true" showInputMessage="false" sqref="H107:L107 H112:L112" type="decimal">
      <formula1>0</formula1>
      <formula2>100</formula2>
    </dataValidation>
  </dataValidations>
  <hyperlinks>
    <hyperlink ref="I98" r:id="rId1" display="https://portal.eias.ru/Portal/DownloadPage.aspx?type=12&amp;guid=87bf061f-2a35-4d8d-a47b-ce5ab2a24924"/>
    <hyperlink ref="J98" r:id="rId2" display="https://portal.eias.ru/Portal/DownloadPage.aspx?type=12&amp;guid=87bf061f-2a35-4d8d-a47b-ce5ab2a24924"/>
    <hyperlink ref="K98" r:id="rId3" display="https://portal.eias.ru/Portal/DownloadPage.aspx?type=12&amp;guid=87bf061f-2a35-4d8d-a47b-ce5ab2a24924"/>
    <hyperlink ref="L98" r:id="rId4" display="https://portal.eias.ru/Portal/DownloadPage.aspx?type=12&amp;guid=87bf061f-2a35-4d8d-a47b-ce5ab2a24924"/>
  </hyperlink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CF5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41" activeCellId="0" sqref="A41"/>
    </sheetView>
  </sheetViews>
  <sheetFormatPr defaultColWidth="9.14453125" defaultRowHeight="11.25" zeroHeight="false" outlineLevelRow="0" outlineLevelCol="0"/>
  <cols>
    <col collapsed="false" customWidth="true" hidden="true" outlineLevel="0" max="1" min="1" style="113" width="14.71"/>
    <col collapsed="false" customWidth="true" hidden="true" outlineLevel="0" max="2" min="2" style="45" width="17"/>
    <col collapsed="false" customWidth="true" hidden="false" outlineLevel="0" max="3" min="3" style="42" width="3"/>
    <col collapsed="false" customWidth="true" hidden="true" outlineLevel="0" max="4" min="4" style="42" width="1.85"/>
    <col collapsed="false" customWidth="true" hidden="false" outlineLevel="0" max="6" min="5" style="42" width="7"/>
    <col collapsed="false" customWidth="true" hidden="false" outlineLevel="0" max="7" min="7" style="42" width="29"/>
    <col collapsed="false" customWidth="true" hidden="false" outlineLevel="0" max="8" min="8" style="42" width="3.71"/>
    <col collapsed="false" customWidth="true" hidden="false" outlineLevel="0" max="9" min="9" style="42" width="5"/>
    <col collapsed="false" customWidth="true" hidden="false" outlineLevel="0" max="11" min="10" style="42" width="24"/>
    <col collapsed="false" customWidth="true" hidden="false" outlineLevel="0" max="12" min="12" style="42" width="3"/>
    <col collapsed="false" customWidth="true" hidden="false" outlineLevel="0" max="13" min="13" style="42" width="6"/>
    <col collapsed="false" customWidth="true" hidden="false" outlineLevel="0" max="14" min="14" style="42" width="25"/>
    <col collapsed="false" customWidth="true" hidden="false" outlineLevel="0" max="18" min="15" style="42" width="18"/>
    <col collapsed="false" customWidth="true" hidden="false" outlineLevel="0" max="19" min="19" style="42" width="93"/>
    <col collapsed="false" customWidth="true" hidden="false" outlineLevel="0" max="20" min="20" style="42" width="10"/>
    <col collapsed="false" customWidth="true" hidden="false" outlineLevel="0" max="21" min="21" style="47" width="10"/>
    <col collapsed="false" customWidth="true" hidden="false" outlineLevel="0" max="22" min="22" style="47" width="11"/>
    <col collapsed="false" customWidth="true" hidden="false" outlineLevel="0" max="27" min="23" style="45" width="10"/>
    <col collapsed="false" customWidth="true" hidden="false" outlineLevel="0" max="83" min="28" style="42" width="8"/>
    <col collapsed="false" customWidth="false" hidden="true" outlineLevel="0" max="84" min="84" style="42" width="9.14"/>
  </cols>
  <sheetData>
    <row r="1" customFormat="false" ht="22.5" hidden="true" customHeight="true" outlineLevel="0" collapsed="false">
      <c r="CF1" s="42" t="s">
        <v>14</v>
      </c>
    </row>
    <row r="2" customFormat="false" ht="11.25" hidden="true" customHeight="true" outlineLevel="0" collapsed="false">
      <c r="CF2" s="42" t="n">
        <v>0</v>
      </c>
    </row>
    <row r="3" customFormat="false" ht="11.25" hidden="true" customHeight="true" outlineLevel="0" collapsed="false">
      <c r="CF3" s="42" t="n">
        <v>0</v>
      </c>
    </row>
    <row r="4" customFormat="false" ht="3" hidden="false" customHeight="true" outlineLevel="0" collapsed="false">
      <c r="K4" s="128"/>
      <c r="L4" s="128"/>
      <c r="M4" s="128"/>
      <c r="CF4" s="42" t="n">
        <v>3</v>
      </c>
    </row>
    <row r="5" customFormat="false" ht="29.25" hidden="false" customHeight="true" outlineLevel="0" collapsed="false">
      <c r="D5" s="670"/>
      <c r="E5" s="220" t="str">
        <f aca="false">FHD20_NAME_FORM</f>
        <v>Форма 11. Информация о расходах на капитальный и текущий ремонт основных средств</v>
      </c>
      <c r="F5" s="220"/>
      <c r="G5" s="220"/>
      <c r="H5" s="220"/>
      <c r="I5" s="220"/>
      <c r="J5" s="220"/>
      <c r="K5" s="220"/>
      <c r="L5" s="43"/>
      <c r="M5" s="43"/>
      <c r="CF5" s="42" t="n">
        <v>28</v>
      </c>
    </row>
    <row r="6" s="42" customFormat="true" ht="16.5" hidden="false" customHeight="true" outlineLevel="0" collapsed="false">
      <c r="A6" s="113"/>
      <c r="B6" s="45"/>
      <c r="D6" s="671"/>
      <c r="E6" s="261" t="str">
        <f aca="false">IF(org=0,"Не определено",org)</f>
        <v>ООО "Газпром теплоэнерго Ярославль"</v>
      </c>
      <c r="F6" s="261"/>
      <c r="G6" s="261"/>
      <c r="H6" s="261"/>
      <c r="I6" s="261"/>
      <c r="J6" s="261"/>
      <c r="K6" s="261"/>
      <c r="L6" s="43"/>
      <c r="M6" s="43"/>
      <c r="U6" s="47"/>
      <c r="V6" s="47"/>
      <c r="W6" s="45"/>
      <c r="X6" s="45"/>
      <c r="Y6" s="45"/>
      <c r="Z6" s="45"/>
      <c r="AA6" s="45"/>
      <c r="CF6" s="42" t="n">
        <v>16</v>
      </c>
    </row>
    <row r="7" customFormat="false" ht="11.25" hidden="false" customHeight="true" outlineLevel="0" collapsed="false">
      <c r="G7" s="43"/>
      <c r="H7" s="43"/>
      <c r="I7" s="43"/>
      <c r="J7" s="43"/>
      <c r="K7" s="672"/>
      <c r="L7" s="672"/>
      <c r="M7" s="672"/>
      <c r="R7" s="292"/>
      <c r="CF7" s="42" t="n">
        <v>11</v>
      </c>
    </row>
    <row r="8" s="120" customFormat="true" ht="3.75" hidden="false" customHeight="true" outlineLevel="0" collapsed="false">
      <c r="A8" s="456"/>
      <c r="B8" s="47"/>
      <c r="G8" s="673"/>
      <c r="H8" s="673"/>
      <c r="I8" s="673"/>
      <c r="J8" s="673"/>
      <c r="K8" s="674"/>
      <c r="L8" s="674"/>
      <c r="M8" s="674"/>
      <c r="R8" s="675"/>
      <c r="U8" s="47"/>
      <c r="V8" s="47"/>
      <c r="W8" s="47"/>
      <c r="X8" s="47"/>
      <c r="Y8" s="47"/>
      <c r="Z8" s="47"/>
      <c r="AA8" s="47"/>
      <c r="CF8" s="120" t="n">
        <v>4</v>
      </c>
    </row>
    <row r="9" customFormat="false" ht="19.5" hidden="false" customHeight="true" outlineLevel="0" collapsed="false">
      <c r="D9" s="417"/>
      <c r="E9" s="134" t="s">
        <v>313</v>
      </c>
      <c r="F9" s="134"/>
      <c r="G9" s="134"/>
      <c r="H9" s="134"/>
      <c r="I9" s="134"/>
      <c r="J9" s="134"/>
      <c r="K9" s="134"/>
      <c r="L9" s="134"/>
      <c r="M9" s="134"/>
      <c r="N9" s="134"/>
      <c r="O9" s="134"/>
      <c r="P9" s="134"/>
      <c r="Q9" s="134"/>
      <c r="R9" s="134"/>
      <c r="S9" s="134" t="s">
        <v>314</v>
      </c>
      <c r="T9" s="676"/>
      <c r="CF9" s="42" t="n">
        <v>19</v>
      </c>
    </row>
    <row r="10" customFormat="false" ht="48" hidden="false" customHeight="true" outlineLevel="0" collapsed="false">
      <c r="D10" s="147" t="s">
        <v>87</v>
      </c>
      <c r="E10" s="134" t="s">
        <v>87</v>
      </c>
      <c r="F10" s="134"/>
      <c r="G10" s="146" t="s">
        <v>315</v>
      </c>
      <c r="H10" s="134" t="s">
        <v>87</v>
      </c>
      <c r="I10" s="134"/>
      <c r="J10" s="146" t="s">
        <v>630</v>
      </c>
      <c r="K10" s="146" t="s">
        <v>631</v>
      </c>
      <c r="L10" s="134" t="s">
        <v>87</v>
      </c>
      <c r="M10" s="134"/>
      <c r="N10" s="146" t="s">
        <v>632</v>
      </c>
      <c r="O10" s="146" t="s">
        <v>633</v>
      </c>
      <c r="P10" s="146" t="s">
        <v>634</v>
      </c>
      <c r="Q10" s="146" t="s">
        <v>635</v>
      </c>
      <c r="R10" s="146" t="s">
        <v>636</v>
      </c>
      <c r="S10" s="134"/>
      <c r="T10" s="676"/>
      <c r="CF10" s="42" t="n">
        <v>46</v>
      </c>
    </row>
    <row r="11" s="47" customFormat="true" ht="15" hidden="true" customHeight="true" outlineLevel="0" collapsed="false">
      <c r="A11" s="456"/>
      <c r="D11" s="456" t="s">
        <v>120</v>
      </c>
      <c r="E11" s="456"/>
      <c r="F11" s="456" t="s">
        <v>102</v>
      </c>
      <c r="G11" s="456" t="s">
        <v>89</v>
      </c>
      <c r="H11" s="456"/>
      <c r="I11" s="456" t="s">
        <v>90</v>
      </c>
      <c r="J11" s="456" t="s">
        <v>121</v>
      </c>
      <c r="K11" s="456" t="s">
        <v>91</v>
      </c>
      <c r="L11" s="456"/>
      <c r="M11" s="456" t="s">
        <v>92</v>
      </c>
      <c r="N11" s="456" t="s">
        <v>122</v>
      </c>
      <c r="O11" s="456" t="s">
        <v>163</v>
      </c>
      <c r="P11" s="456" t="s">
        <v>164</v>
      </c>
      <c r="Q11" s="456" t="s">
        <v>165</v>
      </c>
      <c r="R11" s="456" t="s">
        <v>166</v>
      </c>
      <c r="S11" s="456" t="s">
        <v>167</v>
      </c>
      <c r="CF11" s="47" t="n">
        <v>0</v>
      </c>
    </row>
    <row r="12" s="42" customFormat="true" ht="0.75" hidden="false" customHeight="true" outlineLevel="0" collapsed="false">
      <c r="A12" s="113"/>
      <c r="B12" s="45"/>
      <c r="D12" s="456"/>
      <c r="E12" s="114"/>
      <c r="F12" s="114"/>
      <c r="Q12" s="131"/>
      <c r="R12" s="677"/>
      <c r="T12" s="676"/>
      <c r="U12" s="47"/>
      <c r="V12" s="47"/>
      <c r="W12" s="45"/>
      <c r="X12" s="45"/>
      <c r="Y12" s="45"/>
      <c r="Z12" s="45"/>
      <c r="AA12" s="45"/>
      <c r="CF12" s="42" t="n">
        <v>1</v>
      </c>
    </row>
    <row r="13" s="120" customFormat="true" ht="0.75" hidden="false" customHeight="true" outlineLevel="0" collapsed="false">
      <c r="A13" s="456"/>
      <c r="B13" s="47"/>
      <c r="D13" s="456" t="s">
        <v>389</v>
      </c>
      <c r="E13" s="624"/>
      <c r="F13" s="624"/>
      <c r="G13" s="624"/>
      <c r="H13" s="624"/>
      <c r="I13" s="624"/>
      <c r="J13" s="624"/>
      <c r="K13" s="624"/>
      <c r="L13" s="624"/>
      <c r="M13" s="624"/>
      <c r="N13" s="624"/>
      <c r="O13" s="624"/>
      <c r="P13" s="624"/>
      <c r="Q13" s="624"/>
      <c r="R13" s="624"/>
      <c r="T13" s="676"/>
      <c r="U13" s="47"/>
      <c r="V13" s="47"/>
      <c r="W13" s="47"/>
      <c r="X13" s="47"/>
      <c r="Y13" s="47"/>
      <c r="Z13" s="47"/>
      <c r="AA13" s="47"/>
      <c r="CF13" s="120" t="n">
        <v>1</v>
      </c>
    </row>
    <row r="14" s="53" customFormat="true" ht="15" hidden="true" customHeight="true" outlineLevel="0" collapsed="false">
      <c r="A14" s="678" t="s">
        <v>127</v>
      </c>
      <c r="D14" s="556" t="s">
        <v>120</v>
      </c>
      <c r="E14" s="679" t="s">
        <v>116</v>
      </c>
      <c r="F14" s="679"/>
      <c r="G14" s="679"/>
      <c r="H14" s="680" t="str">
        <f aca="false">IF(A14="","",INDEX(DIFFERENTIATION_UNMERGE_VD,MATCH(A14,DIFFERENTIATION_ID_DIFF,0)))</f>
        <v>Производство тепловой энергии. Некомбинированная выработка</v>
      </c>
      <c r="I14" s="680"/>
      <c r="J14" s="680"/>
      <c r="K14" s="680"/>
      <c r="L14" s="680"/>
      <c r="M14" s="680"/>
      <c r="N14" s="680"/>
      <c r="O14" s="680"/>
      <c r="P14" s="680"/>
      <c r="Q14" s="680"/>
      <c r="R14" s="680"/>
      <c r="S14" s="681"/>
      <c r="T14" s="682"/>
      <c r="U14" s="156"/>
      <c r="V14" s="156"/>
      <c r="W14" s="54"/>
      <c r="X14" s="54"/>
      <c r="Y14" s="54"/>
      <c r="Z14" s="54"/>
      <c r="AA14" s="156"/>
      <c r="AB14" s="54"/>
      <c r="AC14" s="683"/>
      <c r="AD14" s="54"/>
      <c r="AE14" s="684"/>
      <c r="AF14" s="684"/>
      <c r="AG14" s="685" t="s">
        <v>637</v>
      </c>
      <c r="AH14" s="686" t="n">
        <v>3</v>
      </c>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54"/>
      <c r="BW14" s="54"/>
      <c r="BX14" s="54"/>
      <c r="BY14" s="54"/>
      <c r="BZ14" s="54"/>
      <c r="CA14" s="54"/>
      <c r="CB14" s="54"/>
      <c r="CC14" s="54"/>
      <c r="CD14" s="54"/>
      <c r="CE14" s="54"/>
      <c r="CF14" s="53" t="n">
        <v>0</v>
      </c>
    </row>
    <row r="15" s="53" customFormat="true" ht="15" hidden="true" customHeight="true" outlineLevel="0" collapsed="false">
      <c r="A15" s="678"/>
      <c r="D15" s="556"/>
      <c r="E15" s="679" t="s">
        <v>577</v>
      </c>
      <c r="F15" s="679"/>
      <c r="G15" s="679"/>
      <c r="H15" s="680" t="str">
        <f aca="false">IF(A14="","",INDEX(DIFFERENTIATION_UNMERGE_AREA,MATCH(A14,DIFFERENTIATION_ID_DIFF,0)))</f>
        <v>Территория 1</v>
      </c>
      <c r="I15" s="680"/>
      <c r="J15" s="680"/>
      <c r="K15" s="680"/>
      <c r="L15" s="680"/>
      <c r="M15" s="680"/>
      <c r="N15" s="680"/>
      <c r="O15" s="680"/>
      <c r="P15" s="680"/>
      <c r="Q15" s="680"/>
      <c r="R15" s="680"/>
      <c r="S15" s="681"/>
      <c r="T15" s="682"/>
      <c r="U15" s="156"/>
      <c r="V15" s="156"/>
      <c r="W15" s="54"/>
      <c r="X15" s="54"/>
      <c r="Y15" s="54"/>
      <c r="Z15" s="54"/>
      <c r="AA15" s="156"/>
      <c r="AB15" s="54"/>
      <c r="AC15" s="683"/>
      <c r="AD15" s="54"/>
      <c r="AE15" s="684"/>
      <c r="AF15" s="684"/>
      <c r="AG15" s="685"/>
      <c r="AH15" s="68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c r="BT15" s="156"/>
      <c r="BU15" s="156"/>
      <c r="BV15" s="54"/>
      <c r="BW15" s="54"/>
      <c r="BX15" s="54"/>
      <c r="BY15" s="54"/>
      <c r="BZ15" s="54"/>
      <c r="CA15" s="54"/>
      <c r="CB15" s="54"/>
      <c r="CC15" s="54"/>
      <c r="CD15" s="54"/>
      <c r="CE15" s="54"/>
      <c r="CF15" s="53" t="n">
        <v>0</v>
      </c>
    </row>
    <row r="16" s="53" customFormat="true" ht="15" hidden="true" customHeight="true" outlineLevel="0" collapsed="false">
      <c r="A16" s="678"/>
      <c r="D16" s="556"/>
      <c r="E16" s="679" t="s">
        <v>578</v>
      </c>
      <c r="F16" s="679"/>
      <c r="G16" s="679"/>
      <c r="H16" s="680" t="str">
        <f aca="false">IF(A14="","",INDEX(DIFFERENTIATION_UNMERGE_SYSTEM,MATCH(A14,DIFFERENTIATION_ID_DIFF,0)))</f>
        <v>без дифференциации</v>
      </c>
      <c r="I16" s="680"/>
      <c r="J16" s="680"/>
      <c r="K16" s="680"/>
      <c r="L16" s="680"/>
      <c r="M16" s="680"/>
      <c r="N16" s="680"/>
      <c r="O16" s="680"/>
      <c r="P16" s="680"/>
      <c r="Q16" s="680"/>
      <c r="R16" s="680"/>
      <c r="S16" s="681"/>
      <c r="T16" s="682"/>
      <c r="U16" s="156"/>
      <c r="V16" s="156"/>
      <c r="W16" s="54"/>
      <c r="X16" s="54"/>
      <c r="Y16" s="54"/>
      <c r="Z16" s="54"/>
      <c r="AA16" s="156"/>
      <c r="AB16" s="54"/>
      <c r="AC16" s="683"/>
      <c r="AD16" s="54"/>
      <c r="AE16" s="684"/>
      <c r="AF16" s="684"/>
      <c r="AG16" s="685"/>
      <c r="AH16" s="68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54"/>
      <c r="BW16" s="54"/>
      <c r="BX16" s="54"/>
      <c r="BY16" s="54"/>
      <c r="BZ16" s="54"/>
      <c r="CA16" s="54"/>
      <c r="CB16" s="54"/>
      <c r="CC16" s="54"/>
      <c r="CD16" s="54"/>
      <c r="CE16" s="54"/>
      <c r="CF16" s="53" t="n">
        <v>0</v>
      </c>
    </row>
    <row r="17" s="53" customFormat="true" ht="22.5" hidden="true" customHeight="true" outlineLevel="0" collapsed="false">
      <c r="A17" s="44"/>
      <c r="B17" s="45"/>
      <c r="C17" s="157"/>
      <c r="D17" s="556"/>
      <c r="E17" s="687" t="s">
        <v>638</v>
      </c>
      <c r="F17" s="687"/>
      <c r="G17" s="687"/>
      <c r="H17" s="687"/>
      <c r="I17" s="687"/>
      <c r="J17" s="687"/>
      <c r="K17" s="687"/>
      <c r="L17" s="687"/>
      <c r="M17" s="687"/>
      <c r="N17" s="687"/>
      <c r="O17" s="687"/>
      <c r="P17" s="687"/>
      <c r="Q17" s="621" t="n">
        <f aca="false">SUMIF(T18:T19,"i",Q18:Q19)</f>
        <v>0</v>
      </c>
      <c r="R17" s="688"/>
      <c r="S17" s="619" t="s">
        <v>639</v>
      </c>
      <c r="T17" s="682" t="s">
        <v>640</v>
      </c>
      <c r="U17" s="121" t="n">
        <v>1</v>
      </c>
      <c r="V17" s="121" t="str">
        <f aca="false">INDEX(B_FHD_FLAG_INDEX_1,1,MATCH(A14,B_FHD_FLAG_DIFFERENTIATION,0))</f>
        <v>отсутствует</v>
      </c>
      <c r="W17" s="45"/>
      <c r="X17" s="45"/>
      <c r="Y17" s="45"/>
      <c r="Z17" s="45"/>
      <c r="AA17" s="47"/>
      <c r="AB17" s="45"/>
      <c r="AC17" s="683"/>
      <c r="AD17" s="54"/>
      <c r="AE17" s="45"/>
      <c r="AF17" s="45"/>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5"/>
      <c r="BW17" s="45"/>
      <c r="BX17" s="45"/>
      <c r="BY17" s="45"/>
      <c r="BZ17" s="45"/>
      <c r="CA17" s="45"/>
      <c r="CB17" s="45"/>
      <c r="CC17" s="45"/>
      <c r="CD17" s="45"/>
      <c r="CE17" s="45"/>
      <c r="CF17" s="53" t="n">
        <v>0</v>
      </c>
    </row>
    <row r="18" s="53" customFormat="true" ht="11.25" hidden="true" customHeight="true" outlineLevel="0" collapsed="false">
      <c r="A18" s="121"/>
      <c r="B18" s="47"/>
      <c r="C18" s="47"/>
      <c r="D18" s="556"/>
      <c r="E18" s="301"/>
      <c r="F18" s="301" t="n">
        <v>0</v>
      </c>
      <c r="G18" s="301"/>
      <c r="H18" s="301"/>
      <c r="I18" s="301"/>
      <c r="J18" s="301"/>
      <c r="K18" s="301"/>
      <c r="L18" s="301"/>
      <c r="M18" s="301"/>
      <c r="N18" s="301"/>
      <c r="O18" s="301"/>
      <c r="P18" s="301"/>
      <c r="Q18" s="301"/>
      <c r="R18" s="301"/>
      <c r="S18" s="300"/>
      <c r="T18" s="689"/>
      <c r="U18" s="121"/>
      <c r="V18" s="121"/>
      <c r="W18" s="47"/>
      <c r="X18" s="47"/>
      <c r="Y18" s="47"/>
      <c r="Z18" s="47"/>
      <c r="AA18" s="47"/>
      <c r="AB18" s="45"/>
      <c r="AC18" s="683"/>
      <c r="AD18" s="54"/>
      <c r="AE18" s="45"/>
      <c r="AF18" s="45"/>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53" t="n">
        <v>0</v>
      </c>
    </row>
    <row r="19" s="53" customFormat="true" ht="11.25" hidden="true" customHeight="true" outlineLevel="0" collapsed="false">
      <c r="A19" s="44"/>
      <c r="B19" s="45"/>
      <c r="C19" s="157"/>
      <c r="D19" s="556"/>
      <c r="E19" s="541"/>
      <c r="F19" s="161"/>
      <c r="G19" s="161"/>
      <c r="H19" s="168"/>
      <c r="I19" s="168"/>
      <c r="J19" s="168"/>
      <c r="K19" s="168"/>
      <c r="L19" s="168"/>
      <c r="M19" s="168"/>
      <c r="N19" s="168"/>
      <c r="O19" s="168"/>
      <c r="P19" s="168"/>
      <c r="Q19" s="168"/>
      <c r="R19" s="207"/>
      <c r="S19" s="687"/>
      <c r="T19" s="689"/>
      <c r="U19" s="121"/>
      <c r="V19" s="121"/>
      <c r="W19" s="45"/>
      <c r="X19" s="45"/>
      <c r="Y19" s="45"/>
      <c r="Z19" s="45"/>
      <c r="AA19" s="47"/>
      <c r="AB19" s="45"/>
      <c r="AC19" s="683"/>
      <c r="AD19" s="54"/>
      <c r="AE19" s="45"/>
      <c r="AF19" s="45"/>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5"/>
      <c r="BW19" s="45"/>
      <c r="BX19" s="45"/>
      <c r="BY19" s="45"/>
      <c r="BZ19" s="45"/>
      <c r="CA19" s="45"/>
      <c r="CB19" s="45"/>
      <c r="CC19" s="45"/>
      <c r="CD19" s="45"/>
      <c r="CE19" s="45"/>
      <c r="CF19" s="53" t="n">
        <v>0</v>
      </c>
    </row>
    <row r="20" s="53" customFormat="true" ht="22.5" hidden="true" customHeight="true" outlineLevel="0" collapsed="false">
      <c r="A20" s="44"/>
      <c r="B20" s="45"/>
      <c r="C20" s="157"/>
      <c r="D20" s="556"/>
      <c r="E20" s="687" t="s">
        <v>641</v>
      </c>
      <c r="F20" s="687"/>
      <c r="G20" s="687"/>
      <c r="H20" s="687"/>
      <c r="I20" s="687"/>
      <c r="J20" s="687"/>
      <c r="K20" s="687"/>
      <c r="L20" s="687"/>
      <c r="M20" s="687"/>
      <c r="N20" s="687"/>
      <c r="O20" s="687"/>
      <c r="P20" s="687"/>
      <c r="Q20" s="621" t="n">
        <f aca="false">SUMIF(T21:T22,"i",Q21:Q22)</f>
        <v>0</v>
      </c>
      <c r="R20" s="688"/>
      <c r="S20" s="619" t="s">
        <v>642</v>
      </c>
      <c r="T20" s="682" t="s">
        <v>640</v>
      </c>
      <c r="U20" s="121" t="n">
        <v>2</v>
      </c>
      <c r="V20" s="121" t="str">
        <f aca="false">INDEX(B_FHD_FLAG_INDEX_2,1,MATCH(A14,B_FHD_FLAG_DIFFERENTIATION,0))</f>
        <v>отсутствует</v>
      </c>
      <c r="W20" s="45"/>
      <c r="X20" s="45"/>
      <c r="Y20" s="45"/>
      <c r="Z20" s="45"/>
      <c r="AA20" s="47"/>
      <c r="AB20" s="45"/>
      <c r="AC20" s="683"/>
      <c r="AD20" s="54"/>
      <c r="AE20" s="45"/>
      <c r="AF20" s="45"/>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5"/>
      <c r="BW20" s="45"/>
      <c r="BX20" s="45"/>
      <c r="BY20" s="45"/>
      <c r="BZ20" s="45"/>
      <c r="CA20" s="45"/>
      <c r="CB20" s="45"/>
      <c r="CC20" s="45"/>
      <c r="CD20" s="45"/>
      <c r="CE20" s="45"/>
      <c r="CF20" s="53" t="n">
        <v>0</v>
      </c>
    </row>
    <row r="21" s="53" customFormat="true" ht="11.25" hidden="true" customHeight="true" outlineLevel="0" collapsed="false">
      <c r="A21" s="121"/>
      <c r="B21" s="47"/>
      <c r="C21" s="47"/>
      <c r="D21" s="556"/>
      <c r="E21" s="301"/>
      <c r="F21" s="301" t="n">
        <v>0</v>
      </c>
      <c r="G21" s="301"/>
      <c r="H21" s="301"/>
      <c r="I21" s="301"/>
      <c r="J21" s="301"/>
      <c r="K21" s="301"/>
      <c r="L21" s="301"/>
      <c r="M21" s="301"/>
      <c r="N21" s="301"/>
      <c r="O21" s="301"/>
      <c r="P21" s="301"/>
      <c r="Q21" s="301"/>
      <c r="R21" s="301"/>
      <c r="S21" s="300"/>
      <c r="T21" s="689"/>
      <c r="U21" s="121"/>
      <c r="V21" s="121"/>
      <c r="W21" s="47"/>
      <c r="X21" s="47"/>
      <c r="Y21" s="47"/>
      <c r="Z21" s="47"/>
      <c r="AA21" s="47"/>
      <c r="AB21" s="45"/>
      <c r="AC21" s="683"/>
      <c r="AD21" s="54"/>
      <c r="AE21" s="45"/>
      <c r="AF21" s="45"/>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53" t="n">
        <v>0</v>
      </c>
    </row>
    <row r="22" s="53" customFormat="true" ht="11.25" hidden="true" customHeight="true" outlineLevel="0" collapsed="false">
      <c r="A22" s="44"/>
      <c r="B22" s="45"/>
      <c r="C22" s="157"/>
      <c r="D22" s="556"/>
      <c r="E22" s="541"/>
      <c r="F22" s="161"/>
      <c r="G22" s="161"/>
      <c r="H22" s="168"/>
      <c r="I22" s="168"/>
      <c r="J22" s="168"/>
      <c r="K22" s="168"/>
      <c r="L22" s="168"/>
      <c r="M22" s="168"/>
      <c r="N22" s="168"/>
      <c r="O22" s="168"/>
      <c r="P22" s="168"/>
      <c r="Q22" s="168"/>
      <c r="R22" s="207"/>
      <c r="S22" s="687"/>
      <c r="T22" s="689"/>
      <c r="U22" s="121"/>
      <c r="V22" s="121"/>
      <c r="W22" s="45"/>
      <c r="X22" s="45"/>
      <c r="Y22" s="45"/>
      <c r="Z22" s="45"/>
      <c r="AA22" s="47"/>
      <c r="AB22" s="45"/>
      <c r="AC22" s="683"/>
      <c r="AD22" s="54"/>
      <c r="AE22" s="45"/>
      <c r="AF22" s="45"/>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5"/>
      <c r="BW22" s="45"/>
      <c r="BX22" s="45"/>
      <c r="BY22" s="45"/>
      <c r="BZ22" s="45"/>
      <c r="CA22" s="45"/>
      <c r="CB22" s="45"/>
      <c r="CC22" s="45"/>
      <c r="CD22" s="45"/>
      <c r="CE22" s="45"/>
      <c r="CF22" s="53" t="n">
        <v>0</v>
      </c>
    </row>
    <row r="23" customFormat="false" ht="15" hidden="true" customHeight="true" outlineLevel="0" collapsed="false">
      <c r="A23" s="678" t="s">
        <v>131</v>
      </c>
      <c r="B23" s="53"/>
      <c r="C23" s="53"/>
      <c r="D23" s="198" t="s">
        <v>165</v>
      </c>
      <c r="E23" s="679" t="s">
        <v>116</v>
      </c>
      <c r="F23" s="679"/>
      <c r="G23" s="679"/>
      <c r="H23" s="680" t="str">
        <f aca="false">IF(A23="","",INDEX(DIFFERENTIATION_UNMERGE_VD,MATCH(A23,DIFFERENTIATION_ID_DIFF,0)))</f>
        <v>Производство тепловой энергии. Некомбинированная выработка</v>
      </c>
      <c r="I23" s="680"/>
      <c r="J23" s="680"/>
      <c r="K23" s="680"/>
      <c r="L23" s="680"/>
      <c r="M23" s="680"/>
      <c r="N23" s="680"/>
      <c r="O23" s="680"/>
      <c r="P23" s="680"/>
      <c r="Q23" s="680"/>
      <c r="R23" s="680"/>
      <c r="S23" s="681"/>
      <c r="T23" s="682"/>
      <c r="U23" s="156"/>
      <c r="V23" s="156"/>
      <c r="W23" s="54"/>
      <c r="X23" s="54"/>
      <c r="Y23" s="54"/>
      <c r="Z23" s="54"/>
      <c r="AA23" s="156"/>
      <c r="AB23" s="54"/>
      <c r="AC23" s="683"/>
      <c r="AD23" s="54"/>
      <c r="AE23" s="684"/>
      <c r="AF23" s="684"/>
      <c r="AG23" s="685" t="s">
        <v>637</v>
      </c>
      <c r="AH23" s="686" t="n">
        <v>3</v>
      </c>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c r="BG23" s="156"/>
      <c r="BH23" s="156"/>
      <c r="BI23" s="156"/>
      <c r="BJ23" s="156"/>
      <c r="BK23" s="156"/>
      <c r="BL23" s="156"/>
      <c r="BM23" s="156"/>
      <c r="BN23" s="156"/>
      <c r="BO23" s="156"/>
      <c r="BP23" s="156"/>
      <c r="BQ23" s="156"/>
      <c r="BR23" s="156"/>
      <c r="BS23" s="156"/>
      <c r="BT23" s="156"/>
      <c r="BU23" s="156"/>
      <c r="BV23" s="54"/>
      <c r="BW23" s="54"/>
      <c r="BX23" s="54"/>
      <c r="BY23" s="54"/>
      <c r="BZ23" s="54"/>
      <c r="CA23" s="54"/>
      <c r="CB23" s="54"/>
      <c r="CC23" s="54"/>
      <c r="CD23" s="54"/>
      <c r="CE23" s="54"/>
      <c r="CF23" s="53"/>
    </row>
    <row r="24" customFormat="false" ht="15" hidden="true" customHeight="true" outlineLevel="0" collapsed="false">
      <c r="A24" s="678"/>
      <c r="B24" s="53"/>
      <c r="C24" s="53"/>
      <c r="D24" s="198"/>
      <c r="E24" s="679" t="s">
        <v>577</v>
      </c>
      <c r="F24" s="679"/>
      <c r="G24" s="679"/>
      <c r="H24" s="680" t="str">
        <f aca="false">IF(A23="","",INDEX(DIFFERENTIATION_UNMERGE_AREA,MATCH(A23,DIFFERENTIATION_ID_DIFF,0)))</f>
        <v>Территория 2</v>
      </c>
      <c r="I24" s="680"/>
      <c r="J24" s="680"/>
      <c r="K24" s="680"/>
      <c r="L24" s="680"/>
      <c r="M24" s="680"/>
      <c r="N24" s="680"/>
      <c r="O24" s="680"/>
      <c r="P24" s="680"/>
      <c r="Q24" s="680"/>
      <c r="R24" s="680"/>
      <c r="S24" s="681"/>
      <c r="T24" s="682"/>
      <c r="U24" s="156"/>
      <c r="V24" s="156"/>
      <c r="W24" s="54"/>
      <c r="X24" s="54"/>
      <c r="Y24" s="54"/>
      <c r="Z24" s="54"/>
      <c r="AA24" s="156"/>
      <c r="AB24" s="54"/>
      <c r="AC24" s="683"/>
      <c r="AD24" s="54"/>
      <c r="AE24" s="684"/>
      <c r="AF24" s="684"/>
      <c r="AG24" s="685"/>
      <c r="AH24" s="68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156"/>
      <c r="BK24" s="156"/>
      <c r="BL24" s="156"/>
      <c r="BM24" s="156"/>
      <c r="BN24" s="156"/>
      <c r="BO24" s="156"/>
      <c r="BP24" s="156"/>
      <c r="BQ24" s="156"/>
      <c r="BR24" s="156"/>
      <c r="BS24" s="156"/>
      <c r="BT24" s="156"/>
      <c r="BU24" s="156"/>
      <c r="BV24" s="54"/>
      <c r="BW24" s="54"/>
      <c r="BX24" s="54"/>
      <c r="BY24" s="54"/>
      <c r="BZ24" s="54"/>
      <c r="CA24" s="54"/>
      <c r="CB24" s="54"/>
      <c r="CC24" s="54"/>
      <c r="CD24" s="54"/>
      <c r="CE24" s="54"/>
      <c r="CF24" s="53"/>
    </row>
    <row r="25" customFormat="false" ht="15" hidden="true" customHeight="true" outlineLevel="0" collapsed="false">
      <c r="A25" s="678"/>
      <c r="B25" s="53"/>
      <c r="C25" s="53"/>
      <c r="D25" s="198"/>
      <c r="E25" s="679" t="s">
        <v>578</v>
      </c>
      <c r="F25" s="679"/>
      <c r="G25" s="679"/>
      <c r="H25" s="680" t="str">
        <f aca="false">IF(A23="","",INDEX(DIFFERENTIATION_UNMERGE_SYSTEM,MATCH(A23,DIFFERENTIATION_ID_DIFF,0)))</f>
        <v>без дифференциации</v>
      </c>
      <c r="I25" s="680"/>
      <c r="J25" s="680"/>
      <c r="K25" s="680"/>
      <c r="L25" s="680"/>
      <c r="M25" s="680"/>
      <c r="N25" s="680"/>
      <c r="O25" s="680"/>
      <c r="P25" s="680"/>
      <c r="Q25" s="680"/>
      <c r="R25" s="680"/>
      <c r="S25" s="681"/>
      <c r="T25" s="682"/>
      <c r="U25" s="156"/>
      <c r="V25" s="156"/>
      <c r="W25" s="54"/>
      <c r="X25" s="54"/>
      <c r="Y25" s="54"/>
      <c r="Z25" s="54"/>
      <c r="AA25" s="156"/>
      <c r="AB25" s="54"/>
      <c r="AC25" s="683"/>
      <c r="AD25" s="54"/>
      <c r="AE25" s="684"/>
      <c r="AF25" s="684"/>
      <c r="AG25" s="685"/>
      <c r="AH25" s="68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c r="BG25" s="156"/>
      <c r="BH25" s="156"/>
      <c r="BI25" s="156"/>
      <c r="BJ25" s="156"/>
      <c r="BK25" s="156"/>
      <c r="BL25" s="156"/>
      <c r="BM25" s="156"/>
      <c r="BN25" s="156"/>
      <c r="BO25" s="156"/>
      <c r="BP25" s="156"/>
      <c r="BQ25" s="156"/>
      <c r="BR25" s="156"/>
      <c r="BS25" s="156"/>
      <c r="BT25" s="156"/>
      <c r="BU25" s="156"/>
      <c r="BV25" s="54"/>
      <c r="BW25" s="54"/>
      <c r="BX25" s="54"/>
      <c r="BY25" s="54"/>
      <c r="BZ25" s="54"/>
      <c r="CA25" s="54"/>
      <c r="CB25" s="54"/>
      <c r="CC25" s="54"/>
      <c r="CD25" s="54"/>
      <c r="CE25" s="54"/>
      <c r="CF25" s="53"/>
    </row>
    <row r="26" customFormat="false" ht="24.75" hidden="true" customHeight="true" outlineLevel="0" collapsed="false">
      <c r="A26" s="44"/>
      <c r="C26" s="157"/>
      <c r="D26" s="198"/>
      <c r="E26" s="687" t="s">
        <v>638</v>
      </c>
      <c r="F26" s="687"/>
      <c r="G26" s="687"/>
      <c r="H26" s="687"/>
      <c r="I26" s="687"/>
      <c r="J26" s="687"/>
      <c r="K26" s="687"/>
      <c r="L26" s="687"/>
      <c r="M26" s="687"/>
      <c r="N26" s="687"/>
      <c r="O26" s="687"/>
      <c r="P26" s="687"/>
      <c r="Q26" s="621" t="n">
        <f aca="false">SUMIF(T27:T28,"i",Q27:Q28)</f>
        <v>0</v>
      </c>
      <c r="R26" s="688"/>
      <c r="S26" s="619" t="s">
        <v>639</v>
      </c>
      <c r="T26" s="682" t="s">
        <v>640</v>
      </c>
      <c r="U26" s="121" t="n">
        <v>1</v>
      </c>
      <c r="V26" s="121" t="s">
        <v>591</v>
      </c>
      <c r="AA26" s="47"/>
      <c r="AB26" s="45"/>
      <c r="AC26" s="683"/>
      <c r="AD26" s="54"/>
      <c r="AE26" s="45"/>
      <c r="AF26" s="45"/>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5"/>
      <c r="BW26" s="45"/>
      <c r="BX26" s="45"/>
      <c r="BY26" s="45"/>
      <c r="BZ26" s="45"/>
      <c r="CA26" s="45"/>
      <c r="CB26" s="45"/>
      <c r="CC26" s="45"/>
      <c r="CD26" s="45"/>
      <c r="CE26" s="45"/>
      <c r="CF26" s="53"/>
    </row>
    <row r="27" customFormat="false" ht="11.25" hidden="true" customHeight="true" outlineLevel="0" collapsed="false">
      <c r="A27" s="121"/>
      <c r="B27" s="47"/>
      <c r="C27" s="47"/>
      <c r="D27" s="198"/>
      <c r="E27" s="301"/>
      <c r="F27" s="301" t="n">
        <v>0</v>
      </c>
      <c r="G27" s="301"/>
      <c r="H27" s="301"/>
      <c r="I27" s="301"/>
      <c r="J27" s="301"/>
      <c r="K27" s="301"/>
      <c r="L27" s="301"/>
      <c r="M27" s="301"/>
      <c r="N27" s="301"/>
      <c r="O27" s="301"/>
      <c r="P27" s="301"/>
      <c r="Q27" s="301"/>
      <c r="R27" s="301"/>
      <c r="S27" s="300"/>
      <c r="T27" s="689"/>
      <c r="U27" s="121"/>
      <c r="V27" s="121"/>
      <c r="W27" s="47"/>
      <c r="X27" s="47"/>
      <c r="Y27" s="47"/>
      <c r="Z27" s="47"/>
      <c r="AA27" s="47"/>
      <c r="AB27" s="45"/>
      <c r="AC27" s="683"/>
      <c r="AD27" s="54"/>
      <c r="AE27" s="45"/>
      <c r="AF27" s="45"/>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53"/>
    </row>
    <row r="28" customFormat="false" ht="11.25" hidden="true" customHeight="true" outlineLevel="0" collapsed="false">
      <c r="A28" s="44"/>
      <c r="C28" s="157"/>
      <c r="D28" s="198"/>
      <c r="E28" s="541"/>
      <c r="F28" s="161"/>
      <c r="G28" s="161" t="s">
        <v>643</v>
      </c>
      <c r="H28" s="168"/>
      <c r="I28" s="168"/>
      <c r="J28" s="168"/>
      <c r="K28" s="168"/>
      <c r="L28" s="168"/>
      <c r="M28" s="168"/>
      <c r="N28" s="168"/>
      <c r="O28" s="168"/>
      <c r="P28" s="168"/>
      <c r="Q28" s="168"/>
      <c r="R28" s="207"/>
      <c r="S28" s="690"/>
      <c r="T28" s="689"/>
      <c r="U28" s="121"/>
      <c r="V28" s="121"/>
      <c r="AA28" s="47"/>
      <c r="AB28" s="45"/>
      <c r="AC28" s="683"/>
      <c r="AD28" s="54"/>
      <c r="AE28" s="45"/>
      <c r="AF28" s="45"/>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5"/>
      <c r="BW28" s="45"/>
      <c r="BX28" s="45"/>
      <c r="BY28" s="45"/>
      <c r="BZ28" s="45"/>
      <c r="CA28" s="45"/>
      <c r="CB28" s="45"/>
      <c r="CC28" s="45"/>
      <c r="CD28" s="45"/>
      <c r="CE28" s="45"/>
      <c r="CF28" s="53"/>
    </row>
    <row r="29" customFormat="false" ht="5.25" hidden="true" customHeight="true" outlineLevel="0" collapsed="false">
      <c r="A29" s="121"/>
      <c r="B29" s="47"/>
      <c r="C29" s="47"/>
      <c r="D29" s="198"/>
      <c r="E29" s="691"/>
      <c r="F29" s="691"/>
      <c r="G29" s="691"/>
      <c r="H29" s="691"/>
      <c r="I29" s="691"/>
      <c r="J29" s="691"/>
      <c r="K29" s="691"/>
      <c r="L29" s="691"/>
      <c r="M29" s="691"/>
      <c r="N29" s="691"/>
      <c r="O29" s="691"/>
      <c r="P29" s="691"/>
      <c r="Q29" s="553"/>
      <c r="R29" s="692"/>
      <c r="S29" s="301"/>
      <c r="T29" s="682" t="s">
        <v>640</v>
      </c>
      <c r="U29" s="121" t="n">
        <v>1</v>
      </c>
      <c r="V29" s="121" t="s">
        <v>591</v>
      </c>
      <c r="W29" s="47"/>
      <c r="X29" s="47"/>
      <c r="Y29" s="47"/>
      <c r="Z29" s="47"/>
      <c r="AA29" s="47"/>
      <c r="AB29" s="47"/>
      <c r="AC29" s="693"/>
      <c r="AD29" s="156"/>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156"/>
    </row>
    <row r="30" customFormat="false" ht="5.25" hidden="true" customHeight="true" outlineLevel="0" collapsed="false">
      <c r="A30" s="121"/>
      <c r="B30" s="47"/>
      <c r="C30" s="47"/>
      <c r="D30" s="198"/>
      <c r="E30" s="301"/>
      <c r="F30" s="301"/>
      <c r="G30" s="301"/>
      <c r="H30" s="301"/>
      <c r="I30" s="301"/>
      <c r="J30" s="301"/>
      <c r="K30" s="301"/>
      <c r="L30" s="301"/>
      <c r="M30" s="301"/>
      <c r="N30" s="301"/>
      <c r="O30" s="301"/>
      <c r="P30" s="301"/>
      <c r="Q30" s="301"/>
      <c r="R30" s="301"/>
      <c r="S30" s="300"/>
      <c r="T30" s="689"/>
      <c r="U30" s="121"/>
      <c r="V30" s="121"/>
      <c r="W30" s="47"/>
      <c r="X30" s="47"/>
      <c r="Y30" s="47"/>
      <c r="Z30" s="47"/>
      <c r="AA30" s="47"/>
      <c r="AB30" s="47"/>
      <c r="AC30" s="693"/>
      <c r="AD30" s="156"/>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156"/>
    </row>
    <row r="31" customFormat="false" ht="5.25" hidden="true" customHeight="true" outlineLevel="0" collapsed="false">
      <c r="A31" s="121"/>
      <c r="B31" s="47"/>
      <c r="C31" s="47"/>
      <c r="D31" s="198"/>
      <c r="E31" s="694"/>
      <c r="F31" s="695"/>
      <c r="G31" s="695"/>
      <c r="H31" s="696"/>
      <c r="I31" s="696"/>
      <c r="J31" s="696"/>
      <c r="K31" s="696"/>
      <c r="L31" s="696"/>
      <c r="M31" s="696"/>
      <c r="N31" s="696"/>
      <c r="O31" s="696"/>
      <c r="P31" s="696"/>
      <c r="Q31" s="696"/>
      <c r="R31" s="697"/>
      <c r="S31" s="698"/>
      <c r="T31" s="689"/>
      <c r="U31" s="121"/>
      <c r="V31" s="121"/>
      <c r="W31" s="47"/>
      <c r="X31" s="47"/>
      <c r="Y31" s="47"/>
      <c r="Z31" s="47"/>
      <c r="AA31" s="47"/>
      <c r="AB31" s="47"/>
      <c r="AC31" s="693"/>
      <c r="AD31" s="156"/>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156"/>
    </row>
    <row r="32" customFormat="false" ht="15" hidden="true" customHeight="true" outlineLevel="0" collapsed="false">
      <c r="A32" s="678" t="s">
        <v>132</v>
      </c>
      <c r="B32" s="53"/>
      <c r="C32" s="53"/>
      <c r="D32" s="198" t="s">
        <v>644</v>
      </c>
      <c r="E32" s="679" t="s">
        <v>116</v>
      </c>
      <c r="F32" s="679"/>
      <c r="G32" s="679"/>
      <c r="H32" s="680" t="str">
        <f aca="false">IF(A32="","",INDEX(DIFFERENTIATION_UNMERGE_VD,MATCH(A32,DIFFERENTIATION_ID_DIFF,0)))</f>
        <v>Производство тепловой энергии. Некомбинированная выработка</v>
      </c>
      <c r="I32" s="680"/>
      <c r="J32" s="680"/>
      <c r="K32" s="680"/>
      <c r="L32" s="680"/>
      <c r="M32" s="680"/>
      <c r="N32" s="680"/>
      <c r="O32" s="680"/>
      <c r="P32" s="680"/>
      <c r="Q32" s="680"/>
      <c r="R32" s="680"/>
      <c r="S32" s="681"/>
      <c r="T32" s="682"/>
      <c r="U32" s="156"/>
      <c r="V32" s="156"/>
      <c r="W32" s="54"/>
      <c r="X32" s="54"/>
      <c r="Y32" s="54"/>
      <c r="Z32" s="54"/>
      <c r="AA32" s="156"/>
      <c r="AB32" s="54"/>
      <c r="AC32" s="683"/>
      <c r="AD32" s="54"/>
      <c r="AE32" s="684"/>
      <c r="AF32" s="684"/>
      <c r="AG32" s="685" t="s">
        <v>637</v>
      </c>
      <c r="AH32" s="686" t="n">
        <v>3</v>
      </c>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6"/>
      <c r="BM32" s="156"/>
      <c r="BN32" s="156"/>
      <c r="BO32" s="156"/>
      <c r="BP32" s="156"/>
      <c r="BQ32" s="156"/>
      <c r="BR32" s="156"/>
      <c r="BS32" s="156"/>
      <c r="BT32" s="156"/>
      <c r="BU32" s="156"/>
      <c r="BV32" s="54"/>
      <c r="BW32" s="54"/>
      <c r="BX32" s="54"/>
      <c r="BY32" s="54"/>
      <c r="BZ32" s="54"/>
      <c r="CA32" s="54"/>
      <c r="CB32" s="54"/>
      <c r="CC32" s="54"/>
      <c r="CD32" s="54"/>
      <c r="CE32" s="54"/>
      <c r="CF32" s="53"/>
    </row>
    <row r="33" customFormat="false" ht="15" hidden="true" customHeight="true" outlineLevel="0" collapsed="false">
      <c r="A33" s="678"/>
      <c r="B33" s="53"/>
      <c r="C33" s="53"/>
      <c r="D33" s="198"/>
      <c r="E33" s="679" t="s">
        <v>577</v>
      </c>
      <c r="F33" s="679"/>
      <c r="G33" s="679"/>
      <c r="H33" s="680" t="str">
        <f aca="false">IF(A32="","",INDEX(DIFFERENTIATION_UNMERGE_AREA,MATCH(A32,DIFFERENTIATION_ID_DIFF,0)))</f>
        <v>Территория 3</v>
      </c>
      <c r="I33" s="680"/>
      <c r="J33" s="680"/>
      <c r="K33" s="680"/>
      <c r="L33" s="680"/>
      <c r="M33" s="680"/>
      <c r="N33" s="680"/>
      <c r="O33" s="680"/>
      <c r="P33" s="680"/>
      <c r="Q33" s="680"/>
      <c r="R33" s="680"/>
      <c r="S33" s="681"/>
      <c r="T33" s="682"/>
      <c r="U33" s="156"/>
      <c r="V33" s="156"/>
      <c r="W33" s="54"/>
      <c r="X33" s="54"/>
      <c r="Y33" s="54"/>
      <c r="Z33" s="54"/>
      <c r="AA33" s="156"/>
      <c r="AB33" s="54"/>
      <c r="AC33" s="683"/>
      <c r="AD33" s="54"/>
      <c r="AE33" s="684"/>
      <c r="AF33" s="684"/>
      <c r="AG33" s="685"/>
      <c r="AH33" s="68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c r="BG33" s="156"/>
      <c r="BH33" s="156"/>
      <c r="BI33" s="156"/>
      <c r="BJ33" s="156"/>
      <c r="BK33" s="156"/>
      <c r="BL33" s="156"/>
      <c r="BM33" s="156"/>
      <c r="BN33" s="156"/>
      <c r="BO33" s="156"/>
      <c r="BP33" s="156"/>
      <c r="BQ33" s="156"/>
      <c r="BR33" s="156"/>
      <c r="BS33" s="156"/>
      <c r="BT33" s="156"/>
      <c r="BU33" s="156"/>
      <c r="BV33" s="54"/>
      <c r="BW33" s="54"/>
      <c r="BX33" s="54"/>
      <c r="BY33" s="54"/>
      <c r="BZ33" s="54"/>
      <c r="CA33" s="54"/>
      <c r="CB33" s="54"/>
      <c r="CC33" s="54"/>
      <c r="CD33" s="54"/>
      <c r="CE33" s="54"/>
      <c r="CF33" s="53"/>
    </row>
    <row r="34" customFormat="false" ht="15" hidden="true" customHeight="true" outlineLevel="0" collapsed="false">
      <c r="A34" s="678"/>
      <c r="B34" s="53"/>
      <c r="C34" s="53"/>
      <c r="D34" s="198"/>
      <c r="E34" s="679" t="s">
        <v>578</v>
      </c>
      <c r="F34" s="679"/>
      <c r="G34" s="679"/>
      <c r="H34" s="680" t="str">
        <f aca="false">IF(A32="","",INDEX(DIFFERENTIATION_UNMERGE_SYSTEM,MATCH(A32,DIFFERENTIATION_ID_DIFF,0)))</f>
        <v>без дифференциации</v>
      </c>
      <c r="I34" s="680"/>
      <c r="J34" s="680"/>
      <c r="K34" s="680"/>
      <c r="L34" s="680"/>
      <c r="M34" s="680"/>
      <c r="N34" s="680"/>
      <c r="O34" s="680"/>
      <c r="P34" s="680"/>
      <c r="Q34" s="680"/>
      <c r="R34" s="680"/>
      <c r="S34" s="681"/>
      <c r="T34" s="682"/>
      <c r="U34" s="156"/>
      <c r="V34" s="156"/>
      <c r="W34" s="54"/>
      <c r="X34" s="54"/>
      <c r="Y34" s="54"/>
      <c r="Z34" s="54"/>
      <c r="AA34" s="156"/>
      <c r="AB34" s="54"/>
      <c r="AC34" s="683"/>
      <c r="AD34" s="54"/>
      <c r="AE34" s="684"/>
      <c r="AF34" s="684"/>
      <c r="AG34" s="685"/>
      <c r="AH34" s="68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c r="BG34" s="156"/>
      <c r="BH34" s="156"/>
      <c r="BI34" s="156"/>
      <c r="BJ34" s="156"/>
      <c r="BK34" s="156"/>
      <c r="BL34" s="156"/>
      <c r="BM34" s="156"/>
      <c r="BN34" s="156"/>
      <c r="BO34" s="156"/>
      <c r="BP34" s="156"/>
      <c r="BQ34" s="156"/>
      <c r="BR34" s="156"/>
      <c r="BS34" s="156"/>
      <c r="BT34" s="156"/>
      <c r="BU34" s="156"/>
      <c r="BV34" s="54"/>
      <c r="BW34" s="54"/>
      <c r="BX34" s="54"/>
      <c r="BY34" s="54"/>
      <c r="BZ34" s="54"/>
      <c r="CA34" s="54"/>
      <c r="CB34" s="54"/>
      <c r="CC34" s="54"/>
      <c r="CD34" s="54"/>
      <c r="CE34" s="54"/>
      <c r="CF34" s="53"/>
    </row>
    <row r="35" customFormat="false" ht="24.75" hidden="true" customHeight="true" outlineLevel="0" collapsed="false">
      <c r="A35" s="44"/>
      <c r="C35" s="157"/>
      <c r="D35" s="198"/>
      <c r="E35" s="687" t="s">
        <v>638</v>
      </c>
      <c r="F35" s="687"/>
      <c r="G35" s="687"/>
      <c r="H35" s="687"/>
      <c r="I35" s="687"/>
      <c r="J35" s="687"/>
      <c r="K35" s="687"/>
      <c r="L35" s="687"/>
      <c r="M35" s="687"/>
      <c r="N35" s="687"/>
      <c r="O35" s="687"/>
      <c r="P35" s="687"/>
      <c r="Q35" s="621" t="n">
        <f aca="false">SUMIF(T36:T37,"i",Q36:Q37)</f>
        <v>0</v>
      </c>
      <c r="R35" s="688"/>
      <c r="S35" s="619" t="s">
        <v>639</v>
      </c>
      <c r="T35" s="682" t="s">
        <v>640</v>
      </c>
      <c r="U35" s="121" t="n">
        <v>1</v>
      </c>
      <c r="V35" s="121" t="s">
        <v>591</v>
      </c>
      <c r="AA35" s="47"/>
      <c r="AB35" s="45"/>
      <c r="AC35" s="683"/>
      <c r="AD35" s="54"/>
      <c r="AE35" s="45"/>
      <c r="AF35" s="45"/>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5"/>
      <c r="BW35" s="45"/>
      <c r="BX35" s="45"/>
      <c r="BY35" s="45"/>
      <c r="BZ35" s="45"/>
      <c r="CA35" s="45"/>
      <c r="CB35" s="45"/>
      <c r="CC35" s="45"/>
      <c r="CD35" s="45"/>
      <c r="CE35" s="45"/>
      <c r="CF35" s="53"/>
    </row>
    <row r="36" customFormat="false" ht="11.25" hidden="true" customHeight="true" outlineLevel="0" collapsed="false">
      <c r="A36" s="121"/>
      <c r="B36" s="47"/>
      <c r="C36" s="47"/>
      <c r="D36" s="198"/>
      <c r="E36" s="301"/>
      <c r="F36" s="301" t="n">
        <v>0</v>
      </c>
      <c r="G36" s="301"/>
      <c r="H36" s="301"/>
      <c r="I36" s="301"/>
      <c r="J36" s="301"/>
      <c r="K36" s="301"/>
      <c r="L36" s="301"/>
      <c r="M36" s="301"/>
      <c r="N36" s="301"/>
      <c r="O36" s="301"/>
      <c r="P36" s="301"/>
      <c r="Q36" s="301"/>
      <c r="R36" s="301"/>
      <c r="S36" s="300"/>
      <c r="T36" s="689"/>
      <c r="U36" s="121"/>
      <c r="V36" s="121"/>
      <c r="W36" s="47"/>
      <c r="X36" s="47"/>
      <c r="Y36" s="47"/>
      <c r="Z36" s="47"/>
      <c r="AA36" s="47"/>
      <c r="AB36" s="45"/>
      <c r="AC36" s="683"/>
      <c r="AD36" s="54"/>
      <c r="AE36" s="45"/>
      <c r="AF36" s="45"/>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53"/>
    </row>
    <row r="37" customFormat="false" ht="11.25" hidden="true" customHeight="true" outlineLevel="0" collapsed="false">
      <c r="A37" s="44"/>
      <c r="C37" s="157"/>
      <c r="D37" s="198"/>
      <c r="E37" s="541"/>
      <c r="F37" s="161"/>
      <c r="G37" s="161" t="s">
        <v>643</v>
      </c>
      <c r="H37" s="168"/>
      <c r="I37" s="168"/>
      <c r="J37" s="168"/>
      <c r="K37" s="168"/>
      <c r="L37" s="168"/>
      <c r="M37" s="168"/>
      <c r="N37" s="168"/>
      <c r="O37" s="168"/>
      <c r="P37" s="168"/>
      <c r="Q37" s="168"/>
      <c r="R37" s="207"/>
      <c r="S37" s="690"/>
      <c r="T37" s="689"/>
      <c r="U37" s="121"/>
      <c r="V37" s="121"/>
      <c r="AA37" s="47"/>
      <c r="AB37" s="45"/>
      <c r="AC37" s="683"/>
      <c r="AD37" s="54"/>
      <c r="AE37" s="45"/>
      <c r="AF37" s="45"/>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5"/>
      <c r="BW37" s="45"/>
      <c r="BX37" s="45"/>
      <c r="BY37" s="45"/>
      <c r="BZ37" s="45"/>
      <c r="CA37" s="45"/>
      <c r="CB37" s="45"/>
      <c r="CC37" s="45"/>
      <c r="CD37" s="45"/>
      <c r="CE37" s="45"/>
      <c r="CF37" s="53"/>
    </row>
    <row r="38" customFormat="false" ht="5.25" hidden="true" customHeight="true" outlineLevel="0" collapsed="false">
      <c r="A38" s="121"/>
      <c r="B38" s="47"/>
      <c r="C38" s="47"/>
      <c r="D38" s="198"/>
      <c r="E38" s="691"/>
      <c r="F38" s="691"/>
      <c r="G38" s="691"/>
      <c r="H38" s="691"/>
      <c r="I38" s="691"/>
      <c r="J38" s="691"/>
      <c r="K38" s="691"/>
      <c r="L38" s="691"/>
      <c r="M38" s="691"/>
      <c r="N38" s="691"/>
      <c r="O38" s="691"/>
      <c r="P38" s="691"/>
      <c r="Q38" s="553"/>
      <c r="R38" s="692"/>
      <c r="S38" s="301"/>
      <c r="T38" s="682" t="s">
        <v>640</v>
      </c>
      <c r="U38" s="121" t="n">
        <v>1</v>
      </c>
      <c r="V38" s="121" t="s">
        <v>591</v>
      </c>
      <c r="W38" s="47"/>
      <c r="X38" s="47"/>
      <c r="Y38" s="47"/>
      <c r="Z38" s="47"/>
      <c r="AA38" s="47"/>
      <c r="AB38" s="47"/>
      <c r="AC38" s="693"/>
      <c r="AD38" s="156"/>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156"/>
    </row>
    <row r="39" customFormat="false" ht="5.25" hidden="true" customHeight="true" outlineLevel="0" collapsed="false">
      <c r="A39" s="121"/>
      <c r="B39" s="47"/>
      <c r="C39" s="47"/>
      <c r="D39" s="198"/>
      <c r="E39" s="301"/>
      <c r="F39" s="301"/>
      <c r="G39" s="301"/>
      <c r="H39" s="301"/>
      <c r="I39" s="301"/>
      <c r="J39" s="301"/>
      <c r="K39" s="301"/>
      <c r="L39" s="301"/>
      <c r="M39" s="301"/>
      <c r="N39" s="301"/>
      <c r="O39" s="301"/>
      <c r="P39" s="301"/>
      <c r="Q39" s="301"/>
      <c r="R39" s="301"/>
      <c r="S39" s="300"/>
      <c r="T39" s="689"/>
      <c r="U39" s="121"/>
      <c r="V39" s="121"/>
      <c r="W39" s="47"/>
      <c r="X39" s="47"/>
      <c r="Y39" s="47"/>
      <c r="Z39" s="47"/>
      <c r="AA39" s="47"/>
      <c r="AB39" s="47"/>
      <c r="AC39" s="693"/>
      <c r="AD39" s="156"/>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156"/>
    </row>
    <row r="40" customFormat="false" ht="5.25" hidden="true" customHeight="true" outlineLevel="0" collapsed="false">
      <c r="A40" s="121"/>
      <c r="B40" s="47"/>
      <c r="C40" s="47"/>
      <c r="D40" s="198"/>
      <c r="E40" s="694"/>
      <c r="F40" s="695"/>
      <c r="G40" s="695"/>
      <c r="H40" s="696"/>
      <c r="I40" s="696"/>
      <c r="J40" s="696"/>
      <c r="K40" s="696"/>
      <c r="L40" s="696"/>
      <c r="M40" s="696"/>
      <c r="N40" s="696"/>
      <c r="O40" s="696"/>
      <c r="P40" s="696"/>
      <c r="Q40" s="696"/>
      <c r="R40" s="697"/>
      <c r="S40" s="698"/>
      <c r="T40" s="689"/>
      <c r="U40" s="121"/>
      <c r="V40" s="121"/>
      <c r="W40" s="47"/>
      <c r="X40" s="47"/>
      <c r="Y40" s="47"/>
      <c r="Z40" s="47"/>
      <c r="AA40" s="47"/>
      <c r="AB40" s="47"/>
      <c r="AC40" s="693"/>
      <c r="AD40" s="156"/>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156"/>
    </row>
    <row r="41" customFormat="false" ht="15" hidden="true" customHeight="true" outlineLevel="0" collapsed="false">
      <c r="A41" s="678" t="s">
        <v>134</v>
      </c>
      <c r="B41" s="53"/>
      <c r="C41" s="53"/>
      <c r="D41" s="198" t="s">
        <v>645</v>
      </c>
      <c r="E41" s="679" t="s">
        <v>116</v>
      </c>
      <c r="F41" s="679"/>
      <c r="G41" s="679"/>
      <c r="H41" s="680" t="str">
        <f aca="false">IF(A41="","",INDEX(DIFFERENTIATION_UNMERGE_VD,MATCH(A41,DIFFERENTIATION_ID_DIFF,0)))</f>
        <v>Производство. Теплоноситель</v>
      </c>
      <c r="I41" s="680"/>
      <c r="J41" s="680"/>
      <c r="K41" s="680"/>
      <c r="L41" s="680"/>
      <c r="M41" s="680"/>
      <c r="N41" s="680"/>
      <c r="O41" s="680"/>
      <c r="P41" s="680"/>
      <c r="Q41" s="680"/>
      <c r="R41" s="680"/>
      <c r="S41" s="681"/>
      <c r="T41" s="682"/>
      <c r="U41" s="156"/>
      <c r="V41" s="156"/>
      <c r="W41" s="54"/>
      <c r="X41" s="54"/>
      <c r="Y41" s="54"/>
      <c r="Z41" s="54"/>
      <c r="AA41" s="156"/>
      <c r="AB41" s="54"/>
      <c r="AC41" s="683"/>
      <c r="AD41" s="54"/>
      <c r="AE41" s="684"/>
      <c r="AF41" s="684"/>
      <c r="AG41" s="685" t="s">
        <v>637</v>
      </c>
      <c r="AH41" s="686" t="n">
        <v>3</v>
      </c>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6"/>
      <c r="BU41" s="156"/>
      <c r="BV41" s="54"/>
      <c r="BW41" s="54"/>
      <c r="BX41" s="54"/>
      <c r="BY41" s="54"/>
      <c r="BZ41" s="54"/>
      <c r="CA41" s="54"/>
      <c r="CB41" s="54"/>
      <c r="CC41" s="54"/>
      <c r="CD41" s="54"/>
      <c r="CE41" s="54"/>
      <c r="CF41" s="53"/>
    </row>
    <row r="42" customFormat="false" ht="15" hidden="true" customHeight="true" outlineLevel="0" collapsed="false">
      <c r="A42" s="678"/>
      <c r="B42" s="53"/>
      <c r="C42" s="53"/>
      <c r="D42" s="198"/>
      <c r="E42" s="679" t="s">
        <v>577</v>
      </c>
      <c r="F42" s="679"/>
      <c r="G42" s="679"/>
      <c r="H42" s="680" t="str">
        <f aca="false">IF(A41="","",INDEX(DIFFERENTIATION_UNMERGE_AREA,MATCH(A41,DIFFERENTIATION_ID_DIFF,0)))</f>
        <v>Территория 1</v>
      </c>
      <c r="I42" s="680"/>
      <c r="J42" s="680"/>
      <c r="K42" s="680"/>
      <c r="L42" s="680"/>
      <c r="M42" s="680"/>
      <c r="N42" s="680"/>
      <c r="O42" s="680"/>
      <c r="P42" s="680"/>
      <c r="Q42" s="680"/>
      <c r="R42" s="680"/>
      <c r="S42" s="681"/>
      <c r="T42" s="682"/>
      <c r="U42" s="156"/>
      <c r="V42" s="156"/>
      <c r="W42" s="54"/>
      <c r="X42" s="54"/>
      <c r="Y42" s="54"/>
      <c r="Z42" s="54"/>
      <c r="AA42" s="156"/>
      <c r="AB42" s="54"/>
      <c r="AC42" s="683"/>
      <c r="AD42" s="54"/>
      <c r="AE42" s="684"/>
      <c r="AF42" s="684"/>
      <c r="AG42" s="685"/>
      <c r="AH42" s="68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c r="BG42" s="156"/>
      <c r="BH42" s="156"/>
      <c r="BI42" s="156"/>
      <c r="BJ42" s="156"/>
      <c r="BK42" s="156"/>
      <c r="BL42" s="156"/>
      <c r="BM42" s="156"/>
      <c r="BN42" s="156"/>
      <c r="BO42" s="156"/>
      <c r="BP42" s="156"/>
      <c r="BQ42" s="156"/>
      <c r="BR42" s="156"/>
      <c r="BS42" s="156"/>
      <c r="BT42" s="156"/>
      <c r="BU42" s="156"/>
      <c r="BV42" s="54"/>
      <c r="BW42" s="54"/>
      <c r="BX42" s="54"/>
      <c r="BY42" s="54"/>
      <c r="BZ42" s="54"/>
      <c r="CA42" s="54"/>
      <c r="CB42" s="54"/>
      <c r="CC42" s="54"/>
      <c r="CD42" s="54"/>
      <c r="CE42" s="54"/>
      <c r="CF42" s="53"/>
    </row>
    <row r="43" customFormat="false" ht="15" hidden="true" customHeight="true" outlineLevel="0" collapsed="false">
      <c r="A43" s="678"/>
      <c r="B43" s="53"/>
      <c r="C43" s="53"/>
      <c r="D43" s="198"/>
      <c r="E43" s="679" t="s">
        <v>578</v>
      </c>
      <c r="F43" s="679"/>
      <c r="G43" s="679"/>
      <c r="H43" s="680" t="str">
        <f aca="false">IF(A41="","",INDEX(DIFFERENTIATION_UNMERGE_SYSTEM,MATCH(A41,DIFFERENTIATION_ID_DIFF,0)))</f>
        <v>без дифференциации</v>
      </c>
      <c r="I43" s="680"/>
      <c r="J43" s="680"/>
      <c r="K43" s="680"/>
      <c r="L43" s="680"/>
      <c r="M43" s="680"/>
      <c r="N43" s="680"/>
      <c r="O43" s="680"/>
      <c r="P43" s="680"/>
      <c r="Q43" s="680"/>
      <c r="R43" s="680"/>
      <c r="S43" s="681"/>
      <c r="T43" s="682"/>
      <c r="U43" s="156"/>
      <c r="V43" s="156"/>
      <c r="W43" s="54"/>
      <c r="X43" s="54"/>
      <c r="Y43" s="54"/>
      <c r="Z43" s="54"/>
      <c r="AA43" s="156"/>
      <c r="AB43" s="54"/>
      <c r="AC43" s="683"/>
      <c r="AD43" s="54"/>
      <c r="AE43" s="684"/>
      <c r="AF43" s="684"/>
      <c r="AG43" s="685"/>
      <c r="AH43" s="68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c r="BG43" s="156"/>
      <c r="BH43" s="156"/>
      <c r="BI43" s="156"/>
      <c r="BJ43" s="156"/>
      <c r="BK43" s="156"/>
      <c r="BL43" s="156"/>
      <c r="BM43" s="156"/>
      <c r="BN43" s="156"/>
      <c r="BO43" s="156"/>
      <c r="BP43" s="156"/>
      <c r="BQ43" s="156"/>
      <c r="BR43" s="156"/>
      <c r="BS43" s="156"/>
      <c r="BT43" s="156"/>
      <c r="BU43" s="156"/>
      <c r="BV43" s="54"/>
      <c r="BW43" s="54"/>
      <c r="BX43" s="54"/>
      <c r="BY43" s="54"/>
      <c r="BZ43" s="54"/>
      <c r="CA43" s="54"/>
      <c r="CB43" s="54"/>
      <c r="CC43" s="54"/>
      <c r="CD43" s="54"/>
      <c r="CE43" s="54"/>
      <c r="CF43" s="53"/>
    </row>
    <row r="44" customFormat="false" ht="24.75" hidden="true" customHeight="true" outlineLevel="0" collapsed="false">
      <c r="A44" s="44"/>
      <c r="C44" s="157"/>
      <c r="D44" s="198"/>
      <c r="E44" s="687" t="s">
        <v>638</v>
      </c>
      <c r="F44" s="687"/>
      <c r="G44" s="687"/>
      <c r="H44" s="687"/>
      <c r="I44" s="687"/>
      <c r="J44" s="687"/>
      <c r="K44" s="687"/>
      <c r="L44" s="687"/>
      <c r="M44" s="687"/>
      <c r="N44" s="687"/>
      <c r="O44" s="687"/>
      <c r="P44" s="687"/>
      <c r="Q44" s="621" t="n">
        <f aca="false">SUMIF(T45:T46,"i",Q45:Q46)</f>
        <v>0</v>
      </c>
      <c r="R44" s="688"/>
      <c r="S44" s="619" t="s">
        <v>639</v>
      </c>
      <c r="T44" s="682" t="s">
        <v>640</v>
      </c>
      <c r="U44" s="121" t="n">
        <v>1</v>
      </c>
      <c r="V44" s="121" t="s">
        <v>591</v>
      </c>
      <c r="AA44" s="47"/>
      <c r="AB44" s="45"/>
      <c r="AC44" s="683"/>
      <c r="AD44" s="54"/>
      <c r="AE44" s="45"/>
      <c r="AF44" s="45"/>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5"/>
      <c r="BW44" s="45"/>
      <c r="BX44" s="45"/>
      <c r="BY44" s="45"/>
      <c r="BZ44" s="45"/>
      <c r="CA44" s="45"/>
      <c r="CB44" s="45"/>
      <c r="CC44" s="45"/>
      <c r="CD44" s="45"/>
      <c r="CE44" s="45"/>
      <c r="CF44" s="53"/>
    </row>
    <row r="45" customFormat="false" ht="11.25" hidden="true" customHeight="true" outlineLevel="0" collapsed="false">
      <c r="A45" s="121"/>
      <c r="B45" s="47"/>
      <c r="C45" s="47"/>
      <c r="D45" s="198"/>
      <c r="E45" s="301"/>
      <c r="F45" s="301" t="n">
        <v>0</v>
      </c>
      <c r="G45" s="301"/>
      <c r="H45" s="301"/>
      <c r="I45" s="301"/>
      <c r="J45" s="301"/>
      <c r="K45" s="301"/>
      <c r="L45" s="301"/>
      <c r="M45" s="301"/>
      <c r="N45" s="301"/>
      <c r="O45" s="301"/>
      <c r="P45" s="301"/>
      <c r="Q45" s="301"/>
      <c r="R45" s="301"/>
      <c r="S45" s="300"/>
      <c r="T45" s="689"/>
      <c r="U45" s="121"/>
      <c r="V45" s="121"/>
      <c r="W45" s="47"/>
      <c r="X45" s="47"/>
      <c r="Y45" s="47"/>
      <c r="Z45" s="47"/>
      <c r="AA45" s="47"/>
      <c r="AB45" s="45"/>
      <c r="AC45" s="683"/>
      <c r="AD45" s="54"/>
      <c r="AE45" s="45"/>
      <c r="AF45" s="45"/>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53"/>
    </row>
    <row r="46" customFormat="false" ht="11.25" hidden="true" customHeight="true" outlineLevel="0" collapsed="false">
      <c r="A46" s="44"/>
      <c r="C46" s="157"/>
      <c r="D46" s="198"/>
      <c r="E46" s="541"/>
      <c r="F46" s="161"/>
      <c r="G46" s="161" t="s">
        <v>643</v>
      </c>
      <c r="H46" s="168"/>
      <c r="I46" s="168"/>
      <c r="J46" s="168"/>
      <c r="K46" s="168"/>
      <c r="L46" s="168"/>
      <c r="M46" s="168"/>
      <c r="N46" s="168"/>
      <c r="O46" s="168"/>
      <c r="P46" s="168"/>
      <c r="Q46" s="168"/>
      <c r="R46" s="207"/>
      <c r="S46" s="690"/>
      <c r="T46" s="689"/>
      <c r="U46" s="121"/>
      <c r="V46" s="121"/>
      <c r="AA46" s="47"/>
      <c r="AB46" s="45"/>
      <c r="AC46" s="683"/>
      <c r="AD46" s="54"/>
      <c r="AE46" s="45"/>
      <c r="AF46" s="45"/>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5"/>
      <c r="BW46" s="45"/>
      <c r="BX46" s="45"/>
      <c r="BY46" s="45"/>
      <c r="BZ46" s="45"/>
      <c r="CA46" s="45"/>
      <c r="CB46" s="45"/>
      <c r="CC46" s="45"/>
      <c r="CD46" s="45"/>
      <c r="CE46" s="45"/>
      <c r="CF46" s="53"/>
    </row>
    <row r="47" customFormat="false" ht="5.25" hidden="true" customHeight="true" outlineLevel="0" collapsed="false">
      <c r="A47" s="121"/>
      <c r="B47" s="47"/>
      <c r="C47" s="47"/>
      <c r="D47" s="198"/>
      <c r="E47" s="691"/>
      <c r="F47" s="691"/>
      <c r="G47" s="691"/>
      <c r="H47" s="691"/>
      <c r="I47" s="691"/>
      <c r="J47" s="691"/>
      <c r="K47" s="691"/>
      <c r="L47" s="691"/>
      <c r="M47" s="691"/>
      <c r="N47" s="691"/>
      <c r="O47" s="691"/>
      <c r="P47" s="691"/>
      <c r="Q47" s="553"/>
      <c r="R47" s="692"/>
      <c r="S47" s="301"/>
      <c r="T47" s="682" t="s">
        <v>640</v>
      </c>
      <c r="U47" s="121" t="n">
        <v>1</v>
      </c>
      <c r="V47" s="121" t="s">
        <v>591</v>
      </c>
      <c r="W47" s="47"/>
      <c r="X47" s="47"/>
      <c r="Y47" s="47"/>
      <c r="Z47" s="47"/>
      <c r="AA47" s="47"/>
      <c r="AB47" s="47"/>
      <c r="AC47" s="693"/>
      <c r="AD47" s="156"/>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156"/>
    </row>
    <row r="48" customFormat="false" ht="5.25" hidden="true" customHeight="true" outlineLevel="0" collapsed="false">
      <c r="A48" s="121"/>
      <c r="B48" s="47"/>
      <c r="C48" s="47"/>
      <c r="D48" s="198"/>
      <c r="E48" s="301"/>
      <c r="F48" s="301"/>
      <c r="G48" s="301"/>
      <c r="H48" s="301"/>
      <c r="I48" s="301"/>
      <c r="J48" s="301"/>
      <c r="K48" s="301"/>
      <c r="L48" s="301"/>
      <c r="M48" s="301"/>
      <c r="N48" s="301"/>
      <c r="O48" s="301"/>
      <c r="P48" s="301"/>
      <c r="Q48" s="301"/>
      <c r="R48" s="301"/>
      <c r="S48" s="300"/>
      <c r="T48" s="689"/>
      <c r="U48" s="121"/>
      <c r="V48" s="121"/>
      <c r="W48" s="47"/>
      <c r="X48" s="47"/>
      <c r="Y48" s="47"/>
      <c r="Z48" s="47"/>
      <c r="AA48" s="47"/>
      <c r="AB48" s="47"/>
      <c r="AC48" s="693"/>
      <c r="AD48" s="156"/>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156"/>
    </row>
    <row r="49" customFormat="false" ht="5.25" hidden="true" customHeight="true" outlineLevel="0" collapsed="false">
      <c r="A49" s="121"/>
      <c r="B49" s="47"/>
      <c r="C49" s="47"/>
      <c r="D49" s="198"/>
      <c r="E49" s="694"/>
      <c r="F49" s="695"/>
      <c r="G49" s="695"/>
      <c r="H49" s="696"/>
      <c r="I49" s="696"/>
      <c r="J49" s="696"/>
      <c r="K49" s="696"/>
      <c r="L49" s="696"/>
      <c r="M49" s="696"/>
      <c r="N49" s="696"/>
      <c r="O49" s="696"/>
      <c r="P49" s="696"/>
      <c r="Q49" s="696"/>
      <c r="R49" s="697"/>
      <c r="S49" s="698"/>
      <c r="T49" s="689"/>
      <c r="U49" s="121"/>
      <c r="V49" s="121"/>
      <c r="W49" s="47"/>
      <c r="X49" s="47"/>
      <c r="Y49" s="47"/>
      <c r="Z49" s="47"/>
      <c r="AA49" s="47"/>
      <c r="AB49" s="47"/>
      <c r="AC49" s="693"/>
      <c r="AD49" s="156"/>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156"/>
    </row>
    <row r="50" customFormat="false" ht="19.5" hidden="false" customHeight="true" outlineLevel="0" collapsed="false">
      <c r="D50" s="699"/>
      <c r="E50" s="699"/>
      <c r="F50" s="699"/>
      <c r="G50" s="699"/>
      <c r="H50" s="699"/>
      <c r="I50" s="699"/>
      <c r="J50" s="699"/>
      <c r="K50" s="699"/>
      <c r="L50" s="699"/>
      <c r="M50" s="699"/>
      <c r="N50" s="699"/>
      <c r="O50" s="699"/>
      <c r="P50" s="699"/>
      <c r="Q50" s="699"/>
      <c r="R50" s="699"/>
      <c r="S50" s="699"/>
      <c r="T50" s="676"/>
      <c r="CF50" s="42" t="n">
        <v>19</v>
      </c>
    </row>
    <row r="51" customFormat="false" ht="11.25" hidden="false" customHeight="true" outlineLevel="0" collapsed="false">
      <c r="CF51" s="42" t="n">
        <v>11</v>
      </c>
    </row>
    <row r="52" customFormat="false" ht="11.25" hidden="false" customHeight="true" outlineLevel="0" collapsed="false">
      <c r="D52" s="128"/>
      <c r="E52" s="128"/>
      <c r="F52" s="128"/>
      <c r="G52" s="175"/>
      <c r="CF52" s="42" t="n">
        <v>11</v>
      </c>
    </row>
    <row r="53" customFormat="false" ht="11.25" hidden="false" customHeight="true" outlineLevel="0" collapsed="false">
      <c r="CF53" s="42" t="n">
        <v>11</v>
      </c>
    </row>
    <row r="54" customFormat="false" ht="11.25" hidden="false" customHeight="true" outlineLevel="0" collapsed="false">
      <c r="D54" s="342"/>
      <c r="E54" s="700"/>
      <c r="F54" s="700"/>
      <c r="G54" s="700"/>
      <c r="H54" s="700"/>
      <c r="I54" s="700"/>
      <c r="J54" s="700"/>
      <c r="K54" s="700"/>
      <c r="L54" s="700"/>
      <c r="M54" s="700"/>
      <c r="N54" s="700"/>
      <c r="O54" s="700"/>
      <c r="P54" s="700"/>
      <c r="Q54" s="700"/>
      <c r="R54" s="700"/>
      <c r="CF54" s="42" t="n">
        <v>11</v>
      </c>
    </row>
    <row r="55" customFormat="false" ht="11.25" hidden="false" customHeight="true" outlineLevel="0" collapsed="false">
      <c r="CF55" s="42" t="n">
        <v>11</v>
      </c>
    </row>
    <row r="56" customFormat="false" ht="11.25" hidden="true" customHeight="true" outlineLevel="0" collapsed="false">
      <c r="A56" s="113" t="s">
        <v>81</v>
      </c>
      <c r="B56" s="45" t="n">
        <v>0</v>
      </c>
      <c r="C56" s="42" t="n">
        <v>3</v>
      </c>
      <c r="D56" s="42" t="n">
        <v>0</v>
      </c>
      <c r="E56" s="42" t="n">
        <v>7</v>
      </c>
      <c r="F56" s="42" t="n">
        <v>7</v>
      </c>
      <c r="G56" s="42" t="n">
        <v>29</v>
      </c>
      <c r="H56" s="42" t="n">
        <v>3</v>
      </c>
      <c r="I56" s="42" t="n">
        <v>5</v>
      </c>
      <c r="J56" s="42" t="n">
        <v>24</v>
      </c>
      <c r="K56" s="42" t="n">
        <v>24</v>
      </c>
      <c r="L56" s="42" t="n">
        <v>3</v>
      </c>
      <c r="M56" s="42" t="n">
        <v>6</v>
      </c>
      <c r="N56" s="42" t="n">
        <v>25</v>
      </c>
      <c r="O56" s="42" t="n">
        <v>18</v>
      </c>
      <c r="P56" s="42" t="n">
        <v>18</v>
      </c>
      <c r="Q56" s="42" t="n">
        <v>18</v>
      </c>
      <c r="R56" s="42" t="n">
        <v>18</v>
      </c>
      <c r="S56" s="42" t="n">
        <v>93</v>
      </c>
      <c r="T56" s="42" t="n">
        <v>10</v>
      </c>
      <c r="U56" s="47" t="n">
        <v>10</v>
      </c>
      <c r="V56" s="47" t="n">
        <v>11</v>
      </c>
      <c r="W56" s="45" t="n">
        <v>10</v>
      </c>
      <c r="X56" s="45" t="n">
        <v>10</v>
      </c>
      <c r="Y56" s="45" t="n">
        <v>10</v>
      </c>
      <c r="Z56" s="45" t="n">
        <v>10</v>
      </c>
      <c r="AA56" s="45" t="n">
        <v>10</v>
      </c>
      <c r="AB56" s="42" t="n">
        <v>8</v>
      </c>
      <c r="AC56" s="42" t="n">
        <v>8</v>
      </c>
      <c r="AD56" s="42" t="n">
        <v>8</v>
      </c>
      <c r="AE56" s="42" t="n">
        <v>8</v>
      </c>
      <c r="AF56" s="42" t="n">
        <v>8</v>
      </c>
      <c r="AG56" s="42" t="n">
        <v>8</v>
      </c>
      <c r="AH56" s="42" t="n">
        <v>8</v>
      </c>
      <c r="AI56" s="42" t="n">
        <v>8</v>
      </c>
      <c r="AJ56" s="42" t="n">
        <v>8</v>
      </c>
      <c r="AK56" s="42" t="n">
        <v>8</v>
      </c>
      <c r="AL56" s="42" t="n">
        <v>8</v>
      </c>
      <c r="AM56" s="42" t="n">
        <v>8</v>
      </c>
      <c r="AN56" s="42" t="n">
        <v>8</v>
      </c>
      <c r="AO56" s="42" t="n">
        <v>8</v>
      </c>
      <c r="AP56" s="42" t="n">
        <v>8</v>
      </c>
      <c r="AQ56" s="42" t="n">
        <v>8</v>
      </c>
      <c r="AR56" s="42" t="n">
        <v>8</v>
      </c>
      <c r="AS56" s="42" t="n">
        <v>8</v>
      </c>
      <c r="AT56" s="42" t="n">
        <v>8</v>
      </c>
      <c r="AU56" s="42" t="n">
        <v>8</v>
      </c>
      <c r="AV56" s="42" t="n">
        <v>8</v>
      </c>
      <c r="AW56" s="42" t="n">
        <v>8</v>
      </c>
      <c r="AX56" s="42" t="n">
        <v>8</v>
      </c>
      <c r="AY56" s="42" t="n">
        <v>8</v>
      </c>
      <c r="AZ56" s="42" t="n">
        <v>8</v>
      </c>
      <c r="BA56" s="42" t="n">
        <v>8</v>
      </c>
      <c r="BB56" s="42" t="n">
        <v>8</v>
      </c>
      <c r="BC56" s="42" t="n">
        <v>8</v>
      </c>
      <c r="BD56" s="42" t="n">
        <v>8</v>
      </c>
      <c r="BE56" s="42" t="n">
        <v>8</v>
      </c>
      <c r="BF56" s="42" t="n">
        <v>8</v>
      </c>
      <c r="BG56" s="42" t="n">
        <v>8</v>
      </c>
      <c r="BH56" s="42" t="n">
        <v>8</v>
      </c>
      <c r="BI56" s="42" t="n">
        <v>8</v>
      </c>
      <c r="BJ56" s="42" t="n">
        <v>8</v>
      </c>
      <c r="BK56" s="42" t="n">
        <v>8</v>
      </c>
      <c r="BL56" s="42" t="n">
        <v>8</v>
      </c>
      <c r="BM56" s="42" t="n">
        <v>8</v>
      </c>
      <c r="BN56" s="42" t="n">
        <v>8</v>
      </c>
      <c r="BO56" s="42" t="n">
        <v>8</v>
      </c>
      <c r="BP56" s="42" t="n">
        <v>8</v>
      </c>
      <c r="BQ56" s="42" t="n">
        <v>8</v>
      </c>
      <c r="BR56" s="42" t="n">
        <v>8</v>
      </c>
      <c r="BS56" s="42" t="n">
        <v>8</v>
      </c>
      <c r="BT56" s="42" t="n">
        <v>8</v>
      </c>
      <c r="BU56" s="42" t="n">
        <v>8</v>
      </c>
      <c r="BV56" s="42" t="n">
        <v>8</v>
      </c>
      <c r="BW56" s="42" t="n">
        <v>8</v>
      </c>
      <c r="BX56" s="42" t="n">
        <v>8</v>
      </c>
      <c r="BY56" s="42" t="n">
        <v>8</v>
      </c>
      <c r="BZ56" s="42" t="n">
        <v>8</v>
      </c>
      <c r="CA56" s="42" t="n">
        <v>8</v>
      </c>
      <c r="CB56" s="42" t="n">
        <v>8</v>
      </c>
      <c r="CC56" s="42" t="n">
        <v>8</v>
      </c>
      <c r="CD56" s="42" t="n">
        <v>8</v>
      </c>
      <c r="CE56" s="42" t="n">
        <v>8</v>
      </c>
      <c r="CF56" s="42" t="n">
        <v>11</v>
      </c>
    </row>
  </sheetData>
  <mergeCells count="61">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D23:D31"/>
    <mergeCell ref="E23:G23"/>
    <mergeCell ref="H23:R23"/>
    <mergeCell ref="AC23:AC28"/>
    <mergeCell ref="E24:G24"/>
    <mergeCell ref="H24:R24"/>
    <mergeCell ref="E25:G25"/>
    <mergeCell ref="H25:R25"/>
    <mergeCell ref="E26:P26"/>
    <mergeCell ref="U26:U28"/>
    <mergeCell ref="V26:V28"/>
    <mergeCell ref="U29:U31"/>
    <mergeCell ref="V29:V31"/>
    <mergeCell ref="D32:D40"/>
    <mergeCell ref="E32:G32"/>
    <mergeCell ref="H32:R32"/>
    <mergeCell ref="AC32:AC37"/>
    <mergeCell ref="E33:G33"/>
    <mergeCell ref="H33:R33"/>
    <mergeCell ref="E34:G34"/>
    <mergeCell ref="H34:R34"/>
    <mergeCell ref="E35:P35"/>
    <mergeCell ref="U35:U37"/>
    <mergeCell ref="V35:V37"/>
    <mergeCell ref="U38:U40"/>
    <mergeCell ref="V38:V40"/>
    <mergeCell ref="D41:D49"/>
    <mergeCell ref="E41:G41"/>
    <mergeCell ref="H41:R41"/>
    <mergeCell ref="AC41:AC46"/>
    <mergeCell ref="E42:G42"/>
    <mergeCell ref="H42:R42"/>
    <mergeCell ref="E43:G43"/>
    <mergeCell ref="H43:R43"/>
    <mergeCell ref="E44:P44"/>
    <mergeCell ref="U44:U46"/>
    <mergeCell ref="V44:V46"/>
    <mergeCell ref="U47:U49"/>
    <mergeCell ref="V47:V49"/>
    <mergeCell ref="E54:R54"/>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N20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P9" activeCellId="0" sqref="P9"/>
    </sheetView>
  </sheetViews>
  <sheetFormatPr defaultColWidth="9.14453125" defaultRowHeight="11.25" zeroHeight="false" outlineLevelRow="0" outlineLevelCol="0"/>
  <cols>
    <col collapsed="false" customWidth="true" hidden="true" outlineLevel="0" max="5" min="1" style="598" width="10.71"/>
    <col collapsed="false" customWidth="true" hidden="true" outlineLevel="0" max="6" min="6" style="45" width="16.85"/>
    <col collapsed="false" customWidth="true" hidden="true" outlineLevel="0" max="7" min="7" style="47" width="5.57"/>
    <col collapsed="false" customWidth="true" hidden="false" outlineLevel="0" max="8" min="8" style="42" width="3"/>
    <col collapsed="false" customWidth="true" hidden="false" outlineLevel="0" max="9" min="9" style="42" width="7"/>
    <col collapsed="false" customWidth="true" hidden="false" outlineLevel="0" max="10" min="10" style="42" width="56"/>
    <col collapsed="false" customWidth="true" hidden="false" outlineLevel="0" max="11" min="11" style="42" width="10"/>
    <col collapsed="false" customWidth="true" hidden="true" outlineLevel="0" max="12" min="12" style="42" width="40.57"/>
    <col collapsed="false" customWidth="true" hidden="false" outlineLevel="0" max="13" min="13" style="42" width="40.71"/>
    <col collapsed="false" customWidth="true" hidden="false" outlineLevel="0" max="16" min="14" style="42" width="40.57"/>
    <col collapsed="false" customWidth="true" hidden="true" outlineLevel="0" max="17" min="17" style="45" width="9.71"/>
    <col collapsed="false" customWidth="true" hidden="false" outlineLevel="0" max="18" min="18" style="42" width="102"/>
    <col collapsed="false" customWidth="true" hidden="false" outlineLevel="0" max="19" min="19" style="45" width="9"/>
    <col collapsed="false" customWidth="true" hidden="false" outlineLevel="0" max="20" min="20" style="47" width="5"/>
    <col collapsed="false" customWidth="true" hidden="false" outlineLevel="0" max="21" min="21" style="47" width="3"/>
    <col collapsed="false" customWidth="true" hidden="false" outlineLevel="0" max="25" min="22" style="45" width="3"/>
    <col collapsed="false" customWidth="true" hidden="false" outlineLevel="0" max="26" min="26" style="47" width="10"/>
    <col collapsed="false" customWidth="true" hidden="false" outlineLevel="0" max="27" min="27" style="45" width="34"/>
    <col collapsed="false" customWidth="true" hidden="false" outlineLevel="0" max="28" min="28" style="45" width="9"/>
    <col collapsed="false" customWidth="true" hidden="false" outlineLevel="0" max="29" min="29" style="599" width="8"/>
    <col collapsed="false" customWidth="true" hidden="false" outlineLevel="0" max="39" min="30" style="45" width="8"/>
    <col collapsed="false" customWidth="true" hidden="true" outlineLevel="0" max="40" min="40" style="42" width="5.42"/>
  </cols>
  <sheetData>
    <row r="1" s="45" customFormat="true" ht="33.75" hidden="true" customHeight="true" outlineLevel="0" collapsed="false">
      <c r="A1" s="598"/>
      <c r="B1" s="598"/>
      <c r="C1" s="598"/>
      <c r="D1" s="598"/>
      <c r="E1" s="598"/>
      <c r="G1" s="47"/>
      <c r="L1" s="45" t="n">
        <v>4</v>
      </c>
      <c r="M1" s="45" t="n">
        <v>4</v>
      </c>
      <c r="N1" s="45" t="n">
        <v>4</v>
      </c>
      <c r="O1" s="45" t="n">
        <v>4</v>
      </c>
      <c r="P1" s="45" t="n">
        <v>4</v>
      </c>
      <c r="T1" s="47"/>
      <c r="U1" s="47"/>
      <c r="Z1" s="47"/>
      <c r="AN1" s="45" t="s">
        <v>14</v>
      </c>
    </row>
    <row r="2" s="45" customFormat="true" ht="78.75" hidden="true" customHeight="true" outlineLevel="0" collapsed="false">
      <c r="A2" s="598"/>
      <c r="B2" s="701" t="s">
        <v>646</v>
      </c>
      <c r="C2" s="701" t="s">
        <v>647</v>
      </c>
      <c r="D2" s="702" t="s">
        <v>648</v>
      </c>
      <c r="E2" s="703" t="e">
        <f aca="false">RIGHT(I2,LEN(I2)-SEARCH("#",SUBSTITUTE(I2,".","#",LEN(I2)-LEN(SUBSTITUTE(I2,".","")))))</f>
        <v>#VALUE!</v>
      </c>
      <c r="F2" s="703" t="n">
        <f aca="false">J2</f>
        <v>0</v>
      </c>
      <c r="G2" s="47"/>
      <c r="H2" s="189"/>
      <c r="I2" s="198"/>
      <c r="J2" s="148"/>
      <c r="K2" s="209" t="s">
        <v>569</v>
      </c>
      <c r="L2" s="435"/>
      <c r="M2" s="435"/>
      <c r="N2" s="435"/>
      <c r="O2" s="435"/>
      <c r="P2" s="435"/>
      <c r="Q2" s="602"/>
      <c r="R2" s="417" t="s">
        <v>570</v>
      </c>
      <c r="S2" s="602"/>
      <c r="T2" s="47"/>
      <c r="U2" s="47"/>
      <c r="Z2" s="47"/>
      <c r="AC2" s="599"/>
      <c r="AN2" s="45" t="n">
        <v>0</v>
      </c>
    </row>
    <row r="3" customFormat="false" ht="11.25" hidden="true" customHeight="true" outlineLevel="0" collapsed="false">
      <c r="E3" s="704" t="s">
        <v>649</v>
      </c>
      <c r="L3" s="42" t="n">
        <f aca="false">0</f>
        <v>0</v>
      </c>
      <c r="M3" s="42" t="n">
        <v>1</v>
      </c>
      <c r="N3" s="42" t="n">
        <f aca="false">0</f>
        <v>0</v>
      </c>
      <c r="O3" s="42" t="n">
        <f aca="false">0</f>
        <v>0</v>
      </c>
      <c r="P3" s="42" t="n">
        <f aca="false">0</f>
        <v>0</v>
      </c>
      <c r="AN3" s="42" t="n">
        <v>0</v>
      </c>
    </row>
    <row r="4" s="45" customFormat="true" ht="11.25" hidden="true" customHeight="true" outlineLevel="0" collapsed="false">
      <c r="A4" s="598"/>
      <c r="B4" s="598"/>
      <c r="C4" s="598"/>
      <c r="E4" s="598"/>
      <c r="G4" s="47"/>
      <c r="R4" s="45" t="n">
        <v>4</v>
      </c>
      <c r="T4" s="47"/>
      <c r="U4" s="47"/>
      <c r="Z4" s="47"/>
      <c r="AC4" s="599"/>
      <c r="AN4" s="45" t="n">
        <v>0</v>
      </c>
    </row>
    <row r="5" customFormat="false" ht="11.25" hidden="false" customHeight="true" outlineLevel="0" collapsed="false">
      <c r="AN5" s="42" t="n">
        <v>11</v>
      </c>
    </row>
    <row r="6" customFormat="false" ht="57.75" hidden="false" customHeight="true" outlineLevel="0" collapsed="false">
      <c r="I6" s="256" t="s">
        <v>650</v>
      </c>
      <c r="J6" s="256"/>
      <c r="K6" s="256"/>
      <c r="L6" s="256"/>
      <c r="M6" s="256"/>
      <c r="N6" s="256"/>
      <c r="O6" s="256"/>
      <c r="P6" s="256"/>
      <c r="R6" s="222"/>
      <c r="AN6" s="42" t="n">
        <v>55</v>
      </c>
    </row>
    <row r="7" customFormat="false" ht="24.75" hidden="false" customHeight="true" outlineLevel="0" collapsed="false">
      <c r="I7" s="261" t="str">
        <f aca="false">IF(org=0,"Не определено",org)</f>
        <v>ООО "Газпром теплоэнерго Ярославль"</v>
      </c>
      <c r="J7" s="261"/>
      <c r="K7" s="261"/>
      <c r="L7" s="261"/>
      <c r="M7" s="261"/>
      <c r="N7" s="611"/>
      <c r="O7" s="611"/>
      <c r="P7" s="611"/>
      <c r="AN7" s="42" t="n">
        <v>24</v>
      </c>
    </row>
    <row r="8" customFormat="false" ht="11.25" hidden="false" customHeight="true" outlineLevel="0" collapsed="false">
      <c r="I8" s="612"/>
      <c r="J8" s="612"/>
      <c r="K8" s="612"/>
      <c r="L8" s="612"/>
      <c r="M8" s="612"/>
      <c r="N8" s="612"/>
      <c r="O8" s="612"/>
      <c r="P8" s="612"/>
      <c r="AN8" s="42" t="n">
        <v>11</v>
      </c>
    </row>
    <row r="9" s="47" customFormat="true" ht="30" hidden="true" customHeight="true" outlineLevel="0" collapsed="false">
      <c r="A9" s="456"/>
      <c r="B9" s="456"/>
      <c r="C9" s="456"/>
      <c r="E9" s="456"/>
      <c r="L9" s="613"/>
      <c r="M9" s="613" t="s">
        <v>127</v>
      </c>
      <c r="N9" s="613" t="s">
        <v>131</v>
      </c>
      <c r="O9" s="613" t="s">
        <v>132</v>
      </c>
      <c r="P9" s="613" t="s">
        <v>134</v>
      </c>
      <c r="AN9" s="47" t="n">
        <v>1</v>
      </c>
    </row>
    <row r="10" customFormat="false" ht="11.25" hidden="false" customHeight="true" outlineLevel="0" collapsed="false">
      <c r="E10" s="705" t="s">
        <v>651</v>
      </c>
      <c r="I10" s="614"/>
      <c r="J10" s="615" t="s">
        <v>116</v>
      </c>
      <c r="K10" s="615"/>
      <c r="L10" s="616" t="str">
        <f aca="false">IF(L9="","",INDEX(DIFFERENTIATION_UNMERGE_VD,MATCH(L9,DIFFERENTIATION_ID_DIFF,0)))</f>
        <v/>
      </c>
      <c r="M10" s="616" t="str">
        <f aca="false">IF(M9="","",INDEX(DIFFERENTIATION_UNMERGE_VD,MATCH(M9,DIFFERENTIATION_ID_DIFF,0)))</f>
        <v>Производство тепловой энергии. Некомбинированная выработка</v>
      </c>
      <c r="N10" s="616" t="str">
        <f aca="false">IF(N9="","",INDEX(DIFFERENTIATION_UNMERGE_VD,MATCH(N9,DIFFERENTIATION_ID_DIFF,0)))</f>
        <v>Производство тепловой энергии. Некомбинированная выработка</v>
      </c>
      <c r="O10" s="616" t="str">
        <f aca="false">IF(O9="","",INDEX(DIFFERENTIATION_UNMERGE_VD,MATCH(O9,DIFFERENTIATION_ID_DIFF,0)))</f>
        <v>Производство тепловой энергии. Некомбинированная выработка</v>
      </c>
      <c r="P10" s="616" t="str">
        <f aca="false">IF(P9="","",INDEX(DIFFERENTIATION_UNMERGE_VD,MATCH(P9,DIFFERENTIATION_ID_DIFF,0)))</f>
        <v>Производство. Теплоноситель</v>
      </c>
      <c r="R10" s="134" t="s">
        <v>314</v>
      </c>
      <c r="AN10" s="42" t="n">
        <v>11</v>
      </c>
    </row>
    <row r="11" customFormat="false" ht="11.25" hidden="false" customHeight="true" outlineLevel="0" collapsed="false">
      <c r="E11" s="705" t="s">
        <v>652</v>
      </c>
      <c r="I11" s="614"/>
      <c r="J11" s="615" t="s">
        <v>577</v>
      </c>
      <c r="K11" s="615"/>
      <c r="L11" s="616" t="str">
        <f aca="false">IF(L9="","",INDEX(DIFFERENTIATION_UNMERGE_AREA,MATCH(L9,DIFFERENTIATION_ID_DIFF,0)))</f>
        <v/>
      </c>
      <c r="M11" s="616" t="str">
        <f aca="false">IF(M9="","",INDEX(DIFFERENTIATION_UNMERGE_AREA,MATCH(M9,DIFFERENTIATION_ID_DIFF,0)))</f>
        <v>Территория 1</v>
      </c>
      <c r="N11" s="616" t="str">
        <f aca="false">IF(N9="","",INDEX(DIFFERENTIATION_UNMERGE_AREA,MATCH(N9,DIFFERENTIATION_ID_DIFF,0)))</f>
        <v>Территория 2</v>
      </c>
      <c r="O11" s="616" t="str">
        <f aca="false">IF(O9="","",INDEX(DIFFERENTIATION_UNMERGE_AREA,MATCH(O9,DIFFERENTIATION_ID_DIFF,0)))</f>
        <v>Территория 3</v>
      </c>
      <c r="P11" s="616" t="str">
        <f aca="false">IF(P9="","",INDEX(DIFFERENTIATION_UNMERGE_AREA,MATCH(P9,DIFFERENTIATION_ID_DIFF,0)))</f>
        <v>Территория 1</v>
      </c>
      <c r="R11" s="134"/>
      <c r="AN11" s="42" t="n">
        <v>11</v>
      </c>
    </row>
    <row r="12" customFormat="false" ht="11.25" hidden="false" customHeight="true" outlineLevel="0" collapsed="false">
      <c r="E12" s="705" t="s">
        <v>653</v>
      </c>
      <c r="I12" s="706"/>
      <c r="J12" s="615" t="s">
        <v>578</v>
      </c>
      <c r="K12" s="615"/>
      <c r="L12" s="616" t="str">
        <f aca="false">IF(L9="","",INDEX(DIFFERENTIATION_UNMERGE_SYSTEM,MATCH(L9,DIFFERENTIATION_ID_DIFF,0)))</f>
        <v/>
      </c>
      <c r="M12" s="616" t="str">
        <f aca="false">IF(M9="","",INDEX(DIFFERENTIATION_UNMERGE_SYSTEM,MATCH(M9,DIFFERENTIATION_ID_DIFF,0)))</f>
        <v>без дифференциации</v>
      </c>
      <c r="N12" s="616" t="str">
        <f aca="false">IF(N9="","",INDEX(DIFFERENTIATION_UNMERGE_SYSTEM,MATCH(N9,DIFFERENTIATION_ID_DIFF,0)))</f>
        <v>без дифференциации</v>
      </c>
      <c r="O12" s="616" t="str">
        <f aca="false">IF(O9="","",INDEX(DIFFERENTIATION_UNMERGE_SYSTEM,MATCH(O9,DIFFERENTIATION_ID_DIFF,0)))</f>
        <v>без дифференциации</v>
      </c>
      <c r="P12" s="616" t="str">
        <f aca="false">IF(P9="","",INDEX(DIFFERENTIATION_UNMERGE_SYSTEM,MATCH(P9,DIFFERENTIATION_ID_DIFF,0)))</f>
        <v>без дифференциации</v>
      </c>
      <c r="R12" s="134"/>
      <c r="AN12" s="42" t="n">
        <v>11</v>
      </c>
    </row>
    <row r="13" customFormat="false" ht="11.25" hidden="false" customHeight="true" outlineLevel="0" collapsed="false">
      <c r="E13" s="705" t="s">
        <v>654</v>
      </c>
      <c r="F13" s="705" t="s">
        <v>655</v>
      </c>
      <c r="I13" s="617" t="s">
        <v>313</v>
      </c>
      <c r="J13" s="617"/>
      <c r="K13" s="617"/>
      <c r="L13" s="618"/>
      <c r="M13" s="707"/>
      <c r="N13" s="618"/>
      <c r="O13" s="618"/>
      <c r="P13" s="618"/>
      <c r="R13" s="134"/>
      <c r="AN13" s="42" t="n">
        <v>11</v>
      </c>
    </row>
    <row r="14" customFormat="false" ht="24" hidden="false" customHeight="true" outlineLevel="0" collapsed="false">
      <c r="I14" s="146" t="s">
        <v>87</v>
      </c>
      <c r="J14" s="146" t="s">
        <v>315</v>
      </c>
      <c r="K14" s="146" t="s">
        <v>579</v>
      </c>
      <c r="L14" s="265" t="s">
        <v>316</v>
      </c>
      <c r="M14" s="146" t="s">
        <v>316</v>
      </c>
      <c r="N14" s="265" t="s">
        <v>316</v>
      </c>
      <c r="O14" s="265" t="s">
        <v>316</v>
      </c>
      <c r="P14" s="265" t="s">
        <v>316</v>
      </c>
      <c r="R14" s="134"/>
      <c r="AN14" s="42" t="n">
        <v>23</v>
      </c>
    </row>
    <row r="15" customFormat="false" ht="24" hidden="false" customHeight="true" outlineLevel="0" collapsed="false">
      <c r="A15" s="708"/>
      <c r="B15" s="701" t="s">
        <v>656</v>
      </c>
      <c r="C15" s="701" t="s">
        <v>657</v>
      </c>
      <c r="D15" s="702" t="s">
        <v>658</v>
      </c>
      <c r="E15" s="703" t="s">
        <v>659</v>
      </c>
      <c r="F15" s="703" t="s">
        <v>659</v>
      </c>
      <c r="G15" s="47" t="s">
        <v>616</v>
      </c>
      <c r="H15" s="114"/>
      <c r="I15" s="709" t="n">
        <v>1</v>
      </c>
      <c r="J15" s="619" t="s">
        <v>660</v>
      </c>
      <c r="K15" s="146" t="s">
        <v>319</v>
      </c>
      <c r="L15" s="710"/>
      <c r="M15" s="403"/>
      <c r="N15" s="710"/>
      <c r="O15" s="710"/>
      <c r="P15" s="710"/>
      <c r="Q15" s="602" t="s">
        <v>661</v>
      </c>
      <c r="R15" s="417" t="s">
        <v>662</v>
      </c>
      <c r="S15" s="602" t="s">
        <v>661</v>
      </c>
      <c r="AN15" s="42" t="n">
        <v>23</v>
      </c>
    </row>
    <row r="16" customFormat="false" ht="35.25" hidden="false" customHeight="true" outlineLevel="0" collapsed="false">
      <c r="A16" s="708"/>
      <c r="B16" s="701" t="s">
        <v>663</v>
      </c>
      <c r="C16" s="701" t="s">
        <v>664</v>
      </c>
      <c r="D16" s="702" t="s">
        <v>648</v>
      </c>
      <c r="E16" s="703" t="s">
        <v>659</v>
      </c>
      <c r="F16" s="703" t="s">
        <v>659</v>
      </c>
      <c r="H16" s="114"/>
      <c r="I16" s="711" t="n">
        <v>2</v>
      </c>
      <c r="J16" s="268" t="s">
        <v>665</v>
      </c>
      <c r="K16" s="262" t="s">
        <v>569</v>
      </c>
      <c r="L16" s="712"/>
      <c r="M16" s="713"/>
      <c r="N16" s="712"/>
      <c r="O16" s="712"/>
      <c r="P16" s="712"/>
      <c r="Q16" s="602" t="s">
        <v>661</v>
      </c>
      <c r="R16" s="417" t="s">
        <v>666</v>
      </c>
      <c r="S16" s="602" t="s">
        <v>661</v>
      </c>
      <c r="AN16" s="42" t="n">
        <v>34</v>
      </c>
    </row>
    <row r="17" s="47" customFormat="true" ht="17.25" hidden="true" customHeight="true" outlineLevel="0" collapsed="false">
      <c r="A17" s="456"/>
      <c r="B17" s="456"/>
      <c r="C17" s="456"/>
      <c r="D17" s="456"/>
      <c r="E17" s="456"/>
      <c r="H17" s="456"/>
      <c r="I17" s="147" t="s">
        <v>667</v>
      </c>
      <c r="J17" s="644"/>
      <c r="K17" s="147"/>
      <c r="L17" s="645"/>
      <c r="M17" s="645"/>
      <c r="N17" s="645"/>
      <c r="O17" s="645"/>
      <c r="P17" s="645"/>
      <c r="R17" s="501"/>
      <c r="AN17" s="47" t="n">
        <v>1</v>
      </c>
    </row>
    <row r="18" s="45" customFormat="true" ht="24" hidden="false" customHeight="true" outlineLevel="0" collapsed="false">
      <c r="A18" s="598"/>
      <c r="B18" s="598"/>
      <c r="C18" s="598"/>
      <c r="D18" s="598"/>
      <c r="E18" s="598"/>
      <c r="G18" s="47"/>
      <c r="H18" s="117"/>
      <c r="I18" s="633"/>
      <c r="J18" s="219" t="s">
        <v>614</v>
      </c>
      <c r="K18" s="634"/>
      <c r="L18" s="714"/>
      <c r="M18" s="635"/>
      <c r="N18" s="714"/>
      <c r="O18" s="714"/>
      <c r="P18" s="714"/>
      <c r="Q18" s="602"/>
      <c r="R18" s="417" t="s">
        <v>615</v>
      </c>
      <c r="S18" s="602"/>
      <c r="T18" s="47"/>
      <c r="U18" s="47"/>
      <c r="Z18" s="47"/>
      <c r="AC18" s="599"/>
      <c r="AN18" s="45" t="n">
        <v>23</v>
      </c>
    </row>
    <row r="19" customFormat="false" ht="19.5" hidden="false" customHeight="true" outlineLevel="0" collapsed="false">
      <c r="A19" s="708"/>
      <c r="B19" s="701" t="s">
        <v>668</v>
      </c>
      <c r="C19" s="701" t="s">
        <v>669</v>
      </c>
      <c r="D19" s="702" t="s">
        <v>648</v>
      </c>
      <c r="E19" s="703" t="s">
        <v>659</v>
      </c>
      <c r="F19" s="703" t="s">
        <v>659</v>
      </c>
      <c r="H19" s="114"/>
      <c r="I19" s="715" t="n">
        <v>3</v>
      </c>
      <c r="J19" s="619" t="s">
        <v>669</v>
      </c>
      <c r="K19" s="716" t="s">
        <v>569</v>
      </c>
      <c r="L19" s="717"/>
      <c r="M19" s="620"/>
      <c r="N19" s="717"/>
      <c r="O19" s="717"/>
      <c r="P19" s="717"/>
      <c r="Q19" s="602"/>
      <c r="R19" s="417" t="s">
        <v>670</v>
      </c>
      <c r="S19" s="602"/>
      <c r="AN19" s="42" t="n">
        <v>19</v>
      </c>
    </row>
    <row r="20" customFormat="false" ht="77.25" hidden="false" customHeight="true" outlineLevel="0" collapsed="false">
      <c r="A20" s="708"/>
      <c r="B20" s="701" t="s">
        <v>671</v>
      </c>
      <c r="C20" s="701" t="s">
        <v>672</v>
      </c>
      <c r="D20" s="702" t="s">
        <v>648</v>
      </c>
      <c r="E20" s="703" t="s">
        <v>659</v>
      </c>
      <c r="F20" s="703" t="s">
        <v>659</v>
      </c>
      <c r="H20" s="114"/>
      <c r="I20" s="715" t="n">
        <v>4</v>
      </c>
      <c r="J20" s="619" t="s">
        <v>673</v>
      </c>
      <c r="K20" s="716" t="s">
        <v>611</v>
      </c>
      <c r="L20" s="717"/>
      <c r="M20" s="620"/>
      <c r="N20" s="717"/>
      <c r="O20" s="717"/>
      <c r="P20" s="717"/>
      <c r="Q20" s="602"/>
      <c r="R20" s="417"/>
      <c r="S20" s="602"/>
      <c r="AN20" s="42" t="n">
        <v>74</v>
      </c>
    </row>
    <row r="21" customFormat="false" ht="35.25" hidden="false" customHeight="true" outlineLevel="0" collapsed="false">
      <c r="A21" s="708"/>
      <c r="B21" s="701" t="s">
        <v>674</v>
      </c>
      <c r="C21" s="701" t="s">
        <v>675</v>
      </c>
      <c r="D21" s="702" t="s">
        <v>648</v>
      </c>
      <c r="E21" s="703" t="s">
        <v>659</v>
      </c>
      <c r="F21" s="703" t="s">
        <v>659</v>
      </c>
      <c r="H21" s="114"/>
      <c r="I21" s="715" t="n">
        <v>5</v>
      </c>
      <c r="J21" s="619" t="s">
        <v>676</v>
      </c>
      <c r="K21" s="716" t="s">
        <v>611</v>
      </c>
      <c r="L21" s="717"/>
      <c r="M21" s="620"/>
      <c r="N21" s="717"/>
      <c r="O21" s="717"/>
      <c r="P21" s="717"/>
      <c r="Q21" s="602"/>
      <c r="R21" s="417" t="s">
        <v>670</v>
      </c>
      <c r="S21" s="602"/>
      <c r="AN21" s="42" t="n">
        <v>34</v>
      </c>
    </row>
    <row r="22" customFormat="false" ht="48" hidden="false" customHeight="true" outlineLevel="0" collapsed="false">
      <c r="A22" s="708"/>
      <c r="B22" s="701" t="s">
        <v>677</v>
      </c>
      <c r="C22" s="701" t="s">
        <v>678</v>
      </c>
      <c r="D22" s="702" t="s">
        <v>648</v>
      </c>
      <c r="E22" s="703" t="s">
        <v>659</v>
      </c>
      <c r="F22" s="703" t="s">
        <v>659</v>
      </c>
      <c r="H22" s="114"/>
      <c r="I22" s="715" t="n">
        <v>6</v>
      </c>
      <c r="J22" s="619" t="s">
        <v>679</v>
      </c>
      <c r="K22" s="716" t="s">
        <v>611</v>
      </c>
      <c r="L22" s="717"/>
      <c r="M22" s="620"/>
      <c r="N22" s="717"/>
      <c r="O22" s="717"/>
      <c r="P22" s="717"/>
      <c r="Q22" s="602"/>
      <c r="R22" s="417" t="s">
        <v>680</v>
      </c>
      <c r="S22" s="602"/>
      <c r="AN22" s="42" t="n">
        <v>46</v>
      </c>
    </row>
    <row r="23" customFormat="false" ht="19.5" hidden="false" customHeight="true" outlineLevel="0" collapsed="false">
      <c r="A23" s="708"/>
      <c r="B23" s="701" t="s">
        <v>681</v>
      </c>
      <c r="C23" s="701" t="s">
        <v>682</v>
      </c>
      <c r="D23" s="702" t="s">
        <v>648</v>
      </c>
      <c r="E23" s="703" t="s">
        <v>659</v>
      </c>
      <c r="F23" s="703" t="s">
        <v>659</v>
      </c>
      <c r="H23" s="114"/>
      <c r="I23" s="715" t="s">
        <v>683</v>
      </c>
      <c r="J23" s="568" t="s">
        <v>684</v>
      </c>
      <c r="K23" s="716" t="s">
        <v>611</v>
      </c>
      <c r="L23" s="717"/>
      <c r="M23" s="620"/>
      <c r="N23" s="717"/>
      <c r="O23" s="717"/>
      <c r="P23" s="717"/>
      <c r="Q23" s="602"/>
      <c r="R23" s="417" t="s">
        <v>670</v>
      </c>
      <c r="S23" s="602"/>
      <c r="AN23" s="42" t="n">
        <v>19</v>
      </c>
    </row>
    <row r="24" customFormat="false" ht="19.5" hidden="false" customHeight="true" outlineLevel="0" collapsed="false">
      <c r="A24" s="708"/>
      <c r="B24" s="701" t="s">
        <v>685</v>
      </c>
      <c r="C24" s="701" t="s">
        <v>686</v>
      </c>
      <c r="D24" s="702" t="s">
        <v>648</v>
      </c>
      <c r="E24" s="703" t="s">
        <v>659</v>
      </c>
      <c r="F24" s="703" t="s">
        <v>659</v>
      </c>
      <c r="H24" s="114"/>
      <c r="I24" s="715" t="s">
        <v>687</v>
      </c>
      <c r="J24" s="568" t="s">
        <v>688</v>
      </c>
      <c r="K24" s="716" t="s">
        <v>611</v>
      </c>
      <c r="L24" s="717"/>
      <c r="M24" s="620"/>
      <c r="N24" s="717"/>
      <c r="O24" s="717"/>
      <c r="P24" s="717"/>
      <c r="Q24" s="602"/>
      <c r="R24" s="417"/>
      <c r="S24" s="602"/>
      <c r="AN24" s="42" t="n">
        <v>19</v>
      </c>
    </row>
    <row r="25" customFormat="false" ht="24" hidden="false" customHeight="true" outlineLevel="0" collapsed="false">
      <c r="A25" s="708"/>
      <c r="B25" s="701" t="s">
        <v>689</v>
      </c>
      <c r="C25" s="701" t="s">
        <v>690</v>
      </c>
      <c r="D25" s="702" t="s">
        <v>648</v>
      </c>
      <c r="E25" s="703" t="s">
        <v>659</v>
      </c>
      <c r="F25" s="703" t="s">
        <v>659</v>
      </c>
      <c r="H25" s="114"/>
      <c r="I25" s="715" t="s">
        <v>691</v>
      </c>
      <c r="J25" s="568" t="s">
        <v>692</v>
      </c>
      <c r="K25" s="716" t="s">
        <v>611</v>
      </c>
      <c r="L25" s="717"/>
      <c r="M25" s="620"/>
      <c r="N25" s="717"/>
      <c r="O25" s="717"/>
      <c r="P25" s="717"/>
      <c r="Q25" s="602"/>
      <c r="R25" s="417"/>
      <c r="S25" s="602"/>
      <c r="AN25" s="42" t="n">
        <v>23</v>
      </c>
    </row>
    <row r="26" customFormat="false" ht="24" hidden="false" customHeight="true" outlineLevel="0" collapsed="false">
      <c r="A26" s="708"/>
      <c r="B26" s="701" t="s">
        <v>693</v>
      </c>
      <c r="C26" s="701" t="s">
        <v>694</v>
      </c>
      <c r="D26" s="702" t="s">
        <v>648</v>
      </c>
      <c r="E26" s="703" t="s">
        <v>659</v>
      </c>
      <c r="F26" s="703" t="s">
        <v>659</v>
      </c>
      <c r="H26" s="114"/>
      <c r="I26" s="715" t="n">
        <v>7</v>
      </c>
      <c r="J26" s="619" t="s">
        <v>694</v>
      </c>
      <c r="K26" s="716" t="s">
        <v>695</v>
      </c>
      <c r="L26" s="717"/>
      <c r="M26" s="620"/>
      <c r="N26" s="717"/>
      <c r="O26" s="717"/>
      <c r="P26" s="717"/>
      <c r="Q26" s="602"/>
      <c r="R26" s="417"/>
      <c r="S26" s="602"/>
      <c r="AN26" s="42" t="n">
        <v>23</v>
      </c>
    </row>
    <row r="27" customFormat="false" ht="24" hidden="false" customHeight="true" outlineLevel="0" collapsed="false">
      <c r="A27" s="708"/>
      <c r="B27" s="701" t="s">
        <v>696</v>
      </c>
      <c r="C27" s="701" t="s">
        <v>697</v>
      </c>
      <c r="D27" s="702" t="s">
        <v>648</v>
      </c>
      <c r="E27" s="703" t="s">
        <v>659</v>
      </c>
      <c r="F27" s="703" t="s">
        <v>659</v>
      </c>
      <c r="H27" s="114"/>
      <c r="I27" s="715" t="n">
        <v>8</v>
      </c>
      <c r="J27" s="619" t="s">
        <v>697</v>
      </c>
      <c r="K27" s="716" t="s">
        <v>617</v>
      </c>
      <c r="L27" s="717"/>
      <c r="M27" s="620"/>
      <c r="N27" s="717"/>
      <c r="O27" s="717"/>
      <c r="P27" s="717"/>
      <c r="Q27" s="602"/>
      <c r="R27" s="417"/>
      <c r="S27" s="602"/>
      <c r="AN27" s="42" t="n">
        <v>23</v>
      </c>
    </row>
    <row r="28" customFormat="false" ht="35.25" hidden="false" customHeight="true" outlineLevel="0" collapsed="false">
      <c r="A28" s="708"/>
      <c r="B28" s="701" t="s">
        <v>698</v>
      </c>
      <c r="C28" s="701" t="s">
        <v>699</v>
      </c>
      <c r="D28" s="702" t="s">
        <v>648</v>
      </c>
      <c r="E28" s="703" t="s">
        <v>659</v>
      </c>
      <c r="F28" s="703" t="s">
        <v>659</v>
      </c>
      <c r="H28" s="114"/>
      <c r="I28" s="718" t="n">
        <v>9</v>
      </c>
      <c r="J28" s="619" t="s">
        <v>700</v>
      </c>
      <c r="K28" s="716" t="s">
        <v>573</v>
      </c>
      <c r="L28" s="717"/>
      <c r="M28" s="620"/>
      <c r="N28" s="717"/>
      <c r="O28" s="717"/>
      <c r="P28" s="717"/>
      <c r="Q28" s="602"/>
      <c r="R28" s="417"/>
      <c r="S28" s="602"/>
      <c r="AN28" s="42" t="n">
        <v>34</v>
      </c>
    </row>
    <row r="29" customFormat="false" ht="35.25" hidden="false" customHeight="true" outlineLevel="0" collapsed="false">
      <c r="A29" s="708"/>
      <c r="B29" s="701" t="s">
        <v>701</v>
      </c>
      <c r="C29" s="701" t="s">
        <v>702</v>
      </c>
      <c r="D29" s="702" t="s">
        <v>648</v>
      </c>
      <c r="E29" s="703" t="s">
        <v>659</v>
      </c>
      <c r="F29" s="703" t="s">
        <v>659</v>
      </c>
      <c r="H29" s="114"/>
      <c r="I29" s="718" t="n">
        <v>10</v>
      </c>
      <c r="J29" s="619" t="s">
        <v>703</v>
      </c>
      <c r="K29" s="716" t="s">
        <v>573</v>
      </c>
      <c r="L29" s="717"/>
      <c r="M29" s="620"/>
      <c r="N29" s="717"/>
      <c r="O29" s="717"/>
      <c r="P29" s="717"/>
      <c r="Q29" s="602"/>
      <c r="R29" s="417"/>
      <c r="S29" s="602"/>
      <c r="AN29" s="42" t="n">
        <v>34</v>
      </c>
    </row>
    <row r="30" customFormat="false" ht="24" hidden="false" customHeight="true" outlineLevel="0" collapsed="false">
      <c r="A30" s="708"/>
      <c r="B30" s="701" t="s">
        <v>704</v>
      </c>
      <c r="C30" s="701" t="s">
        <v>705</v>
      </c>
      <c r="D30" s="702" t="s">
        <v>648</v>
      </c>
      <c r="E30" s="703" t="s">
        <v>659</v>
      </c>
      <c r="F30" s="703" t="s">
        <v>659</v>
      </c>
      <c r="H30" s="114"/>
      <c r="I30" s="718" t="n">
        <v>11</v>
      </c>
      <c r="J30" s="619" t="s">
        <v>705</v>
      </c>
      <c r="K30" s="716" t="s">
        <v>618</v>
      </c>
      <c r="L30" s="719"/>
      <c r="M30" s="385"/>
      <c r="N30" s="719"/>
      <c r="O30" s="719"/>
      <c r="P30" s="719"/>
      <c r="Q30" s="602"/>
      <c r="R30" s="417"/>
      <c r="S30" s="602"/>
      <c r="AN30" s="42" t="n">
        <v>23</v>
      </c>
    </row>
    <row r="31" customFormat="false" ht="24" hidden="false" customHeight="true" outlineLevel="0" collapsed="false">
      <c r="A31" s="708"/>
      <c r="B31" s="701" t="s">
        <v>706</v>
      </c>
      <c r="C31" s="701" t="s">
        <v>707</v>
      </c>
      <c r="D31" s="702" t="s">
        <v>648</v>
      </c>
      <c r="E31" s="703" t="s">
        <v>659</v>
      </c>
      <c r="F31" s="703" t="s">
        <v>659</v>
      </c>
      <c r="H31" s="114"/>
      <c r="I31" s="718" t="n">
        <v>12</v>
      </c>
      <c r="J31" s="619" t="s">
        <v>707</v>
      </c>
      <c r="K31" s="716" t="s">
        <v>618</v>
      </c>
      <c r="L31" s="719"/>
      <c r="M31" s="385"/>
      <c r="N31" s="719"/>
      <c r="O31" s="719"/>
      <c r="P31" s="719"/>
      <c r="Q31" s="602"/>
      <c r="R31" s="417"/>
      <c r="S31" s="602"/>
      <c r="AN31" s="42" t="n">
        <v>23</v>
      </c>
    </row>
    <row r="32" customFormat="false" ht="48" hidden="false" customHeight="true" outlineLevel="0" collapsed="false">
      <c r="A32" s="708"/>
      <c r="B32" s="701" t="s">
        <v>708</v>
      </c>
      <c r="C32" s="701" t="s">
        <v>709</v>
      </c>
      <c r="D32" s="702" t="s">
        <v>648</v>
      </c>
      <c r="E32" s="703" t="s">
        <v>659</v>
      </c>
      <c r="F32" s="703" t="s">
        <v>659</v>
      </c>
      <c r="H32" s="114"/>
      <c r="I32" s="718" t="n">
        <v>13</v>
      </c>
      <c r="J32" s="619" t="s">
        <v>710</v>
      </c>
      <c r="K32" s="716" t="s">
        <v>628</v>
      </c>
      <c r="L32" s="717"/>
      <c r="M32" s="620"/>
      <c r="N32" s="717"/>
      <c r="O32" s="717"/>
      <c r="P32" s="717"/>
      <c r="Q32" s="602"/>
      <c r="R32" s="417" t="s">
        <v>670</v>
      </c>
      <c r="S32" s="602"/>
      <c r="AN32" s="42" t="n">
        <v>46</v>
      </c>
    </row>
    <row r="33" s="45" customFormat="true" ht="48" hidden="false" customHeight="true" outlineLevel="0" collapsed="false">
      <c r="A33" s="708"/>
      <c r="B33" s="701" t="s">
        <v>711</v>
      </c>
      <c r="C33" s="701" t="s">
        <v>712</v>
      </c>
      <c r="D33" s="702" t="s">
        <v>648</v>
      </c>
      <c r="E33" s="703" t="s">
        <v>659</v>
      </c>
      <c r="F33" s="703" t="s">
        <v>659</v>
      </c>
      <c r="G33" s="47"/>
      <c r="H33" s="114"/>
      <c r="I33" s="718" t="n">
        <v>14</v>
      </c>
      <c r="J33" s="268" t="s">
        <v>713</v>
      </c>
      <c r="K33" s="264" t="s">
        <v>714</v>
      </c>
      <c r="L33" s="717"/>
      <c r="M33" s="620"/>
      <c r="N33" s="717"/>
      <c r="O33" s="717"/>
      <c r="P33" s="717"/>
      <c r="Q33" s="602"/>
      <c r="R33" s="417" t="s">
        <v>670</v>
      </c>
      <c r="S33" s="602"/>
      <c r="T33" s="47"/>
      <c r="U33" s="47"/>
      <c r="Z33" s="47"/>
      <c r="AC33" s="599"/>
      <c r="AN33" s="45" t="n">
        <v>46</v>
      </c>
    </row>
    <row r="34" customFormat="false" ht="108" hidden="false" customHeight="true" outlineLevel="0" collapsed="false">
      <c r="A34" s="708"/>
      <c r="B34" s="701" t="s">
        <v>715</v>
      </c>
      <c r="C34" s="701" t="s">
        <v>716</v>
      </c>
      <c r="D34" s="702" t="s">
        <v>658</v>
      </c>
      <c r="E34" s="703" t="s">
        <v>659</v>
      </c>
      <c r="F34" s="703" t="s">
        <v>659</v>
      </c>
      <c r="G34" s="47" t="s">
        <v>616</v>
      </c>
      <c r="H34" s="114"/>
      <c r="I34" s="198" t="n">
        <v>15</v>
      </c>
      <c r="J34" s="619" t="s">
        <v>717</v>
      </c>
      <c r="K34" s="716" t="s">
        <v>319</v>
      </c>
      <c r="L34" s="710"/>
      <c r="M34" s="403"/>
      <c r="N34" s="710"/>
      <c r="O34" s="710"/>
      <c r="P34" s="710"/>
      <c r="Q34" s="602"/>
      <c r="R34" s="417" t="s">
        <v>662</v>
      </c>
      <c r="S34" s="602"/>
      <c r="AN34" s="42" t="n">
        <v>103</v>
      </c>
    </row>
    <row r="35" s="120" customFormat="true" ht="11.25" hidden="false" customHeight="true" outlineLevel="0" collapsed="false">
      <c r="A35" s="598"/>
      <c r="B35" s="598"/>
      <c r="C35" s="598"/>
      <c r="D35" s="598"/>
      <c r="E35" s="598"/>
      <c r="F35" s="47"/>
      <c r="G35" s="47"/>
      <c r="Q35" s="45"/>
      <c r="S35" s="45"/>
      <c r="T35" s="47"/>
      <c r="U35" s="47"/>
      <c r="V35" s="45"/>
      <c r="W35" s="45"/>
      <c r="X35" s="45"/>
      <c r="Y35" s="45"/>
      <c r="Z35" s="47"/>
      <c r="AA35" s="45"/>
      <c r="AB35" s="45"/>
      <c r="AC35" s="599"/>
      <c r="AD35" s="45"/>
      <c r="AE35" s="45"/>
      <c r="AF35" s="45"/>
      <c r="AG35" s="45"/>
      <c r="AH35" s="45"/>
      <c r="AI35" s="45"/>
      <c r="AJ35" s="47"/>
      <c r="AK35" s="47"/>
      <c r="AL35" s="47"/>
      <c r="AM35" s="47"/>
      <c r="AN35" s="120" t="n">
        <v>11</v>
      </c>
    </row>
    <row r="36" s="120" customFormat="true" ht="11.25" hidden="false" customHeight="true" outlineLevel="0" collapsed="false">
      <c r="A36" s="598"/>
      <c r="B36" s="598"/>
      <c r="C36" s="598"/>
      <c r="D36" s="598"/>
      <c r="E36" s="598"/>
      <c r="F36" s="47"/>
      <c r="G36" s="47"/>
      <c r="Q36" s="45"/>
      <c r="S36" s="45"/>
      <c r="T36" s="47"/>
      <c r="U36" s="47"/>
      <c r="V36" s="45"/>
      <c r="W36" s="45"/>
      <c r="X36" s="45"/>
      <c r="Y36" s="45"/>
      <c r="Z36" s="47"/>
      <c r="AA36" s="45"/>
      <c r="AB36" s="45"/>
      <c r="AC36" s="599"/>
      <c r="AD36" s="45"/>
      <c r="AE36" s="45"/>
      <c r="AF36" s="45"/>
      <c r="AG36" s="45"/>
      <c r="AH36" s="45"/>
      <c r="AI36" s="45"/>
      <c r="AJ36" s="47"/>
      <c r="AK36" s="47"/>
      <c r="AL36" s="47"/>
      <c r="AM36" s="47"/>
      <c r="AN36" s="120" t="n">
        <v>11</v>
      </c>
    </row>
    <row r="37" s="120" customFormat="true" ht="11.25" hidden="false" customHeight="true" outlineLevel="0" collapsed="false">
      <c r="A37" s="598"/>
      <c r="B37" s="598"/>
      <c r="C37" s="598"/>
      <c r="D37" s="598"/>
      <c r="E37" s="598"/>
      <c r="F37" s="47"/>
      <c r="G37" s="47"/>
      <c r="L37" s="47"/>
      <c r="M37" s="47"/>
      <c r="N37" s="47"/>
      <c r="O37" s="47"/>
      <c r="P37" s="47"/>
      <c r="Q37" s="45"/>
      <c r="S37" s="45"/>
      <c r="T37" s="47"/>
      <c r="U37" s="47"/>
      <c r="V37" s="45"/>
      <c r="W37" s="45"/>
      <c r="X37" s="45"/>
      <c r="Y37" s="45"/>
      <c r="Z37" s="47"/>
      <c r="AA37" s="45"/>
      <c r="AB37" s="45"/>
      <c r="AC37" s="599"/>
      <c r="AD37" s="45"/>
      <c r="AE37" s="45"/>
      <c r="AF37" s="45"/>
      <c r="AG37" s="45"/>
      <c r="AH37" s="45"/>
      <c r="AI37" s="45"/>
      <c r="AJ37" s="47"/>
      <c r="AK37" s="47"/>
      <c r="AL37" s="47"/>
      <c r="AM37" s="47"/>
      <c r="AN37" s="120" t="n">
        <v>11</v>
      </c>
    </row>
    <row r="38" s="120" customFormat="true" ht="11.25" hidden="false" customHeight="true" outlineLevel="0" collapsed="false">
      <c r="A38" s="598"/>
      <c r="B38" s="598"/>
      <c r="C38" s="598"/>
      <c r="D38" s="598"/>
      <c r="E38" s="598"/>
      <c r="F38" s="47"/>
      <c r="G38" s="47"/>
      <c r="Q38" s="45"/>
      <c r="S38" s="45"/>
      <c r="T38" s="47"/>
      <c r="U38" s="47"/>
      <c r="V38" s="45"/>
      <c r="W38" s="45"/>
      <c r="X38" s="45"/>
      <c r="Y38" s="45"/>
      <c r="Z38" s="47"/>
      <c r="AA38" s="45"/>
      <c r="AB38" s="45"/>
      <c r="AC38" s="599"/>
      <c r="AD38" s="45"/>
      <c r="AE38" s="45"/>
      <c r="AF38" s="45"/>
      <c r="AG38" s="45"/>
      <c r="AH38" s="45"/>
      <c r="AI38" s="45"/>
      <c r="AJ38" s="47"/>
      <c r="AK38" s="47"/>
      <c r="AL38" s="47"/>
      <c r="AM38" s="47"/>
      <c r="AN38" s="120" t="n">
        <v>11</v>
      </c>
    </row>
    <row r="39" s="120" customFormat="true" ht="11.25" hidden="false" customHeight="true" outlineLevel="0" collapsed="false">
      <c r="A39" s="598"/>
      <c r="B39" s="598"/>
      <c r="C39" s="598"/>
      <c r="D39" s="598"/>
      <c r="E39" s="598"/>
      <c r="F39" s="47"/>
      <c r="G39" s="47"/>
      <c r="Q39" s="45"/>
      <c r="S39" s="45"/>
      <c r="T39" s="47"/>
      <c r="U39" s="47"/>
      <c r="V39" s="45"/>
      <c r="W39" s="45"/>
      <c r="X39" s="45"/>
      <c r="Y39" s="45"/>
      <c r="Z39" s="47"/>
      <c r="AA39" s="45"/>
      <c r="AB39" s="45"/>
      <c r="AC39" s="599"/>
      <c r="AD39" s="45"/>
      <c r="AE39" s="45"/>
      <c r="AF39" s="45"/>
      <c r="AG39" s="45"/>
      <c r="AH39" s="45"/>
      <c r="AI39" s="45"/>
      <c r="AJ39" s="47"/>
      <c r="AK39" s="47"/>
      <c r="AL39" s="47"/>
      <c r="AM39" s="47"/>
      <c r="AN39" s="120" t="n">
        <v>11</v>
      </c>
    </row>
    <row r="40" s="120" customFormat="true" ht="11.25" hidden="false" customHeight="true" outlineLevel="0" collapsed="false">
      <c r="A40" s="598"/>
      <c r="B40" s="598"/>
      <c r="C40" s="598"/>
      <c r="D40" s="598"/>
      <c r="E40" s="598"/>
      <c r="F40" s="47"/>
      <c r="G40" s="47"/>
      <c r="Q40" s="45"/>
      <c r="S40" s="45"/>
      <c r="T40" s="47"/>
      <c r="U40" s="47"/>
      <c r="V40" s="45"/>
      <c r="W40" s="45"/>
      <c r="X40" s="45"/>
      <c r="Y40" s="45"/>
      <c r="Z40" s="47"/>
      <c r="AA40" s="45"/>
      <c r="AB40" s="45"/>
      <c r="AC40" s="599"/>
      <c r="AD40" s="45"/>
      <c r="AE40" s="45"/>
      <c r="AF40" s="45"/>
      <c r="AG40" s="45"/>
      <c r="AH40" s="45"/>
      <c r="AI40" s="45"/>
      <c r="AJ40" s="47"/>
      <c r="AK40" s="47"/>
      <c r="AL40" s="47"/>
      <c r="AM40" s="47"/>
      <c r="AN40" s="120" t="n">
        <v>11</v>
      </c>
    </row>
    <row r="41" s="120" customFormat="true" ht="11.25" hidden="false" customHeight="true" outlineLevel="0" collapsed="false">
      <c r="A41" s="598"/>
      <c r="B41" s="598"/>
      <c r="C41" s="598"/>
      <c r="D41" s="598"/>
      <c r="E41" s="598"/>
      <c r="F41" s="47"/>
      <c r="G41" s="47"/>
      <c r="Q41" s="45"/>
      <c r="S41" s="45"/>
      <c r="T41" s="47"/>
      <c r="U41" s="47"/>
      <c r="V41" s="45"/>
      <c r="W41" s="45"/>
      <c r="X41" s="45"/>
      <c r="Y41" s="45"/>
      <c r="Z41" s="47"/>
      <c r="AA41" s="45"/>
      <c r="AB41" s="45"/>
      <c r="AC41" s="599"/>
      <c r="AD41" s="45"/>
      <c r="AE41" s="45"/>
      <c r="AF41" s="45"/>
      <c r="AG41" s="45"/>
      <c r="AH41" s="45"/>
      <c r="AI41" s="45"/>
      <c r="AJ41" s="47"/>
      <c r="AK41" s="47"/>
      <c r="AL41" s="47"/>
      <c r="AM41" s="47"/>
      <c r="AN41" s="120" t="n">
        <v>11</v>
      </c>
    </row>
    <row r="42" s="120" customFormat="true" ht="11.25" hidden="false" customHeight="true" outlineLevel="0" collapsed="false">
      <c r="A42" s="598"/>
      <c r="B42" s="598"/>
      <c r="C42" s="598"/>
      <c r="D42" s="598"/>
      <c r="E42" s="598"/>
      <c r="F42" s="47"/>
      <c r="G42" s="47"/>
      <c r="Q42" s="45"/>
      <c r="S42" s="45"/>
      <c r="T42" s="47"/>
      <c r="U42" s="47"/>
      <c r="V42" s="45"/>
      <c r="W42" s="45"/>
      <c r="X42" s="45"/>
      <c r="Y42" s="45"/>
      <c r="Z42" s="47"/>
      <c r="AA42" s="45"/>
      <c r="AB42" s="45"/>
      <c r="AC42" s="599"/>
      <c r="AD42" s="45"/>
      <c r="AE42" s="45"/>
      <c r="AF42" s="45"/>
      <c r="AG42" s="45"/>
      <c r="AH42" s="45"/>
      <c r="AI42" s="45"/>
      <c r="AJ42" s="47"/>
      <c r="AK42" s="47"/>
      <c r="AL42" s="47"/>
      <c r="AM42" s="47"/>
      <c r="AN42" s="120" t="n">
        <v>11</v>
      </c>
    </row>
    <row r="43" s="120" customFormat="true" ht="11.25" hidden="false" customHeight="true" outlineLevel="0" collapsed="false">
      <c r="A43" s="598"/>
      <c r="B43" s="598"/>
      <c r="C43" s="598"/>
      <c r="D43" s="598"/>
      <c r="E43" s="598"/>
      <c r="F43" s="47"/>
      <c r="G43" s="47"/>
      <c r="Q43" s="45"/>
      <c r="S43" s="45"/>
      <c r="T43" s="47"/>
      <c r="U43" s="47"/>
      <c r="V43" s="45"/>
      <c r="W43" s="45"/>
      <c r="X43" s="45"/>
      <c r="Y43" s="45"/>
      <c r="Z43" s="47"/>
      <c r="AA43" s="45"/>
      <c r="AB43" s="45"/>
      <c r="AC43" s="599"/>
      <c r="AD43" s="45"/>
      <c r="AE43" s="45"/>
      <c r="AF43" s="45"/>
      <c r="AG43" s="45"/>
      <c r="AH43" s="45"/>
      <c r="AI43" s="45"/>
      <c r="AJ43" s="47"/>
      <c r="AK43" s="47"/>
      <c r="AL43" s="47"/>
      <c r="AM43" s="47"/>
      <c r="AN43" s="120" t="n">
        <v>11</v>
      </c>
    </row>
    <row r="44" s="120" customFormat="true" ht="11.25" hidden="false" customHeight="true" outlineLevel="0" collapsed="false">
      <c r="A44" s="598"/>
      <c r="B44" s="598"/>
      <c r="C44" s="598"/>
      <c r="D44" s="598"/>
      <c r="E44" s="598"/>
      <c r="F44" s="47"/>
      <c r="G44" s="47"/>
      <c r="Q44" s="45"/>
      <c r="S44" s="45"/>
      <c r="T44" s="47"/>
      <c r="U44" s="47"/>
      <c r="V44" s="45"/>
      <c r="W44" s="45"/>
      <c r="X44" s="45"/>
      <c r="Y44" s="45"/>
      <c r="Z44" s="47"/>
      <c r="AA44" s="45"/>
      <c r="AB44" s="45"/>
      <c r="AC44" s="599"/>
      <c r="AD44" s="45"/>
      <c r="AE44" s="45"/>
      <c r="AF44" s="45"/>
      <c r="AG44" s="45"/>
      <c r="AH44" s="45"/>
      <c r="AI44" s="45"/>
      <c r="AJ44" s="47"/>
      <c r="AK44" s="47"/>
      <c r="AL44" s="47"/>
      <c r="AM44" s="47"/>
      <c r="AN44" s="120" t="n">
        <v>11</v>
      </c>
    </row>
    <row r="45" s="120" customFormat="true" ht="11.25" hidden="false" customHeight="true" outlineLevel="0" collapsed="false">
      <c r="A45" s="598"/>
      <c r="B45" s="598"/>
      <c r="C45" s="598"/>
      <c r="D45" s="598"/>
      <c r="E45" s="598"/>
      <c r="F45" s="47"/>
      <c r="G45" s="47"/>
      <c r="Q45" s="45"/>
      <c r="S45" s="45"/>
      <c r="T45" s="47"/>
      <c r="U45" s="47"/>
      <c r="V45" s="45"/>
      <c r="W45" s="45"/>
      <c r="X45" s="45"/>
      <c r="Y45" s="45"/>
      <c r="Z45" s="47"/>
      <c r="AA45" s="45"/>
      <c r="AB45" s="45"/>
      <c r="AC45" s="599"/>
      <c r="AD45" s="45"/>
      <c r="AE45" s="45"/>
      <c r="AF45" s="45"/>
      <c r="AG45" s="45"/>
      <c r="AH45" s="45"/>
      <c r="AI45" s="45"/>
      <c r="AJ45" s="47"/>
      <c r="AK45" s="47"/>
      <c r="AL45" s="47"/>
      <c r="AM45" s="47"/>
      <c r="AN45" s="120" t="n">
        <v>11</v>
      </c>
    </row>
    <row r="46" s="120" customFormat="true" ht="11.25" hidden="false" customHeight="true" outlineLevel="0" collapsed="false">
      <c r="A46" s="598"/>
      <c r="B46" s="598"/>
      <c r="C46" s="598"/>
      <c r="D46" s="598"/>
      <c r="E46" s="598"/>
      <c r="F46" s="47"/>
      <c r="G46" s="47"/>
      <c r="Q46" s="45"/>
      <c r="S46" s="45"/>
      <c r="T46" s="47"/>
      <c r="U46" s="47"/>
      <c r="V46" s="45"/>
      <c r="W46" s="45"/>
      <c r="X46" s="45"/>
      <c r="Y46" s="45"/>
      <c r="Z46" s="47"/>
      <c r="AA46" s="45"/>
      <c r="AB46" s="45"/>
      <c r="AC46" s="599"/>
      <c r="AD46" s="45"/>
      <c r="AE46" s="45"/>
      <c r="AF46" s="45"/>
      <c r="AG46" s="45"/>
      <c r="AH46" s="45"/>
      <c r="AI46" s="45"/>
      <c r="AJ46" s="47"/>
      <c r="AK46" s="47"/>
      <c r="AL46" s="47"/>
      <c r="AM46" s="47"/>
      <c r="AN46" s="120" t="n">
        <v>11</v>
      </c>
    </row>
    <row r="47" s="120" customFormat="true" ht="11.25" hidden="false" customHeight="true" outlineLevel="0" collapsed="false">
      <c r="A47" s="598"/>
      <c r="B47" s="598"/>
      <c r="C47" s="598"/>
      <c r="D47" s="598"/>
      <c r="E47" s="598"/>
      <c r="F47" s="47"/>
      <c r="G47" s="47"/>
      <c r="Q47" s="45"/>
      <c r="S47" s="45"/>
      <c r="T47" s="47"/>
      <c r="U47" s="47"/>
      <c r="V47" s="45"/>
      <c r="W47" s="45"/>
      <c r="X47" s="45"/>
      <c r="Y47" s="45"/>
      <c r="Z47" s="47"/>
      <c r="AA47" s="45"/>
      <c r="AB47" s="45"/>
      <c r="AC47" s="599"/>
      <c r="AD47" s="45"/>
      <c r="AE47" s="45"/>
      <c r="AF47" s="45"/>
      <c r="AG47" s="45"/>
      <c r="AH47" s="45"/>
      <c r="AI47" s="45"/>
      <c r="AJ47" s="47"/>
      <c r="AK47" s="47"/>
      <c r="AL47" s="47"/>
      <c r="AM47" s="47"/>
      <c r="AN47" s="120" t="n">
        <v>11</v>
      </c>
    </row>
    <row r="48" s="120" customFormat="true" ht="11.25" hidden="false" customHeight="true" outlineLevel="0" collapsed="false">
      <c r="A48" s="598"/>
      <c r="B48" s="598"/>
      <c r="C48" s="598"/>
      <c r="D48" s="598"/>
      <c r="E48" s="598"/>
      <c r="F48" s="47"/>
      <c r="G48" s="47"/>
      <c r="Q48" s="45"/>
      <c r="S48" s="45"/>
      <c r="T48" s="47"/>
      <c r="U48" s="47"/>
      <c r="V48" s="45"/>
      <c r="W48" s="45"/>
      <c r="X48" s="45"/>
      <c r="Y48" s="45"/>
      <c r="Z48" s="47"/>
      <c r="AA48" s="45"/>
      <c r="AB48" s="45"/>
      <c r="AC48" s="599"/>
      <c r="AD48" s="45"/>
      <c r="AE48" s="45"/>
      <c r="AF48" s="45"/>
      <c r="AG48" s="45"/>
      <c r="AH48" s="45"/>
      <c r="AI48" s="45"/>
      <c r="AJ48" s="47"/>
      <c r="AK48" s="47"/>
      <c r="AL48" s="47"/>
      <c r="AM48" s="47"/>
      <c r="AN48" s="120" t="n">
        <v>11</v>
      </c>
    </row>
    <row r="49" s="120" customFormat="true" ht="11.25" hidden="false" customHeight="true" outlineLevel="0" collapsed="false">
      <c r="A49" s="598"/>
      <c r="B49" s="598"/>
      <c r="C49" s="598"/>
      <c r="D49" s="598"/>
      <c r="E49" s="598"/>
      <c r="F49" s="47"/>
      <c r="G49" s="47"/>
      <c r="Q49" s="45"/>
      <c r="S49" s="45"/>
      <c r="T49" s="47"/>
      <c r="U49" s="47"/>
      <c r="V49" s="45"/>
      <c r="W49" s="45"/>
      <c r="X49" s="45"/>
      <c r="Y49" s="45"/>
      <c r="Z49" s="47"/>
      <c r="AA49" s="45"/>
      <c r="AB49" s="45"/>
      <c r="AC49" s="599"/>
      <c r="AD49" s="45"/>
      <c r="AE49" s="45"/>
      <c r="AF49" s="45"/>
      <c r="AG49" s="45"/>
      <c r="AH49" s="45"/>
      <c r="AI49" s="45"/>
      <c r="AJ49" s="47"/>
      <c r="AK49" s="47"/>
      <c r="AL49" s="47"/>
      <c r="AM49" s="47"/>
      <c r="AN49" s="120" t="n">
        <v>11</v>
      </c>
    </row>
    <row r="50" s="120" customFormat="true" ht="11.25" hidden="false" customHeight="true" outlineLevel="0" collapsed="false">
      <c r="A50" s="598"/>
      <c r="B50" s="598"/>
      <c r="C50" s="598"/>
      <c r="D50" s="598"/>
      <c r="E50" s="598"/>
      <c r="F50" s="47"/>
      <c r="G50" s="47"/>
      <c r="Q50" s="45"/>
      <c r="S50" s="45"/>
      <c r="T50" s="47"/>
      <c r="U50" s="47"/>
      <c r="V50" s="45"/>
      <c r="W50" s="45"/>
      <c r="X50" s="45"/>
      <c r="Y50" s="45"/>
      <c r="Z50" s="47"/>
      <c r="AA50" s="45"/>
      <c r="AB50" s="45"/>
      <c r="AC50" s="599"/>
      <c r="AD50" s="45"/>
      <c r="AE50" s="45"/>
      <c r="AF50" s="45"/>
      <c r="AG50" s="45"/>
      <c r="AH50" s="45"/>
      <c r="AI50" s="45"/>
      <c r="AJ50" s="47"/>
      <c r="AK50" s="47"/>
      <c r="AL50" s="47"/>
      <c r="AM50" s="47"/>
      <c r="AN50" s="120" t="n">
        <v>11</v>
      </c>
    </row>
    <row r="51" s="120" customFormat="true" ht="11.25" hidden="false" customHeight="true" outlineLevel="0" collapsed="false">
      <c r="A51" s="598"/>
      <c r="B51" s="598"/>
      <c r="C51" s="598"/>
      <c r="D51" s="598"/>
      <c r="E51" s="598"/>
      <c r="F51" s="47"/>
      <c r="G51" s="47"/>
      <c r="Q51" s="45"/>
      <c r="S51" s="45"/>
      <c r="T51" s="47"/>
      <c r="U51" s="47"/>
      <c r="V51" s="45"/>
      <c r="W51" s="45"/>
      <c r="X51" s="45"/>
      <c r="Y51" s="45"/>
      <c r="Z51" s="47"/>
      <c r="AA51" s="45"/>
      <c r="AB51" s="45"/>
      <c r="AC51" s="599"/>
      <c r="AD51" s="45"/>
      <c r="AE51" s="45"/>
      <c r="AF51" s="45"/>
      <c r="AG51" s="45"/>
      <c r="AH51" s="45"/>
      <c r="AI51" s="45"/>
      <c r="AJ51" s="47"/>
      <c r="AK51" s="47"/>
      <c r="AL51" s="47"/>
      <c r="AM51" s="47"/>
      <c r="AN51" s="120" t="n">
        <v>11</v>
      </c>
    </row>
    <row r="52" s="120" customFormat="true" ht="11.25" hidden="false" customHeight="true" outlineLevel="0" collapsed="false">
      <c r="A52" s="598"/>
      <c r="B52" s="598"/>
      <c r="C52" s="598"/>
      <c r="D52" s="598"/>
      <c r="E52" s="598"/>
      <c r="F52" s="47"/>
      <c r="G52" s="47"/>
      <c r="Q52" s="45"/>
      <c r="S52" s="45"/>
      <c r="T52" s="47"/>
      <c r="U52" s="47"/>
      <c r="V52" s="45"/>
      <c r="W52" s="45"/>
      <c r="X52" s="45"/>
      <c r="Y52" s="45"/>
      <c r="Z52" s="47"/>
      <c r="AA52" s="45"/>
      <c r="AB52" s="45"/>
      <c r="AC52" s="599"/>
      <c r="AD52" s="45"/>
      <c r="AE52" s="45"/>
      <c r="AF52" s="45"/>
      <c r="AG52" s="45"/>
      <c r="AH52" s="45"/>
      <c r="AI52" s="45"/>
      <c r="AJ52" s="47"/>
      <c r="AK52" s="47"/>
      <c r="AL52" s="47"/>
      <c r="AM52" s="47"/>
      <c r="AN52" s="120" t="n">
        <v>11</v>
      </c>
    </row>
    <row r="53" s="120" customFormat="true" ht="11.25" hidden="false" customHeight="true" outlineLevel="0" collapsed="false">
      <c r="A53" s="598"/>
      <c r="B53" s="598"/>
      <c r="C53" s="598"/>
      <c r="D53" s="598"/>
      <c r="E53" s="598"/>
      <c r="F53" s="47"/>
      <c r="G53" s="47"/>
      <c r="Q53" s="45"/>
      <c r="S53" s="45"/>
      <c r="T53" s="47"/>
      <c r="U53" s="47"/>
      <c r="V53" s="45"/>
      <c r="W53" s="45"/>
      <c r="X53" s="45"/>
      <c r="Y53" s="45"/>
      <c r="Z53" s="47"/>
      <c r="AA53" s="45"/>
      <c r="AB53" s="45"/>
      <c r="AC53" s="599"/>
      <c r="AD53" s="45"/>
      <c r="AE53" s="45"/>
      <c r="AF53" s="45"/>
      <c r="AG53" s="45"/>
      <c r="AH53" s="45"/>
      <c r="AI53" s="45"/>
      <c r="AJ53" s="47"/>
      <c r="AK53" s="47"/>
      <c r="AL53" s="47"/>
      <c r="AM53" s="47"/>
      <c r="AN53" s="120" t="n">
        <v>11</v>
      </c>
    </row>
    <row r="54" s="120" customFormat="true" ht="11.25" hidden="false" customHeight="true" outlineLevel="0" collapsed="false">
      <c r="A54" s="598"/>
      <c r="B54" s="598"/>
      <c r="C54" s="598"/>
      <c r="D54" s="598"/>
      <c r="E54" s="598"/>
      <c r="F54" s="47"/>
      <c r="G54" s="47"/>
      <c r="Q54" s="45"/>
      <c r="S54" s="45"/>
      <c r="T54" s="47"/>
      <c r="U54" s="47"/>
      <c r="V54" s="45"/>
      <c r="W54" s="45"/>
      <c r="X54" s="45"/>
      <c r="Y54" s="45"/>
      <c r="Z54" s="47"/>
      <c r="AA54" s="45"/>
      <c r="AB54" s="45"/>
      <c r="AC54" s="599"/>
      <c r="AD54" s="45"/>
      <c r="AE54" s="45"/>
      <c r="AF54" s="45"/>
      <c r="AG54" s="45"/>
      <c r="AH54" s="45"/>
      <c r="AI54" s="45"/>
      <c r="AJ54" s="47"/>
      <c r="AK54" s="47"/>
      <c r="AL54" s="47"/>
      <c r="AM54" s="47"/>
      <c r="AN54" s="120" t="n">
        <v>11</v>
      </c>
    </row>
    <row r="55" s="120" customFormat="true" ht="11.25" hidden="false" customHeight="true" outlineLevel="0" collapsed="false">
      <c r="A55" s="598"/>
      <c r="B55" s="598"/>
      <c r="C55" s="598"/>
      <c r="D55" s="598"/>
      <c r="E55" s="598"/>
      <c r="F55" s="47"/>
      <c r="G55" s="47"/>
      <c r="Q55" s="45"/>
      <c r="S55" s="45"/>
      <c r="T55" s="47"/>
      <c r="U55" s="47"/>
      <c r="V55" s="45"/>
      <c r="W55" s="45"/>
      <c r="X55" s="45"/>
      <c r="Y55" s="45"/>
      <c r="Z55" s="47"/>
      <c r="AA55" s="45"/>
      <c r="AB55" s="45"/>
      <c r="AC55" s="599"/>
      <c r="AD55" s="45"/>
      <c r="AE55" s="45"/>
      <c r="AF55" s="45"/>
      <c r="AG55" s="45"/>
      <c r="AH55" s="45"/>
      <c r="AI55" s="45"/>
      <c r="AJ55" s="47"/>
      <c r="AK55" s="47"/>
      <c r="AL55" s="47"/>
      <c r="AM55" s="47"/>
      <c r="AN55" s="120" t="n">
        <v>11</v>
      </c>
    </row>
    <row r="56" s="120" customFormat="true" ht="11.25" hidden="false" customHeight="true" outlineLevel="0" collapsed="false">
      <c r="A56" s="598"/>
      <c r="B56" s="598"/>
      <c r="C56" s="598"/>
      <c r="D56" s="598"/>
      <c r="E56" s="598"/>
      <c r="F56" s="47"/>
      <c r="G56" s="47"/>
      <c r="Q56" s="45"/>
      <c r="S56" s="45"/>
      <c r="T56" s="47"/>
      <c r="U56" s="47"/>
      <c r="V56" s="45"/>
      <c r="W56" s="45"/>
      <c r="X56" s="45"/>
      <c r="Y56" s="45"/>
      <c r="Z56" s="47"/>
      <c r="AA56" s="45"/>
      <c r="AB56" s="45"/>
      <c r="AC56" s="599"/>
      <c r="AD56" s="45"/>
      <c r="AE56" s="45"/>
      <c r="AF56" s="45"/>
      <c r="AG56" s="45"/>
      <c r="AH56" s="45"/>
      <c r="AI56" s="45"/>
      <c r="AJ56" s="47"/>
      <c r="AK56" s="47"/>
      <c r="AL56" s="47"/>
      <c r="AM56" s="47"/>
      <c r="AN56" s="120" t="n">
        <v>11</v>
      </c>
    </row>
    <row r="57" s="120" customFormat="true" ht="11.25" hidden="false" customHeight="true" outlineLevel="0" collapsed="false">
      <c r="A57" s="598"/>
      <c r="B57" s="598"/>
      <c r="C57" s="598"/>
      <c r="D57" s="598"/>
      <c r="E57" s="598"/>
      <c r="F57" s="47"/>
      <c r="G57" s="47"/>
      <c r="Q57" s="45"/>
      <c r="S57" s="45"/>
      <c r="T57" s="47"/>
      <c r="U57" s="47"/>
      <c r="V57" s="45"/>
      <c r="W57" s="45"/>
      <c r="X57" s="45"/>
      <c r="Y57" s="45"/>
      <c r="Z57" s="47"/>
      <c r="AA57" s="45"/>
      <c r="AB57" s="45"/>
      <c r="AC57" s="599"/>
      <c r="AD57" s="45"/>
      <c r="AE57" s="45"/>
      <c r="AF57" s="45"/>
      <c r="AG57" s="45"/>
      <c r="AH57" s="45"/>
      <c r="AI57" s="45"/>
      <c r="AJ57" s="47"/>
      <c r="AK57" s="47"/>
      <c r="AL57" s="47"/>
      <c r="AM57" s="47"/>
      <c r="AN57" s="120" t="n">
        <v>11</v>
      </c>
    </row>
    <row r="58" s="120" customFormat="true" ht="11.25" hidden="false" customHeight="true" outlineLevel="0" collapsed="false">
      <c r="A58" s="598"/>
      <c r="B58" s="598"/>
      <c r="C58" s="598"/>
      <c r="D58" s="598"/>
      <c r="E58" s="598"/>
      <c r="F58" s="47"/>
      <c r="G58" s="47"/>
      <c r="Q58" s="45"/>
      <c r="S58" s="45"/>
      <c r="T58" s="47"/>
      <c r="U58" s="47"/>
      <c r="V58" s="45"/>
      <c r="W58" s="45"/>
      <c r="X58" s="45"/>
      <c r="Y58" s="45"/>
      <c r="Z58" s="47"/>
      <c r="AA58" s="45"/>
      <c r="AB58" s="45"/>
      <c r="AC58" s="599"/>
      <c r="AD58" s="45"/>
      <c r="AE58" s="45"/>
      <c r="AF58" s="45"/>
      <c r="AG58" s="45"/>
      <c r="AH58" s="45"/>
      <c r="AI58" s="45"/>
      <c r="AJ58" s="47"/>
      <c r="AK58" s="47"/>
      <c r="AL58" s="47"/>
      <c r="AM58" s="47"/>
      <c r="AN58" s="120" t="n">
        <v>11</v>
      </c>
    </row>
    <row r="59" s="120" customFormat="true" ht="11.25" hidden="false" customHeight="true" outlineLevel="0" collapsed="false">
      <c r="A59" s="598"/>
      <c r="B59" s="598"/>
      <c r="C59" s="598"/>
      <c r="D59" s="598"/>
      <c r="E59" s="598"/>
      <c r="F59" s="47"/>
      <c r="G59" s="47"/>
      <c r="Q59" s="45"/>
      <c r="S59" s="45"/>
      <c r="T59" s="47"/>
      <c r="U59" s="47"/>
      <c r="V59" s="45"/>
      <c r="W59" s="45"/>
      <c r="X59" s="45"/>
      <c r="Y59" s="45"/>
      <c r="Z59" s="47"/>
      <c r="AA59" s="45"/>
      <c r="AB59" s="45"/>
      <c r="AC59" s="599"/>
      <c r="AD59" s="45"/>
      <c r="AE59" s="45"/>
      <c r="AF59" s="45"/>
      <c r="AG59" s="45"/>
      <c r="AH59" s="45"/>
      <c r="AI59" s="45"/>
      <c r="AJ59" s="47"/>
      <c r="AK59" s="47"/>
      <c r="AL59" s="47"/>
      <c r="AM59" s="47"/>
      <c r="AN59" s="120" t="n">
        <v>11</v>
      </c>
    </row>
    <row r="60" s="120" customFormat="true" ht="11.25" hidden="false" customHeight="true" outlineLevel="0" collapsed="false">
      <c r="A60" s="598"/>
      <c r="B60" s="598"/>
      <c r="C60" s="598"/>
      <c r="D60" s="598"/>
      <c r="E60" s="598"/>
      <c r="F60" s="47"/>
      <c r="G60" s="47"/>
      <c r="Q60" s="45"/>
      <c r="S60" s="45"/>
      <c r="T60" s="47"/>
      <c r="U60" s="47"/>
      <c r="V60" s="45"/>
      <c r="W60" s="45"/>
      <c r="X60" s="45"/>
      <c r="Y60" s="45"/>
      <c r="Z60" s="47"/>
      <c r="AA60" s="45"/>
      <c r="AB60" s="45"/>
      <c r="AC60" s="599"/>
      <c r="AD60" s="45"/>
      <c r="AE60" s="45"/>
      <c r="AF60" s="45"/>
      <c r="AG60" s="45"/>
      <c r="AH60" s="45"/>
      <c r="AI60" s="45"/>
      <c r="AJ60" s="47"/>
      <c r="AK60" s="47"/>
      <c r="AL60" s="47"/>
      <c r="AM60" s="47"/>
      <c r="AN60" s="120" t="n">
        <v>11</v>
      </c>
    </row>
    <row r="61" s="120" customFormat="true" ht="11.25" hidden="false" customHeight="true" outlineLevel="0" collapsed="false">
      <c r="A61" s="598"/>
      <c r="B61" s="598"/>
      <c r="C61" s="598"/>
      <c r="D61" s="598"/>
      <c r="E61" s="598"/>
      <c r="F61" s="47"/>
      <c r="G61" s="47"/>
      <c r="Q61" s="45"/>
      <c r="S61" s="45"/>
      <c r="T61" s="47"/>
      <c r="U61" s="47"/>
      <c r="V61" s="45"/>
      <c r="W61" s="45"/>
      <c r="X61" s="45"/>
      <c r="Y61" s="45"/>
      <c r="Z61" s="47"/>
      <c r="AA61" s="45"/>
      <c r="AB61" s="45"/>
      <c r="AC61" s="599"/>
      <c r="AD61" s="45"/>
      <c r="AE61" s="45"/>
      <c r="AF61" s="45"/>
      <c r="AG61" s="45"/>
      <c r="AH61" s="45"/>
      <c r="AI61" s="45"/>
      <c r="AJ61" s="47"/>
      <c r="AK61" s="47"/>
      <c r="AL61" s="47"/>
      <c r="AM61" s="47"/>
      <c r="AN61" s="120" t="n">
        <v>11</v>
      </c>
    </row>
    <row r="62" s="120" customFormat="true" ht="11.25" hidden="false" customHeight="true" outlineLevel="0" collapsed="false">
      <c r="A62" s="598"/>
      <c r="B62" s="598"/>
      <c r="C62" s="598"/>
      <c r="D62" s="598"/>
      <c r="E62" s="598"/>
      <c r="F62" s="47"/>
      <c r="G62" s="47"/>
      <c r="Q62" s="45"/>
      <c r="S62" s="45"/>
      <c r="T62" s="47"/>
      <c r="U62" s="47"/>
      <c r="V62" s="45"/>
      <c r="W62" s="45"/>
      <c r="X62" s="45"/>
      <c r="Y62" s="45"/>
      <c r="Z62" s="47"/>
      <c r="AA62" s="45"/>
      <c r="AB62" s="45"/>
      <c r="AC62" s="599"/>
      <c r="AD62" s="45"/>
      <c r="AE62" s="45"/>
      <c r="AF62" s="45"/>
      <c r="AG62" s="45"/>
      <c r="AH62" s="45"/>
      <c r="AI62" s="45"/>
      <c r="AJ62" s="47"/>
      <c r="AK62" s="47"/>
      <c r="AL62" s="47"/>
      <c r="AM62" s="47"/>
      <c r="AN62" s="120" t="n">
        <v>11</v>
      </c>
    </row>
    <row r="63" s="120" customFormat="true" ht="11.25" hidden="false" customHeight="true" outlineLevel="0" collapsed="false">
      <c r="A63" s="598"/>
      <c r="B63" s="598"/>
      <c r="C63" s="598"/>
      <c r="D63" s="598"/>
      <c r="E63" s="598"/>
      <c r="F63" s="47"/>
      <c r="G63" s="47"/>
      <c r="Q63" s="45"/>
      <c r="S63" s="45"/>
      <c r="T63" s="47"/>
      <c r="U63" s="47"/>
      <c r="V63" s="45"/>
      <c r="W63" s="45"/>
      <c r="X63" s="45"/>
      <c r="Y63" s="45"/>
      <c r="Z63" s="47"/>
      <c r="AA63" s="45"/>
      <c r="AB63" s="45"/>
      <c r="AC63" s="599"/>
      <c r="AD63" s="45"/>
      <c r="AE63" s="45"/>
      <c r="AF63" s="45"/>
      <c r="AG63" s="45"/>
      <c r="AH63" s="45"/>
      <c r="AI63" s="45"/>
      <c r="AJ63" s="47"/>
      <c r="AK63" s="47"/>
      <c r="AL63" s="47"/>
      <c r="AM63" s="47"/>
      <c r="AN63" s="120" t="n">
        <v>11</v>
      </c>
    </row>
    <row r="64" s="120" customFormat="true" ht="11.25" hidden="false" customHeight="true" outlineLevel="0" collapsed="false">
      <c r="A64" s="598"/>
      <c r="B64" s="598"/>
      <c r="C64" s="598"/>
      <c r="D64" s="598"/>
      <c r="E64" s="598"/>
      <c r="F64" s="47"/>
      <c r="G64" s="47"/>
      <c r="Q64" s="45"/>
      <c r="S64" s="45"/>
      <c r="T64" s="47"/>
      <c r="U64" s="47"/>
      <c r="V64" s="45"/>
      <c r="W64" s="45"/>
      <c r="X64" s="45"/>
      <c r="Y64" s="45"/>
      <c r="Z64" s="47"/>
      <c r="AA64" s="45"/>
      <c r="AB64" s="45"/>
      <c r="AC64" s="599"/>
      <c r="AD64" s="45"/>
      <c r="AE64" s="45"/>
      <c r="AF64" s="45"/>
      <c r="AG64" s="45"/>
      <c r="AH64" s="45"/>
      <c r="AI64" s="45"/>
      <c r="AJ64" s="47"/>
      <c r="AK64" s="47"/>
      <c r="AL64" s="47"/>
      <c r="AM64" s="47"/>
      <c r="AN64" s="120" t="n">
        <v>11</v>
      </c>
    </row>
    <row r="65" s="120" customFormat="true" ht="11.25" hidden="false" customHeight="true" outlineLevel="0" collapsed="false">
      <c r="A65" s="598"/>
      <c r="B65" s="598"/>
      <c r="C65" s="598"/>
      <c r="D65" s="598"/>
      <c r="E65" s="598"/>
      <c r="F65" s="47"/>
      <c r="G65" s="47"/>
      <c r="Q65" s="45"/>
      <c r="S65" s="45"/>
      <c r="T65" s="47"/>
      <c r="U65" s="47"/>
      <c r="V65" s="45"/>
      <c r="W65" s="45"/>
      <c r="X65" s="45"/>
      <c r="Y65" s="45"/>
      <c r="Z65" s="47"/>
      <c r="AA65" s="45"/>
      <c r="AB65" s="45"/>
      <c r="AC65" s="599"/>
      <c r="AD65" s="45"/>
      <c r="AE65" s="45"/>
      <c r="AF65" s="45"/>
      <c r="AG65" s="45"/>
      <c r="AH65" s="45"/>
      <c r="AI65" s="45"/>
      <c r="AJ65" s="47"/>
      <c r="AK65" s="47"/>
      <c r="AL65" s="47"/>
      <c r="AM65" s="47"/>
      <c r="AN65" s="120" t="n">
        <v>11</v>
      </c>
    </row>
    <row r="66" s="120" customFormat="true" ht="11.25" hidden="false" customHeight="true" outlineLevel="0" collapsed="false">
      <c r="A66" s="598"/>
      <c r="B66" s="598"/>
      <c r="C66" s="598"/>
      <c r="D66" s="598"/>
      <c r="E66" s="598"/>
      <c r="F66" s="47"/>
      <c r="G66" s="47"/>
      <c r="Q66" s="45"/>
      <c r="S66" s="45"/>
      <c r="T66" s="47"/>
      <c r="U66" s="47"/>
      <c r="V66" s="45"/>
      <c r="W66" s="45"/>
      <c r="X66" s="45"/>
      <c r="Y66" s="45"/>
      <c r="Z66" s="47"/>
      <c r="AA66" s="45"/>
      <c r="AB66" s="45"/>
      <c r="AC66" s="599"/>
      <c r="AD66" s="45"/>
      <c r="AE66" s="45"/>
      <c r="AF66" s="45"/>
      <c r="AG66" s="45"/>
      <c r="AH66" s="45"/>
      <c r="AI66" s="45"/>
      <c r="AJ66" s="47"/>
      <c r="AK66" s="47"/>
      <c r="AL66" s="47"/>
      <c r="AM66" s="47"/>
      <c r="AN66" s="120" t="n">
        <v>11</v>
      </c>
    </row>
    <row r="67" s="120" customFormat="true" ht="11.25" hidden="false" customHeight="true" outlineLevel="0" collapsed="false">
      <c r="A67" s="598"/>
      <c r="B67" s="598"/>
      <c r="C67" s="598"/>
      <c r="D67" s="598"/>
      <c r="E67" s="598"/>
      <c r="F67" s="47"/>
      <c r="G67" s="47"/>
      <c r="Q67" s="45"/>
      <c r="S67" s="45"/>
      <c r="T67" s="47"/>
      <c r="U67" s="47"/>
      <c r="V67" s="45"/>
      <c r="W67" s="45"/>
      <c r="X67" s="45"/>
      <c r="Y67" s="45"/>
      <c r="Z67" s="47"/>
      <c r="AA67" s="45"/>
      <c r="AB67" s="45"/>
      <c r="AC67" s="599"/>
      <c r="AD67" s="45"/>
      <c r="AE67" s="45"/>
      <c r="AF67" s="45"/>
      <c r="AG67" s="45"/>
      <c r="AH67" s="45"/>
      <c r="AI67" s="45"/>
      <c r="AJ67" s="47"/>
      <c r="AK67" s="47"/>
      <c r="AL67" s="47"/>
      <c r="AM67" s="47"/>
      <c r="AN67" s="120" t="n">
        <v>11</v>
      </c>
    </row>
    <row r="68" s="120" customFormat="true" ht="11.25" hidden="false" customHeight="true" outlineLevel="0" collapsed="false">
      <c r="A68" s="598"/>
      <c r="B68" s="598"/>
      <c r="C68" s="598"/>
      <c r="D68" s="598"/>
      <c r="E68" s="598"/>
      <c r="F68" s="47"/>
      <c r="G68" s="47"/>
      <c r="Q68" s="45"/>
      <c r="S68" s="45"/>
      <c r="T68" s="47"/>
      <c r="U68" s="47"/>
      <c r="V68" s="45"/>
      <c r="W68" s="45"/>
      <c r="X68" s="45"/>
      <c r="Y68" s="45"/>
      <c r="Z68" s="47"/>
      <c r="AA68" s="45"/>
      <c r="AB68" s="45"/>
      <c r="AC68" s="599"/>
      <c r="AD68" s="45"/>
      <c r="AE68" s="45"/>
      <c r="AF68" s="45"/>
      <c r="AG68" s="45"/>
      <c r="AH68" s="45"/>
      <c r="AI68" s="45"/>
      <c r="AJ68" s="47"/>
      <c r="AK68" s="47"/>
      <c r="AL68" s="47"/>
      <c r="AM68" s="47"/>
      <c r="AN68" s="120" t="n">
        <v>11</v>
      </c>
    </row>
    <row r="69" s="120" customFormat="true" ht="11.25" hidden="false" customHeight="true" outlineLevel="0" collapsed="false">
      <c r="A69" s="598"/>
      <c r="B69" s="598"/>
      <c r="C69" s="598"/>
      <c r="D69" s="598"/>
      <c r="E69" s="598"/>
      <c r="F69" s="47"/>
      <c r="G69" s="47"/>
      <c r="Q69" s="45"/>
      <c r="S69" s="45"/>
      <c r="T69" s="47"/>
      <c r="U69" s="47"/>
      <c r="V69" s="45"/>
      <c r="W69" s="45"/>
      <c r="X69" s="45"/>
      <c r="Y69" s="45"/>
      <c r="Z69" s="47"/>
      <c r="AA69" s="45"/>
      <c r="AB69" s="45"/>
      <c r="AC69" s="599"/>
      <c r="AD69" s="45"/>
      <c r="AE69" s="45"/>
      <c r="AF69" s="45"/>
      <c r="AG69" s="45"/>
      <c r="AH69" s="45"/>
      <c r="AI69" s="45"/>
      <c r="AJ69" s="47"/>
      <c r="AK69" s="47"/>
      <c r="AL69" s="47"/>
      <c r="AM69" s="47"/>
      <c r="AN69" s="120" t="n">
        <v>11</v>
      </c>
    </row>
    <row r="70" s="120" customFormat="true" ht="11.25" hidden="false" customHeight="true" outlineLevel="0" collapsed="false">
      <c r="A70" s="598"/>
      <c r="B70" s="598"/>
      <c r="C70" s="598"/>
      <c r="D70" s="598"/>
      <c r="E70" s="598"/>
      <c r="F70" s="47"/>
      <c r="G70" s="47"/>
      <c r="Q70" s="45"/>
      <c r="S70" s="45"/>
      <c r="T70" s="47"/>
      <c r="U70" s="47"/>
      <c r="V70" s="45"/>
      <c r="W70" s="45"/>
      <c r="X70" s="45"/>
      <c r="Y70" s="45"/>
      <c r="Z70" s="47"/>
      <c r="AA70" s="45"/>
      <c r="AB70" s="45"/>
      <c r="AC70" s="599"/>
      <c r="AD70" s="45"/>
      <c r="AE70" s="45"/>
      <c r="AF70" s="45"/>
      <c r="AG70" s="45"/>
      <c r="AH70" s="45"/>
      <c r="AI70" s="45"/>
      <c r="AJ70" s="47"/>
      <c r="AK70" s="47"/>
      <c r="AL70" s="47"/>
      <c r="AM70" s="47"/>
      <c r="AN70" s="120" t="n">
        <v>11</v>
      </c>
    </row>
    <row r="71" s="120" customFormat="true" ht="11.25" hidden="false" customHeight="true" outlineLevel="0" collapsed="false">
      <c r="A71" s="598"/>
      <c r="B71" s="598"/>
      <c r="C71" s="598"/>
      <c r="D71" s="598"/>
      <c r="E71" s="598"/>
      <c r="F71" s="47"/>
      <c r="G71" s="47"/>
      <c r="Q71" s="45"/>
      <c r="S71" s="45"/>
      <c r="T71" s="47"/>
      <c r="U71" s="47"/>
      <c r="V71" s="45"/>
      <c r="W71" s="45"/>
      <c r="X71" s="45"/>
      <c r="Y71" s="45"/>
      <c r="Z71" s="47"/>
      <c r="AA71" s="45"/>
      <c r="AB71" s="45"/>
      <c r="AC71" s="599"/>
      <c r="AD71" s="45"/>
      <c r="AE71" s="45"/>
      <c r="AF71" s="45"/>
      <c r="AG71" s="45"/>
      <c r="AH71" s="45"/>
      <c r="AI71" s="45"/>
      <c r="AJ71" s="47"/>
      <c r="AK71" s="47"/>
      <c r="AL71" s="47"/>
      <c r="AM71" s="47"/>
      <c r="AN71" s="120" t="n">
        <v>11</v>
      </c>
    </row>
    <row r="72" s="120" customFormat="true" ht="11.25" hidden="false" customHeight="true" outlineLevel="0" collapsed="false">
      <c r="A72" s="598"/>
      <c r="B72" s="598"/>
      <c r="C72" s="598"/>
      <c r="D72" s="598"/>
      <c r="E72" s="598"/>
      <c r="F72" s="47"/>
      <c r="G72" s="47"/>
      <c r="Q72" s="45"/>
      <c r="S72" s="45"/>
      <c r="T72" s="47"/>
      <c r="U72" s="47"/>
      <c r="V72" s="45"/>
      <c r="W72" s="45"/>
      <c r="X72" s="45"/>
      <c r="Y72" s="45"/>
      <c r="Z72" s="47"/>
      <c r="AA72" s="45"/>
      <c r="AB72" s="45"/>
      <c r="AC72" s="599"/>
      <c r="AD72" s="45"/>
      <c r="AE72" s="45"/>
      <c r="AF72" s="45"/>
      <c r="AG72" s="45"/>
      <c r="AH72" s="45"/>
      <c r="AI72" s="45"/>
      <c r="AJ72" s="47"/>
      <c r="AK72" s="47"/>
      <c r="AL72" s="47"/>
      <c r="AM72" s="47"/>
      <c r="AN72" s="120" t="n">
        <v>11</v>
      </c>
    </row>
    <row r="73" s="120" customFormat="true" ht="11.25" hidden="false" customHeight="true" outlineLevel="0" collapsed="false">
      <c r="A73" s="598"/>
      <c r="B73" s="598"/>
      <c r="C73" s="598"/>
      <c r="D73" s="598"/>
      <c r="E73" s="598"/>
      <c r="F73" s="47"/>
      <c r="G73" s="47"/>
      <c r="Q73" s="45"/>
      <c r="S73" s="45"/>
      <c r="T73" s="47"/>
      <c r="U73" s="47"/>
      <c r="V73" s="45"/>
      <c r="W73" s="45"/>
      <c r="X73" s="45"/>
      <c r="Y73" s="45"/>
      <c r="Z73" s="47"/>
      <c r="AA73" s="45"/>
      <c r="AB73" s="45"/>
      <c r="AC73" s="599"/>
      <c r="AD73" s="45"/>
      <c r="AE73" s="45"/>
      <c r="AF73" s="45"/>
      <c r="AG73" s="45"/>
      <c r="AH73" s="45"/>
      <c r="AI73" s="45"/>
      <c r="AJ73" s="47"/>
      <c r="AK73" s="47"/>
      <c r="AL73" s="47"/>
      <c r="AM73" s="47"/>
      <c r="AN73" s="120" t="n">
        <v>11</v>
      </c>
    </row>
    <row r="74" s="120" customFormat="true" ht="11.25" hidden="false" customHeight="true" outlineLevel="0" collapsed="false">
      <c r="A74" s="598"/>
      <c r="B74" s="598"/>
      <c r="C74" s="598"/>
      <c r="D74" s="598"/>
      <c r="E74" s="598"/>
      <c r="F74" s="47"/>
      <c r="G74" s="47"/>
      <c r="Q74" s="45"/>
      <c r="S74" s="45"/>
      <c r="T74" s="47"/>
      <c r="U74" s="47"/>
      <c r="V74" s="45"/>
      <c r="W74" s="45"/>
      <c r="X74" s="45"/>
      <c r="Y74" s="45"/>
      <c r="Z74" s="47"/>
      <c r="AA74" s="45"/>
      <c r="AB74" s="45"/>
      <c r="AC74" s="599"/>
      <c r="AD74" s="45"/>
      <c r="AE74" s="45"/>
      <c r="AF74" s="45"/>
      <c r="AG74" s="45"/>
      <c r="AH74" s="45"/>
      <c r="AI74" s="45"/>
      <c r="AJ74" s="47"/>
      <c r="AK74" s="47"/>
      <c r="AL74" s="47"/>
      <c r="AM74" s="47"/>
      <c r="AN74" s="120" t="n">
        <v>11</v>
      </c>
    </row>
    <row r="75" s="120" customFormat="true" ht="11.25" hidden="false" customHeight="true" outlineLevel="0" collapsed="false">
      <c r="A75" s="598"/>
      <c r="B75" s="598"/>
      <c r="C75" s="598"/>
      <c r="D75" s="598"/>
      <c r="E75" s="598"/>
      <c r="F75" s="47"/>
      <c r="G75" s="47"/>
      <c r="Q75" s="45"/>
      <c r="S75" s="45"/>
      <c r="T75" s="47"/>
      <c r="U75" s="47"/>
      <c r="V75" s="45"/>
      <c r="W75" s="45"/>
      <c r="X75" s="45"/>
      <c r="Y75" s="45"/>
      <c r="Z75" s="47"/>
      <c r="AA75" s="45"/>
      <c r="AB75" s="45"/>
      <c r="AC75" s="599"/>
      <c r="AD75" s="45"/>
      <c r="AE75" s="45"/>
      <c r="AF75" s="45"/>
      <c r="AG75" s="45"/>
      <c r="AH75" s="45"/>
      <c r="AI75" s="45"/>
      <c r="AJ75" s="47"/>
      <c r="AK75" s="47"/>
      <c r="AL75" s="47"/>
      <c r="AM75" s="47"/>
      <c r="AN75" s="120" t="n">
        <v>11</v>
      </c>
    </row>
    <row r="76" s="120" customFormat="true" ht="11.25" hidden="false" customHeight="true" outlineLevel="0" collapsed="false">
      <c r="A76" s="598"/>
      <c r="B76" s="598"/>
      <c r="C76" s="598"/>
      <c r="D76" s="598"/>
      <c r="E76" s="598"/>
      <c r="F76" s="47"/>
      <c r="G76" s="47"/>
      <c r="Q76" s="45"/>
      <c r="S76" s="45"/>
      <c r="T76" s="47"/>
      <c r="U76" s="47"/>
      <c r="V76" s="45"/>
      <c r="W76" s="45"/>
      <c r="X76" s="45"/>
      <c r="Y76" s="45"/>
      <c r="Z76" s="47"/>
      <c r="AA76" s="45"/>
      <c r="AB76" s="45"/>
      <c r="AC76" s="599"/>
      <c r="AD76" s="45"/>
      <c r="AE76" s="45"/>
      <c r="AF76" s="45"/>
      <c r="AG76" s="45"/>
      <c r="AH76" s="45"/>
      <c r="AI76" s="45"/>
      <c r="AJ76" s="47"/>
      <c r="AK76" s="47"/>
      <c r="AL76" s="47"/>
      <c r="AM76" s="47"/>
      <c r="AN76" s="120" t="n">
        <v>11</v>
      </c>
    </row>
    <row r="77" s="120" customFormat="true" ht="11.25" hidden="false" customHeight="true" outlineLevel="0" collapsed="false">
      <c r="A77" s="598"/>
      <c r="B77" s="598"/>
      <c r="C77" s="598"/>
      <c r="D77" s="598"/>
      <c r="E77" s="598"/>
      <c r="F77" s="47"/>
      <c r="G77" s="47"/>
      <c r="Q77" s="45"/>
      <c r="S77" s="45"/>
      <c r="T77" s="47"/>
      <c r="U77" s="47"/>
      <c r="V77" s="45"/>
      <c r="W77" s="45"/>
      <c r="X77" s="45"/>
      <c r="Y77" s="45"/>
      <c r="Z77" s="47"/>
      <c r="AA77" s="45"/>
      <c r="AB77" s="45"/>
      <c r="AC77" s="599"/>
      <c r="AD77" s="45"/>
      <c r="AE77" s="45"/>
      <c r="AF77" s="45"/>
      <c r="AG77" s="45"/>
      <c r="AH77" s="45"/>
      <c r="AI77" s="45"/>
      <c r="AJ77" s="47"/>
      <c r="AK77" s="47"/>
      <c r="AL77" s="47"/>
      <c r="AM77" s="47"/>
      <c r="AN77" s="120" t="n">
        <v>11</v>
      </c>
    </row>
    <row r="78" s="120" customFormat="true" ht="11.25" hidden="false" customHeight="true" outlineLevel="0" collapsed="false">
      <c r="A78" s="598"/>
      <c r="B78" s="598"/>
      <c r="C78" s="598"/>
      <c r="D78" s="598"/>
      <c r="E78" s="598"/>
      <c r="F78" s="47"/>
      <c r="G78" s="47"/>
      <c r="Q78" s="45"/>
      <c r="S78" s="45"/>
      <c r="T78" s="47"/>
      <c r="U78" s="47"/>
      <c r="V78" s="45"/>
      <c r="W78" s="45"/>
      <c r="X78" s="45"/>
      <c r="Y78" s="45"/>
      <c r="Z78" s="47"/>
      <c r="AA78" s="45"/>
      <c r="AB78" s="45"/>
      <c r="AC78" s="599"/>
      <c r="AD78" s="45"/>
      <c r="AE78" s="45"/>
      <c r="AF78" s="45"/>
      <c r="AG78" s="45"/>
      <c r="AH78" s="45"/>
      <c r="AI78" s="45"/>
      <c r="AJ78" s="47"/>
      <c r="AK78" s="47"/>
      <c r="AL78" s="47"/>
      <c r="AM78" s="47"/>
      <c r="AN78" s="120" t="n">
        <v>11</v>
      </c>
    </row>
    <row r="79" s="120" customFormat="true" ht="11.25" hidden="false" customHeight="true" outlineLevel="0" collapsed="false">
      <c r="A79" s="598"/>
      <c r="B79" s="598"/>
      <c r="C79" s="598"/>
      <c r="D79" s="598"/>
      <c r="E79" s="598"/>
      <c r="F79" s="47"/>
      <c r="G79" s="47"/>
      <c r="Q79" s="45"/>
      <c r="S79" s="45"/>
      <c r="T79" s="47"/>
      <c r="U79" s="47"/>
      <c r="V79" s="45"/>
      <c r="W79" s="45"/>
      <c r="X79" s="45"/>
      <c r="Y79" s="45"/>
      <c r="Z79" s="47"/>
      <c r="AA79" s="45"/>
      <c r="AB79" s="45"/>
      <c r="AC79" s="599"/>
      <c r="AD79" s="45"/>
      <c r="AE79" s="45"/>
      <c r="AF79" s="45"/>
      <c r="AG79" s="45"/>
      <c r="AH79" s="45"/>
      <c r="AI79" s="45"/>
      <c r="AJ79" s="47"/>
      <c r="AK79" s="47"/>
      <c r="AL79" s="47"/>
      <c r="AM79" s="47"/>
      <c r="AN79" s="120" t="n">
        <v>11</v>
      </c>
    </row>
    <row r="80" s="120" customFormat="true" ht="11.25" hidden="false" customHeight="true" outlineLevel="0" collapsed="false">
      <c r="A80" s="598"/>
      <c r="B80" s="598"/>
      <c r="C80" s="598"/>
      <c r="D80" s="598"/>
      <c r="E80" s="598"/>
      <c r="F80" s="47"/>
      <c r="G80" s="47"/>
      <c r="Q80" s="45"/>
      <c r="S80" s="45"/>
      <c r="T80" s="47"/>
      <c r="U80" s="47"/>
      <c r="V80" s="45"/>
      <c r="W80" s="45"/>
      <c r="X80" s="45"/>
      <c r="Y80" s="45"/>
      <c r="Z80" s="47"/>
      <c r="AA80" s="45"/>
      <c r="AB80" s="45"/>
      <c r="AC80" s="599"/>
      <c r="AD80" s="45"/>
      <c r="AE80" s="45"/>
      <c r="AF80" s="45"/>
      <c r="AG80" s="45"/>
      <c r="AH80" s="45"/>
      <c r="AI80" s="45"/>
      <c r="AJ80" s="47"/>
      <c r="AK80" s="47"/>
      <c r="AL80" s="47"/>
      <c r="AM80" s="47"/>
      <c r="AN80" s="120" t="n">
        <v>11</v>
      </c>
    </row>
    <row r="81" s="120" customFormat="true" ht="11.25" hidden="false" customHeight="true" outlineLevel="0" collapsed="false">
      <c r="A81" s="598"/>
      <c r="B81" s="598"/>
      <c r="C81" s="598"/>
      <c r="D81" s="598"/>
      <c r="E81" s="598"/>
      <c r="F81" s="47"/>
      <c r="G81" s="47"/>
      <c r="Q81" s="45"/>
      <c r="S81" s="45"/>
      <c r="T81" s="47"/>
      <c r="U81" s="47"/>
      <c r="V81" s="45"/>
      <c r="W81" s="45"/>
      <c r="X81" s="45"/>
      <c r="Y81" s="45"/>
      <c r="Z81" s="47"/>
      <c r="AA81" s="45"/>
      <c r="AB81" s="45"/>
      <c r="AC81" s="599"/>
      <c r="AD81" s="45"/>
      <c r="AE81" s="45"/>
      <c r="AF81" s="45"/>
      <c r="AG81" s="45"/>
      <c r="AH81" s="45"/>
      <c r="AI81" s="45"/>
      <c r="AJ81" s="47"/>
      <c r="AK81" s="47"/>
      <c r="AL81" s="47"/>
      <c r="AM81" s="47"/>
      <c r="AN81" s="120" t="n">
        <v>11</v>
      </c>
    </row>
    <row r="82" s="120" customFormat="true" ht="11.25" hidden="false" customHeight="true" outlineLevel="0" collapsed="false">
      <c r="A82" s="598"/>
      <c r="B82" s="598"/>
      <c r="C82" s="598"/>
      <c r="D82" s="598"/>
      <c r="E82" s="598"/>
      <c r="F82" s="47"/>
      <c r="G82" s="47"/>
      <c r="Q82" s="45"/>
      <c r="S82" s="45"/>
      <c r="T82" s="47"/>
      <c r="U82" s="47"/>
      <c r="V82" s="45"/>
      <c r="W82" s="45"/>
      <c r="X82" s="45"/>
      <c r="Y82" s="45"/>
      <c r="Z82" s="47"/>
      <c r="AA82" s="45"/>
      <c r="AB82" s="45"/>
      <c r="AC82" s="599"/>
      <c r="AD82" s="45"/>
      <c r="AE82" s="45"/>
      <c r="AF82" s="45"/>
      <c r="AG82" s="45"/>
      <c r="AH82" s="45"/>
      <c r="AI82" s="45"/>
      <c r="AJ82" s="47"/>
      <c r="AK82" s="47"/>
      <c r="AL82" s="47"/>
      <c r="AM82" s="47"/>
      <c r="AN82" s="120" t="n">
        <v>11</v>
      </c>
    </row>
    <row r="83" s="120" customFormat="true" ht="11.25" hidden="false" customHeight="true" outlineLevel="0" collapsed="false">
      <c r="A83" s="598"/>
      <c r="B83" s="598"/>
      <c r="C83" s="598"/>
      <c r="D83" s="598"/>
      <c r="E83" s="598"/>
      <c r="F83" s="47"/>
      <c r="G83" s="47"/>
      <c r="Q83" s="45"/>
      <c r="S83" s="45"/>
      <c r="T83" s="47"/>
      <c r="U83" s="47"/>
      <c r="V83" s="45"/>
      <c r="W83" s="45"/>
      <c r="X83" s="45"/>
      <c r="Y83" s="45"/>
      <c r="Z83" s="47"/>
      <c r="AA83" s="45"/>
      <c r="AB83" s="45"/>
      <c r="AC83" s="599"/>
      <c r="AD83" s="45"/>
      <c r="AE83" s="45"/>
      <c r="AF83" s="45"/>
      <c r="AG83" s="45"/>
      <c r="AH83" s="45"/>
      <c r="AI83" s="45"/>
      <c r="AJ83" s="47"/>
      <c r="AK83" s="47"/>
      <c r="AL83" s="47"/>
      <c r="AM83" s="47"/>
      <c r="AN83" s="120" t="n">
        <v>11</v>
      </c>
    </row>
    <row r="84" s="120" customFormat="true" ht="11.25" hidden="false" customHeight="true" outlineLevel="0" collapsed="false">
      <c r="A84" s="598"/>
      <c r="B84" s="598"/>
      <c r="C84" s="598"/>
      <c r="D84" s="598"/>
      <c r="E84" s="598"/>
      <c r="F84" s="47"/>
      <c r="G84" s="47"/>
      <c r="Q84" s="45"/>
      <c r="S84" s="45"/>
      <c r="T84" s="47"/>
      <c r="U84" s="47"/>
      <c r="V84" s="45"/>
      <c r="W84" s="45"/>
      <c r="X84" s="45"/>
      <c r="Y84" s="45"/>
      <c r="Z84" s="47"/>
      <c r="AA84" s="45"/>
      <c r="AB84" s="45"/>
      <c r="AC84" s="599"/>
      <c r="AD84" s="45"/>
      <c r="AE84" s="45"/>
      <c r="AF84" s="45"/>
      <c r="AG84" s="45"/>
      <c r="AH84" s="45"/>
      <c r="AI84" s="45"/>
      <c r="AJ84" s="47"/>
      <c r="AK84" s="47"/>
      <c r="AL84" s="47"/>
      <c r="AM84" s="47"/>
      <c r="AN84" s="120" t="n">
        <v>11</v>
      </c>
    </row>
    <row r="85" s="120" customFormat="true" ht="11.25" hidden="false" customHeight="true" outlineLevel="0" collapsed="false">
      <c r="A85" s="598"/>
      <c r="B85" s="598"/>
      <c r="C85" s="598"/>
      <c r="D85" s="598"/>
      <c r="E85" s="598"/>
      <c r="F85" s="47"/>
      <c r="G85" s="47"/>
      <c r="Q85" s="45"/>
      <c r="S85" s="45"/>
      <c r="T85" s="47"/>
      <c r="U85" s="47"/>
      <c r="V85" s="45"/>
      <c r="W85" s="45"/>
      <c r="X85" s="45"/>
      <c r="Y85" s="45"/>
      <c r="Z85" s="47"/>
      <c r="AA85" s="45"/>
      <c r="AB85" s="45"/>
      <c r="AC85" s="599"/>
      <c r="AD85" s="45"/>
      <c r="AE85" s="45"/>
      <c r="AF85" s="45"/>
      <c r="AG85" s="45"/>
      <c r="AH85" s="45"/>
      <c r="AI85" s="45"/>
      <c r="AJ85" s="47"/>
      <c r="AK85" s="47"/>
      <c r="AL85" s="47"/>
      <c r="AM85" s="47"/>
      <c r="AN85" s="120" t="n">
        <v>11</v>
      </c>
    </row>
    <row r="86" s="120" customFormat="true" ht="11.25" hidden="false" customHeight="true" outlineLevel="0" collapsed="false">
      <c r="A86" s="598"/>
      <c r="B86" s="598"/>
      <c r="C86" s="598"/>
      <c r="D86" s="598"/>
      <c r="E86" s="598"/>
      <c r="F86" s="47"/>
      <c r="G86" s="47"/>
      <c r="Q86" s="45"/>
      <c r="S86" s="45"/>
      <c r="T86" s="47"/>
      <c r="U86" s="47"/>
      <c r="V86" s="45"/>
      <c r="W86" s="45"/>
      <c r="X86" s="45"/>
      <c r="Y86" s="45"/>
      <c r="Z86" s="47"/>
      <c r="AA86" s="45"/>
      <c r="AB86" s="45"/>
      <c r="AC86" s="599"/>
      <c r="AD86" s="45"/>
      <c r="AE86" s="45"/>
      <c r="AF86" s="45"/>
      <c r="AG86" s="45"/>
      <c r="AH86" s="45"/>
      <c r="AI86" s="45"/>
      <c r="AJ86" s="47"/>
      <c r="AK86" s="47"/>
      <c r="AL86" s="47"/>
      <c r="AM86" s="47"/>
      <c r="AN86" s="120" t="n">
        <v>11</v>
      </c>
    </row>
    <row r="87" s="120" customFormat="true" ht="11.25" hidden="false" customHeight="true" outlineLevel="0" collapsed="false">
      <c r="A87" s="598"/>
      <c r="B87" s="598"/>
      <c r="C87" s="598"/>
      <c r="D87" s="598"/>
      <c r="E87" s="598"/>
      <c r="F87" s="47"/>
      <c r="G87" s="47"/>
      <c r="Q87" s="45"/>
      <c r="S87" s="45"/>
      <c r="T87" s="47"/>
      <c r="U87" s="47"/>
      <c r="V87" s="45"/>
      <c r="W87" s="45"/>
      <c r="X87" s="45"/>
      <c r="Y87" s="45"/>
      <c r="Z87" s="47"/>
      <c r="AA87" s="45"/>
      <c r="AB87" s="45"/>
      <c r="AC87" s="599"/>
      <c r="AD87" s="45"/>
      <c r="AE87" s="45"/>
      <c r="AF87" s="45"/>
      <c r="AG87" s="45"/>
      <c r="AH87" s="45"/>
      <c r="AI87" s="45"/>
      <c r="AJ87" s="47"/>
      <c r="AK87" s="47"/>
      <c r="AL87" s="47"/>
      <c r="AM87" s="47"/>
      <c r="AN87" s="120" t="n">
        <v>11</v>
      </c>
    </row>
    <row r="88" s="120" customFormat="true" ht="11.25" hidden="false" customHeight="true" outlineLevel="0" collapsed="false">
      <c r="A88" s="598"/>
      <c r="B88" s="598"/>
      <c r="C88" s="598"/>
      <c r="D88" s="598"/>
      <c r="E88" s="598"/>
      <c r="F88" s="47"/>
      <c r="G88" s="47"/>
      <c r="Q88" s="45"/>
      <c r="S88" s="45"/>
      <c r="T88" s="47"/>
      <c r="U88" s="47"/>
      <c r="V88" s="45"/>
      <c r="W88" s="45"/>
      <c r="X88" s="45"/>
      <c r="Y88" s="45"/>
      <c r="Z88" s="47"/>
      <c r="AA88" s="45"/>
      <c r="AB88" s="45"/>
      <c r="AC88" s="599"/>
      <c r="AD88" s="45"/>
      <c r="AE88" s="45"/>
      <c r="AF88" s="45"/>
      <c r="AG88" s="45"/>
      <c r="AH88" s="45"/>
      <c r="AI88" s="45"/>
      <c r="AJ88" s="47"/>
      <c r="AK88" s="47"/>
      <c r="AL88" s="47"/>
      <c r="AM88" s="47"/>
      <c r="AN88" s="120" t="n">
        <v>11</v>
      </c>
    </row>
    <row r="89" s="120" customFormat="true" ht="11.25" hidden="false" customHeight="true" outlineLevel="0" collapsed="false">
      <c r="A89" s="598"/>
      <c r="B89" s="598"/>
      <c r="C89" s="598"/>
      <c r="D89" s="598"/>
      <c r="E89" s="598"/>
      <c r="F89" s="47"/>
      <c r="G89" s="47"/>
      <c r="Q89" s="45"/>
      <c r="S89" s="45"/>
      <c r="T89" s="47"/>
      <c r="U89" s="47"/>
      <c r="V89" s="45"/>
      <c r="W89" s="45"/>
      <c r="X89" s="45"/>
      <c r="Y89" s="45"/>
      <c r="Z89" s="47"/>
      <c r="AA89" s="45"/>
      <c r="AB89" s="45"/>
      <c r="AC89" s="599"/>
      <c r="AD89" s="45"/>
      <c r="AE89" s="45"/>
      <c r="AF89" s="45"/>
      <c r="AG89" s="45"/>
      <c r="AH89" s="45"/>
      <c r="AI89" s="45"/>
      <c r="AJ89" s="47"/>
      <c r="AK89" s="47"/>
      <c r="AL89" s="47"/>
      <c r="AM89" s="47"/>
      <c r="AN89" s="120" t="n">
        <v>11</v>
      </c>
    </row>
    <row r="90" s="120" customFormat="true" ht="11.25" hidden="false" customHeight="true" outlineLevel="0" collapsed="false">
      <c r="A90" s="598"/>
      <c r="B90" s="598"/>
      <c r="C90" s="598"/>
      <c r="D90" s="598"/>
      <c r="E90" s="598"/>
      <c r="F90" s="47"/>
      <c r="G90" s="47"/>
      <c r="Q90" s="45"/>
      <c r="S90" s="45"/>
      <c r="T90" s="47"/>
      <c r="U90" s="47"/>
      <c r="V90" s="45"/>
      <c r="W90" s="45"/>
      <c r="X90" s="45"/>
      <c r="Y90" s="45"/>
      <c r="Z90" s="47"/>
      <c r="AA90" s="45"/>
      <c r="AB90" s="45"/>
      <c r="AC90" s="599"/>
      <c r="AD90" s="45"/>
      <c r="AE90" s="45"/>
      <c r="AF90" s="45"/>
      <c r="AG90" s="45"/>
      <c r="AH90" s="45"/>
      <c r="AI90" s="45"/>
      <c r="AJ90" s="47"/>
      <c r="AK90" s="47"/>
      <c r="AL90" s="47"/>
      <c r="AM90" s="47"/>
      <c r="AN90" s="120" t="n">
        <v>11</v>
      </c>
    </row>
    <row r="91" s="120" customFormat="true" ht="11.25" hidden="false" customHeight="true" outlineLevel="0" collapsed="false">
      <c r="A91" s="598"/>
      <c r="B91" s="598"/>
      <c r="C91" s="598"/>
      <c r="D91" s="598"/>
      <c r="E91" s="598"/>
      <c r="F91" s="47"/>
      <c r="G91" s="47"/>
      <c r="Q91" s="45"/>
      <c r="S91" s="45"/>
      <c r="T91" s="47"/>
      <c r="U91" s="47"/>
      <c r="V91" s="45"/>
      <c r="W91" s="45"/>
      <c r="X91" s="45"/>
      <c r="Y91" s="45"/>
      <c r="Z91" s="47"/>
      <c r="AA91" s="45"/>
      <c r="AB91" s="45"/>
      <c r="AC91" s="599"/>
      <c r="AD91" s="45"/>
      <c r="AE91" s="45"/>
      <c r="AF91" s="45"/>
      <c r="AG91" s="45"/>
      <c r="AH91" s="45"/>
      <c r="AI91" s="45"/>
      <c r="AJ91" s="47"/>
      <c r="AK91" s="47"/>
      <c r="AL91" s="47"/>
      <c r="AM91" s="47"/>
      <c r="AN91" s="120" t="n">
        <v>11</v>
      </c>
    </row>
    <row r="92" s="120" customFormat="true" ht="11.25" hidden="false" customHeight="true" outlineLevel="0" collapsed="false">
      <c r="A92" s="598"/>
      <c r="B92" s="598"/>
      <c r="C92" s="598"/>
      <c r="D92" s="598"/>
      <c r="E92" s="598"/>
      <c r="F92" s="47"/>
      <c r="G92" s="47"/>
      <c r="Q92" s="45"/>
      <c r="S92" s="45"/>
      <c r="T92" s="47"/>
      <c r="U92" s="47"/>
      <c r="V92" s="45"/>
      <c r="W92" s="45"/>
      <c r="X92" s="45"/>
      <c r="Y92" s="45"/>
      <c r="Z92" s="47"/>
      <c r="AA92" s="45"/>
      <c r="AB92" s="45"/>
      <c r="AC92" s="599"/>
      <c r="AD92" s="45"/>
      <c r="AE92" s="45"/>
      <c r="AF92" s="45"/>
      <c r="AG92" s="45"/>
      <c r="AH92" s="45"/>
      <c r="AI92" s="45"/>
      <c r="AJ92" s="47"/>
      <c r="AK92" s="47"/>
      <c r="AL92" s="47"/>
      <c r="AM92" s="47"/>
      <c r="AN92" s="120" t="n">
        <v>11</v>
      </c>
    </row>
    <row r="93" s="120" customFormat="true" ht="11.25" hidden="false" customHeight="true" outlineLevel="0" collapsed="false">
      <c r="A93" s="598"/>
      <c r="B93" s="598"/>
      <c r="C93" s="598"/>
      <c r="D93" s="598"/>
      <c r="E93" s="598"/>
      <c r="F93" s="47"/>
      <c r="G93" s="47"/>
      <c r="Q93" s="45"/>
      <c r="S93" s="45"/>
      <c r="T93" s="47"/>
      <c r="U93" s="47"/>
      <c r="V93" s="45"/>
      <c r="W93" s="45"/>
      <c r="X93" s="45"/>
      <c r="Y93" s="45"/>
      <c r="Z93" s="47"/>
      <c r="AA93" s="45"/>
      <c r="AB93" s="45"/>
      <c r="AC93" s="599"/>
      <c r="AD93" s="45"/>
      <c r="AE93" s="45"/>
      <c r="AF93" s="45"/>
      <c r="AG93" s="45"/>
      <c r="AH93" s="45"/>
      <c r="AI93" s="45"/>
      <c r="AJ93" s="47"/>
      <c r="AK93" s="47"/>
      <c r="AL93" s="47"/>
      <c r="AM93" s="47"/>
      <c r="AN93" s="120" t="n">
        <v>11</v>
      </c>
    </row>
    <row r="94" s="120" customFormat="true" ht="11.25" hidden="false" customHeight="true" outlineLevel="0" collapsed="false">
      <c r="A94" s="598"/>
      <c r="B94" s="598"/>
      <c r="C94" s="598"/>
      <c r="D94" s="598"/>
      <c r="E94" s="598"/>
      <c r="F94" s="47"/>
      <c r="G94" s="47"/>
      <c r="Q94" s="45"/>
      <c r="S94" s="45"/>
      <c r="T94" s="47"/>
      <c r="U94" s="47"/>
      <c r="V94" s="45"/>
      <c r="W94" s="45"/>
      <c r="X94" s="45"/>
      <c r="Y94" s="45"/>
      <c r="Z94" s="47"/>
      <c r="AA94" s="45"/>
      <c r="AB94" s="45"/>
      <c r="AC94" s="599"/>
      <c r="AD94" s="45"/>
      <c r="AE94" s="45"/>
      <c r="AF94" s="45"/>
      <c r="AG94" s="45"/>
      <c r="AH94" s="45"/>
      <c r="AI94" s="45"/>
      <c r="AJ94" s="47"/>
      <c r="AK94" s="47"/>
      <c r="AL94" s="47"/>
      <c r="AM94" s="47"/>
      <c r="AN94" s="120" t="n">
        <v>11</v>
      </c>
    </row>
    <row r="95" s="120" customFormat="true" ht="11.25" hidden="false" customHeight="true" outlineLevel="0" collapsed="false">
      <c r="A95" s="598"/>
      <c r="B95" s="598"/>
      <c r="C95" s="598"/>
      <c r="D95" s="598"/>
      <c r="E95" s="598"/>
      <c r="F95" s="47"/>
      <c r="G95" s="47"/>
      <c r="Q95" s="45"/>
      <c r="S95" s="45"/>
      <c r="T95" s="47"/>
      <c r="U95" s="47"/>
      <c r="V95" s="45"/>
      <c r="W95" s="45"/>
      <c r="X95" s="45"/>
      <c r="Y95" s="45"/>
      <c r="Z95" s="47"/>
      <c r="AA95" s="45"/>
      <c r="AB95" s="45"/>
      <c r="AC95" s="599"/>
      <c r="AD95" s="45"/>
      <c r="AE95" s="45"/>
      <c r="AF95" s="45"/>
      <c r="AG95" s="45"/>
      <c r="AH95" s="45"/>
      <c r="AI95" s="45"/>
      <c r="AJ95" s="47"/>
      <c r="AK95" s="47"/>
      <c r="AL95" s="47"/>
      <c r="AM95" s="47"/>
      <c r="AN95" s="120" t="n">
        <v>11</v>
      </c>
    </row>
    <row r="96" s="120" customFormat="true" ht="11.25" hidden="false" customHeight="true" outlineLevel="0" collapsed="false">
      <c r="A96" s="598"/>
      <c r="B96" s="598"/>
      <c r="C96" s="598"/>
      <c r="D96" s="598"/>
      <c r="E96" s="598"/>
      <c r="F96" s="47"/>
      <c r="G96" s="47"/>
      <c r="Q96" s="45"/>
      <c r="S96" s="45"/>
      <c r="T96" s="47"/>
      <c r="U96" s="47"/>
      <c r="V96" s="45"/>
      <c r="W96" s="45"/>
      <c r="X96" s="45"/>
      <c r="Y96" s="45"/>
      <c r="Z96" s="47"/>
      <c r="AA96" s="45"/>
      <c r="AB96" s="45"/>
      <c r="AC96" s="599"/>
      <c r="AD96" s="45"/>
      <c r="AE96" s="45"/>
      <c r="AF96" s="45"/>
      <c r="AG96" s="45"/>
      <c r="AH96" s="45"/>
      <c r="AI96" s="45"/>
      <c r="AJ96" s="47"/>
      <c r="AK96" s="47"/>
      <c r="AL96" s="47"/>
      <c r="AM96" s="47"/>
      <c r="AN96" s="120" t="n">
        <v>11</v>
      </c>
    </row>
    <row r="97" s="120" customFormat="true" ht="11.25" hidden="false" customHeight="true" outlineLevel="0" collapsed="false">
      <c r="A97" s="598"/>
      <c r="B97" s="598"/>
      <c r="C97" s="598"/>
      <c r="D97" s="598"/>
      <c r="E97" s="598"/>
      <c r="F97" s="47"/>
      <c r="G97" s="47"/>
      <c r="Q97" s="45"/>
      <c r="S97" s="45"/>
      <c r="T97" s="47"/>
      <c r="U97" s="47"/>
      <c r="V97" s="45"/>
      <c r="W97" s="45"/>
      <c r="X97" s="45"/>
      <c r="Y97" s="45"/>
      <c r="Z97" s="47"/>
      <c r="AA97" s="45"/>
      <c r="AB97" s="45"/>
      <c r="AC97" s="599"/>
      <c r="AD97" s="45"/>
      <c r="AE97" s="45"/>
      <c r="AF97" s="45"/>
      <c r="AG97" s="45"/>
      <c r="AH97" s="45"/>
      <c r="AI97" s="45"/>
      <c r="AJ97" s="47"/>
      <c r="AK97" s="47"/>
      <c r="AL97" s="47"/>
      <c r="AM97" s="47"/>
      <c r="AN97" s="120" t="n">
        <v>11</v>
      </c>
    </row>
    <row r="98" s="120" customFormat="true" ht="11.25" hidden="false" customHeight="true" outlineLevel="0" collapsed="false">
      <c r="A98" s="598"/>
      <c r="B98" s="598"/>
      <c r="C98" s="598"/>
      <c r="D98" s="598"/>
      <c r="E98" s="598"/>
      <c r="F98" s="47"/>
      <c r="G98" s="47"/>
      <c r="Q98" s="45"/>
      <c r="S98" s="45"/>
      <c r="T98" s="47"/>
      <c r="U98" s="47"/>
      <c r="V98" s="45"/>
      <c r="W98" s="45"/>
      <c r="X98" s="45"/>
      <c r="Y98" s="45"/>
      <c r="Z98" s="47"/>
      <c r="AA98" s="45"/>
      <c r="AB98" s="45"/>
      <c r="AC98" s="599"/>
      <c r="AD98" s="45"/>
      <c r="AE98" s="45"/>
      <c r="AF98" s="45"/>
      <c r="AG98" s="45"/>
      <c r="AH98" s="45"/>
      <c r="AI98" s="45"/>
      <c r="AJ98" s="47"/>
      <c r="AK98" s="47"/>
      <c r="AL98" s="47"/>
      <c r="AM98" s="47"/>
      <c r="AN98" s="120" t="n">
        <v>11</v>
      </c>
    </row>
    <row r="99" s="120" customFormat="true" ht="11.25" hidden="false" customHeight="true" outlineLevel="0" collapsed="false">
      <c r="A99" s="598"/>
      <c r="B99" s="598"/>
      <c r="C99" s="598"/>
      <c r="D99" s="598"/>
      <c r="E99" s="598"/>
      <c r="F99" s="47"/>
      <c r="G99" s="47"/>
      <c r="Q99" s="45"/>
      <c r="S99" s="45"/>
      <c r="T99" s="47"/>
      <c r="U99" s="47"/>
      <c r="V99" s="45"/>
      <c r="W99" s="45"/>
      <c r="X99" s="45"/>
      <c r="Y99" s="45"/>
      <c r="Z99" s="47"/>
      <c r="AA99" s="45"/>
      <c r="AB99" s="45"/>
      <c r="AC99" s="599"/>
      <c r="AD99" s="45"/>
      <c r="AE99" s="45"/>
      <c r="AF99" s="45"/>
      <c r="AG99" s="45"/>
      <c r="AH99" s="45"/>
      <c r="AI99" s="45"/>
      <c r="AJ99" s="47"/>
      <c r="AK99" s="47"/>
      <c r="AL99" s="47"/>
      <c r="AM99" s="47"/>
      <c r="AN99" s="120" t="n">
        <v>11</v>
      </c>
    </row>
    <row r="100" s="120" customFormat="true" ht="11.25" hidden="false" customHeight="true" outlineLevel="0" collapsed="false">
      <c r="A100" s="598"/>
      <c r="B100" s="598"/>
      <c r="C100" s="598"/>
      <c r="D100" s="598"/>
      <c r="E100" s="598"/>
      <c r="F100" s="47"/>
      <c r="G100" s="47"/>
      <c r="Q100" s="45"/>
      <c r="S100" s="45"/>
      <c r="T100" s="47"/>
      <c r="U100" s="47"/>
      <c r="V100" s="45"/>
      <c r="W100" s="45"/>
      <c r="X100" s="45"/>
      <c r="Y100" s="45"/>
      <c r="Z100" s="47"/>
      <c r="AA100" s="45"/>
      <c r="AB100" s="45"/>
      <c r="AC100" s="599"/>
      <c r="AD100" s="45"/>
      <c r="AE100" s="45"/>
      <c r="AF100" s="45"/>
      <c r="AG100" s="45"/>
      <c r="AH100" s="45"/>
      <c r="AI100" s="45"/>
      <c r="AJ100" s="47"/>
      <c r="AK100" s="47"/>
      <c r="AL100" s="47"/>
      <c r="AM100" s="47"/>
      <c r="AN100" s="120" t="n">
        <v>11</v>
      </c>
    </row>
    <row r="101" s="120" customFormat="true" ht="11.25" hidden="false" customHeight="true" outlineLevel="0" collapsed="false">
      <c r="A101" s="598"/>
      <c r="B101" s="598"/>
      <c r="C101" s="598"/>
      <c r="D101" s="598"/>
      <c r="E101" s="598"/>
      <c r="F101" s="47"/>
      <c r="G101" s="47"/>
      <c r="Q101" s="45"/>
      <c r="S101" s="45"/>
      <c r="T101" s="47"/>
      <c r="U101" s="47"/>
      <c r="V101" s="45"/>
      <c r="W101" s="45"/>
      <c r="X101" s="45"/>
      <c r="Y101" s="45"/>
      <c r="Z101" s="47"/>
      <c r="AA101" s="45"/>
      <c r="AB101" s="45"/>
      <c r="AC101" s="599"/>
      <c r="AD101" s="45"/>
      <c r="AE101" s="45"/>
      <c r="AF101" s="45"/>
      <c r="AG101" s="45"/>
      <c r="AH101" s="45"/>
      <c r="AI101" s="45"/>
      <c r="AJ101" s="47"/>
      <c r="AK101" s="47"/>
      <c r="AL101" s="47"/>
      <c r="AM101" s="47"/>
      <c r="AN101" s="120" t="n">
        <v>11</v>
      </c>
    </row>
    <row r="102" s="120" customFormat="true" ht="11.25" hidden="false" customHeight="true" outlineLevel="0" collapsed="false">
      <c r="A102" s="598"/>
      <c r="B102" s="598"/>
      <c r="C102" s="598"/>
      <c r="D102" s="598"/>
      <c r="E102" s="598"/>
      <c r="F102" s="47"/>
      <c r="G102" s="47"/>
      <c r="Q102" s="45"/>
      <c r="S102" s="45"/>
      <c r="T102" s="47"/>
      <c r="U102" s="47"/>
      <c r="V102" s="45"/>
      <c r="W102" s="45"/>
      <c r="X102" s="45"/>
      <c r="Y102" s="45"/>
      <c r="Z102" s="47"/>
      <c r="AA102" s="45"/>
      <c r="AB102" s="45"/>
      <c r="AC102" s="599"/>
      <c r="AD102" s="45"/>
      <c r="AE102" s="45"/>
      <c r="AF102" s="45"/>
      <c r="AG102" s="45"/>
      <c r="AH102" s="45"/>
      <c r="AI102" s="45"/>
      <c r="AJ102" s="47"/>
      <c r="AK102" s="47"/>
      <c r="AL102" s="47"/>
      <c r="AM102" s="47"/>
      <c r="AN102" s="120" t="n">
        <v>11</v>
      </c>
    </row>
    <row r="103" s="120" customFormat="true" ht="11.25" hidden="false" customHeight="true" outlineLevel="0" collapsed="false">
      <c r="A103" s="598"/>
      <c r="B103" s="598"/>
      <c r="C103" s="598"/>
      <c r="D103" s="598"/>
      <c r="E103" s="598"/>
      <c r="F103" s="47"/>
      <c r="G103" s="47"/>
      <c r="Q103" s="45"/>
      <c r="S103" s="45"/>
      <c r="T103" s="47"/>
      <c r="U103" s="47"/>
      <c r="V103" s="45"/>
      <c r="W103" s="45"/>
      <c r="X103" s="45"/>
      <c r="Y103" s="45"/>
      <c r="Z103" s="47"/>
      <c r="AA103" s="45"/>
      <c r="AB103" s="45"/>
      <c r="AC103" s="599"/>
      <c r="AD103" s="45"/>
      <c r="AE103" s="45"/>
      <c r="AF103" s="45"/>
      <c r="AG103" s="45"/>
      <c r="AH103" s="45"/>
      <c r="AI103" s="45"/>
      <c r="AJ103" s="47"/>
      <c r="AK103" s="47"/>
      <c r="AL103" s="47"/>
      <c r="AM103" s="47"/>
      <c r="AN103" s="120" t="n">
        <v>11</v>
      </c>
    </row>
    <row r="104" s="120" customFormat="true" ht="11.25" hidden="false" customHeight="true" outlineLevel="0" collapsed="false">
      <c r="A104" s="598"/>
      <c r="B104" s="598"/>
      <c r="C104" s="598"/>
      <c r="D104" s="598"/>
      <c r="E104" s="598"/>
      <c r="F104" s="47"/>
      <c r="G104" s="47"/>
      <c r="Q104" s="45"/>
      <c r="S104" s="45"/>
      <c r="T104" s="47"/>
      <c r="U104" s="47"/>
      <c r="V104" s="45"/>
      <c r="W104" s="45"/>
      <c r="X104" s="45"/>
      <c r="Y104" s="45"/>
      <c r="Z104" s="47"/>
      <c r="AA104" s="45"/>
      <c r="AB104" s="45"/>
      <c r="AC104" s="599"/>
      <c r="AD104" s="45"/>
      <c r="AE104" s="45"/>
      <c r="AF104" s="45"/>
      <c r="AG104" s="45"/>
      <c r="AH104" s="45"/>
      <c r="AI104" s="45"/>
      <c r="AJ104" s="47"/>
      <c r="AK104" s="47"/>
      <c r="AL104" s="47"/>
      <c r="AM104" s="47"/>
      <c r="AN104" s="120" t="n">
        <v>11</v>
      </c>
    </row>
    <row r="105" s="120" customFormat="true" ht="11.25" hidden="false" customHeight="true" outlineLevel="0" collapsed="false">
      <c r="A105" s="598"/>
      <c r="B105" s="598"/>
      <c r="C105" s="598"/>
      <c r="D105" s="598"/>
      <c r="E105" s="598"/>
      <c r="F105" s="47"/>
      <c r="G105" s="47"/>
      <c r="Q105" s="45"/>
      <c r="S105" s="45"/>
      <c r="T105" s="47"/>
      <c r="U105" s="47"/>
      <c r="V105" s="45"/>
      <c r="W105" s="45"/>
      <c r="X105" s="45"/>
      <c r="Y105" s="45"/>
      <c r="Z105" s="47"/>
      <c r="AA105" s="45"/>
      <c r="AB105" s="45"/>
      <c r="AC105" s="599"/>
      <c r="AD105" s="45"/>
      <c r="AE105" s="45"/>
      <c r="AF105" s="45"/>
      <c r="AG105" s="45"/>
      <c r="AH105" s="45"/>
      <c r="AI105" s="45"/>
      <c r="AJ105" s="47"/>
      <c r="AK105" s="47"/>
      <c r="AL105" s="47"/>
      <c r="AM105" s="47"/>
      <c r="AN105" s="120" t="n">
        <v>11</v>
      </c>
    </row>
    <row r="106" s="120" customFormat="true" ht="11.25" hidden="false" customHeight="true" outlineLevel="0" collapsed="false">
      <c r="A106" s="598"/>
      <c r="B106" s="598"/>
      <c r="C106" s="598"/>
      <c r="D106" s="598"/>
      <c r="E106" s="598"/>
      <c r="F106" s="47"/>
      <c r="G106" s="47"/>
      <c r="Q106" s="45"/>
      <c r="S106" s="45"/>
      <c r="T106" s="47"/>
      <c r="U106" s="47"/>
      <c r="V106" s="45"/>
      <c r="W106" s="45"/>
      <c r="X106" s="45"/>
      <c r="Y106" s="45"/>
      <c r="Z106" s="47"/>
      <c r="AA106" s="45"/>
      <c r="AB106" s="45"/>
      <c r="AC106" s="599"/>
      <c r="AD106" s="45"/>
      <c r="AE106" s="45"/>
      <c r="AF106" s="45"/>
      <c r="AG106" s="45"/>
      <c r="AH106" s="45"/>
      <c r="AI106" s="45"/>
      <c r="AJ106" s="47"/>
      <c r="AK106" s="47"/>
      <c r="AL106" s="47"/>
      <c r="AM106" s="47"/>
      <c r="AN106" s="120" t="n">
        <v>11</v>
      </c>
    </row>
    <row r="107" s="120" customFormat="true" ht="11.25" hidden="false" customHeight="true" outlineLevel="0" collapsed="false">
      <c r="A107" s="598"/>
      <c r="B107" s="598"/>
      <c r="C107" s="598"/>
      <c r="D107" s="598"/>
      <c r="E107" s="598"/>
      <c r="F107" s="47"/>
      <c r="G107" s="47"/>
      <c r="Q107" s="45"/>
      <c r="S107" s="45"/>
      <c r="T107" s="47"/>
      <c r="U107" s="47"/>
      <c r="V107" s="45"/>
      <c r="W107" s="45"/>
      <c r="X107" s="45"/>
      <c r="Y107" s="45"/>
      <c r="Z107" s="47"/>
      <c r="AA107" s="45"/>
      <c r="AB107" s="45"/>
      <c r="AC107" s="599"/>
      <c r="AD107" s="45"/>
      <c r="AE107" s="45"/>
      <c r="AF107" s="45"/>
      <c r="AG107" s="45"/>
      <c r="AH107" s="45"/>
      <c r="AI107" s="45"/>
      <c r="AJ107" s="47"/>
      <c r="AK107" s="47"/>
      <c r="AL107" s="47"/>
      <c r="AM107" s="47"/>
      <c r="AN107" s="120" t="n">
        <v>11</v>
      </c>
    </row>
    <row r="108" s="120" customFormat="true" ht="11.25" hidden="false" customHeight="true" outlineLevel="0" collapsed="false">
      <c r="A108" s="598"/>
      <c r="B108" s="598"/>
      <c r="C108" s="598"/>
      <c r="D108" s="598"/>
      <c r="E108" s="598"/>
      <c r="F108" s="47"/>
      <c r="G108" s="47"/>
      <c r="Q108" s="45"/>
      <c r="S108" s="45"/>
      <c r="T108" s="47"/>
      <c r="U108" s="47"/>
      <c r="V108" s="45"/>
      <c r="W108" s="45"/>
      <c r="X108" s="45"/>
      <c r="Y108" s="45"/>
      <c r="Z108" s="47"/>
      <c r="AA108" s="45"/>
      <c r="AB108" s="45"/>
      <c r="AC108" s="599"/>
      <c r="AD108" s="45"/>
      <c r="AE108" s="45"/>
      <c r="AF108" s="45"/>
      <c r="AG108" s="45"/>
      <c r="AH108" s="45"/>
      <c r="AI108" s="45"/>
      <c r="AJ108" s="47"/>
      <c r="AK108" s="47"/>
      <c r="AL108" s="47"/>
      <c r="AM108" s="47"/>
      <c r="AN108" s="120" t="n">
        <v>11</v>
      </c>
    </row>
    <row r="109" s="120" customFormat="true" ht="11.25" hidden="false" customHeight="true" outlineLevel="0" collapsed="false">
      <c r="A109" s="598"/>
      <c r="B109" s="598"/>
      <c r="C109" s="598"/>
      <c r="D109" s="598"/>
      <c r="E109" s="598"/>
      <c r="F109" s="47"/>
      <c r="G109" s="47"/>
      <c r="Q109" s="45"/>
      <c r="S109" s="45"/>
      <c r="T109" s="47"/>
      <c r="U109" s="47"/>
      <c r="V109" s="45"/>
      <c r="W109" s="45"/>
      <c r="X109" s="45"/>
      <c r="Y109" s="45"/>
      <c r="Z109" s="47"/>
      <c r="AA109" s="45"/>
      <c r="AB109" s="45"/>
      <c r="AC109" s="599"/>
      <c r="AD109" s="45"/>
      <c r="AE109" s="45"/>
      <c r="AF109" s="45"/>
      <c r="AG109" s="45"/>
      <c r="AH109" s="45"/>
      <c r="AI109" s="45"/>
      <c r="AJ109" s="47"/>
      <c r="AK109" s="47"/>
      <c r="AL109" s="47"/>
      <c r="AM109" s="47"/>
      <c r="AN109" s="120" t="n">
        <v>11</v>
      </c>
    </row>
    <row r="110" s="120" customFormat="true" ht="11.25" hidden="false" customHeight="true" outlineLevel="0" collapsed="false">
      <c r="A110" s="598"/>
      <c r="B110" s="598"/>
      <c r="C110" s="598"/>
      <c r="D110" s="598"/>
      <c r="E110" s="598"/>
      <c r="F110" s="47"/>
      <c r="G110" s="47"/>
      <c r="Q110" s="45"/>
      <c r="S110" s="45"/>
      <c r="T110" s="47"/>
      <c r="U110" s="47"/>
      <c r="V110" s="45"/>
      <c r="W110" s="45"/>
      <c r="X110" s="45"/>
      <c r="Y110" s="45"/>
      <c r="Z110" s="47"/>
      <c r="AA110" s="45"/>
      <c r="AB110" s="45"/>
      <c r="AC110" s="599"/>
      <c r="AD110" s="45"/>
      <c r="AE110" s="45"/>
      <c r="AF110" s="45"/>
      <c r="AG110" s="45"/>
      <c r="AH110" s="45"/>
      <c r="AI110" s="45"/>
      <c r="AJ110" s="47"/>
      <c r="AK110" s="47"/>
      <c r="AL110" s="47"/>
      <c r="AM110" s="47"/>
      <c r="AN110" s="120" t="n">
        <v>11</v>
      </c>
    </row>
    <row r="111" s="120" customFormat="true" ht="11.25" hidden="false" customHeight="true" outlineLevel="0" collapsed="false">
      <c r="A111" s="598"/>
      <c r="B111" s="598"/>
      <c r="C111" s="598"/>
      <c r="D111" s="598"/>
      <c r="E111" s="598"/>
      <c r="F111" s="47"/>
      <c r="G111" s="47"/>
      <c r="Q111" s="45"/>
      <c r="S111" s="45"/>
      <c r="T111" s="47"/>
      <c r="U111" s="47"/>
      <c r="V111" s="45"/>
      <c r="W111" s="45"/>
      <c r="X111" s="45"/>
      <c r="Y111" s="45"/>
      <c r="Z111" s="47"/>
      <c r="AA111" s="45"/>
      <c r="AB111" s="45"/>
      <c r="AC111" s="599"/>
      <c r="AD111" s="45"/>
      <c r="AE111" s="45"/>
      <c r="AF111" s="45"/>
      <c r="AG111" s="45"/>
      <c r="AH111" s="45"/>
      <c r="AI111" s="45"/>
      <c r="AJ111" s="47"/>
      <c r="AK111" s="47"/>
      <c r="AL111" s="47"/>
      <c r="AM111" s="47"/>
      <c r="AN111" s="120" t="n">
        <v>11</v>
      </c>
    </row>
    <row r="112" s="120" customFormat="true" ht="11.25" hidden="false" customHeight="true" outlineLevel="0" collapsed="false">
      <c r="A112" s="598"/>
      <c r="B112" s="598"/>
      <c r="C112" s="598"/>
      <c r="D112" s="598"/>
      <c r="E112" s="598"/>
      <c r="F112" s="47"/>
      <c r="G112" s="47"/>
      <c r="Q112" s="45"/>
      <c r="S112" s="45"/>
      <c r="T112" s="47"/>
      <c r="U112" s="47"/>
      <c r="V112" s="45"/>
      <c r="W112" s="45"/>
      <c r="X112" s="45"/>
      <c r="Y112" s="45"/>
      <c r="Z112" s="47"/>
      <c r="AA112" s="45"/>
      <c r="AB112" s="45"/>
      <c r="AC112" s="599"/>
      <c r="AD112" s="45"/>
      <c r="AE112" s="45"/>
      <c r="AF112" s="45"/>
      <c r="AG112" s="45"/>
      <c r="AH112" s="45"/>
      <c r="AI112" s="45"/>
      <c r="AJ112" s="47"/>
      <c r="AK112" s="47"/>
      <c r="AL112" s="47"/>
      <c r="AM112" s="47"/>
      <c r="AN112" s="120" t="n">
        <v>11</v>
      </c>
    </row>
    <row r="113" s="120" customFormat="true" ht="11.25" hidden="false" customHeight="true" outlineLevel="0" collapsed="false">
      <c r="A113" s="598"/>
      <c r="B113" s="598"/>
      <c r="C113" s="598"/>
      <c r="D113" s="598"/>
      <c r="E113" s="598"/>
      <c r="F113" s="47"/>
      <c r="G113" s="47"/>
      <c r="Q113" s="45"/>
      <c r="S113" s="45"/>
      <c r="T113" s="47"/>
      <c r="U113" s="47"/>
      <c r="V113" s="45"/>
      <c r="W113" s="45"/>
      <c r="X113" s="45"/>
      <c r="Y113" s="45"/>
      <c r="Z113" s="47"/>
      <c r="AA113" s="45"/>
      <c r="AB113" s="45"/>
      <c r="AC113" s="599"/>
      <c r="AD113" s="45"/>
      <c r="AE113" s="45"/>
      <c r="AF113" s="45"/>
      <c r="AG113" s="45"/>
      <c r="AH113" s="45"/>
      <c r="AI113" s="45"/>
      <c r="AJ113" s="47"/>
      <c r="AK113" s="47"/>
      <c r="AL113" s="47"/>
      <c r="AM113" s="47"/>
      <c r="AN113" s="120" t="n">
        <v>11</v>
      </c>
    </row>
    <row r="114" s="120" customFormat="true" ht="11.25" hidden="false" customHeight="true" outlineLevel="0" collapsed="false">
      <c r="A114" s="598"/>
      <c r="B114" s="598"/>
      <c r="C114" s="598"/>
      <c r="D114" s="598"/>
      <c r="E114" s="598"/>
      <c r="F114" s="47"/>
      <c r="G114" s="47"/>
      <c r="Q114" s="45"/>
      <c r="S114" s="45"/>
      <c r="T114" s="47"/>
      <c r="U114" s="47"/>
      <c r="V114" s="45"/>
      <c r="W114" s="45"/>
      <c r="X114" s="45"/>
      <c r="Y114" s="45"/>
      <c r="Z114" s="47"/>
      <c r="AA114" s="45"/>
      <c r="AB114" s="45"/>
      <c r="AC114" s="599"/>
      <c r="AD114" s="45"/>
      <c r="AE114" s="45"/>
      <c r="AF114" s="45"/>
      <c r="AG114" s="45"/>
      <c r="AH114" s="45"/>
      <c r="AI114" s="45"/>
      <c r="AJ114" s="47"/>
      <c r="AK114" s="47"/>
      <c r="AL114" s="47"/>
      <c r="AM114" s="47"/>
      <c r="AN114" s="120" t="n">
        <v>11</v>
      </c>
    </row>
    <row r="115" s="120" customFormat="true" ht="11.25" hidden="false" customHeight="true" outlineLevel="0" collapsed="false">
      <c r="A115" s="598"/>
      <c r="B115" s="598"/>
      <c r="C115" s="598"/>
      <c r="D115" s="598"/>
      <c r="E115" s="598"/>
      <c r="F115" s="47"/>
      <c r="G115" s="47"/>
      <c r="Q115" s="45"/>
      <c r="S115" s="45"/>
      <c r="T115" s="47"/>
      <c r="U115" s="47"/>
      <c r="V115" s="45"/>
      <c r="W115" s="45"/>
      <c r="X115" s="45"/>
      <c r="Y115" s="45"/>
      <c r="Z115" s="47"/>
      <c r="AA115" s="45"/>
      <c r="AB115" s="45"/>
      <c r="AC115" s="599"/>
      <c r="AD115" s="45"/>
      <c r="AE115" s="45"/>
      <c r="AF115" s="45"/>
      <c r="AG115" s="45"/>
      <c r="AH115" s="45"/>
      <c r="AI115" s="45"/>
      <c r="AJ115" s="47"/>
      <c r="AK115" s="47"/>
      <c r="AL115" s="47"/>
      <c r="AM115" s="47"/>
      <c r="AN115" s="120" t="n">
        <v>11</v>
      </c>
    </row>
    <row r="116" s="120" customFormat="true" ht="11.25" hidden="false" customHeight="true" outlineLevel="0" collapsed="false">
      <c r="A116" s="598"/>
      <c r="B116" s="598"/>
      <c r="C116" s="598"/>
      <c r="D116" s="598"/>
      <c r="E116" s="598"/>
      <c r="F116" s="47"/>
      <c r="G116" s="47"/>
      <c r="Q116" s="45"/>
      <c r="S116" s="45"/>
      <c r="T116" s="47"/>
      <c r="U116" s="47"/>
      <c r="V116" s="45"/>
      <c r="W116" s="45"/>
      <c r="X116" s="45"/>
      <c r="Y116" s="45"/>
      <c r="Z116" s="47"/>
      <c r="AA116" s="45"/>
      <c r="AB116" s="45"/>
      <c r="AC116" s="599"/>
      <c r="AD116" s="45"/>
      <c r="AE116" s="45"/>
      <c r="AF116" s="45"/>
      <c r="AG116" s="45"/>
      <c r="AH116" s="45"/>
      <c r="AI116" s="45"/>
      <c r="AJ116" s="47"/>
      <c r="AK116" s="47"/>
      <c r="AL116" s="47"/>
      <c r="AM116" s="47"/>
      <c r="AN116" s="120" t="n">
        <v>11</v>
      </c>
    </row>
    <row r="117" s="120" customFormat="true" ht="11.25" hidden="false" customHeight="true" outlineLevel="0" collapsed="false">
      <c r="A117" s="598"/>
      <c r="B117" s="598"/>
      <c r="C117" s="598"/>
      <c r="D117" s="598"/>
      <c r="E117" s="598"/>
      <c r="F117" s="47"/>
      <c r="G117" s="47"/>
      <c r="Q117" s="45"/>
      <c r="S117" s="45"/>
      <c r="T117" s="47"/>
      <c r="U117" s="47"/>
      <c r="V117" s="45"/>
      <c r="W117" s="45"/>
      <c r="X117" s="45"/>
      <c r="Y117" s="45"/>
      <c r="Z117" s="47"/>
      <c r="AA117" s="45"/>
      <c r="AB117" s="45"/>
      <c r="AC117" s="599"/>
      <c r="AD117" s="45"/>
      <c r="AE117" s="45"/>
      <c r="AF117" s="45"/>
      <c r="AG117" s="45"/>
      <c r="AH117" s="45"/>
      <c r="AI117" s="45"/>
      <c r="AJ117" s="47"/>
      <c r="AK117" s="47"/>
      <c r="AL117" s="47"/>
      <c r="AM117" s="47"/>
      <c r="AN117" s="120" t="n">
        <v>11</v>
      </c>
    </row>
    <row r="118" s="120" customFormat="true" ht="11.25" hidden="false" customHeight="true" outlineLevel="0" collapsed="false">
      <c r="A118" s="598"/>
      <c r="B118" s="598"/>
      <c r="C118" s="598"/>
      <c r="D118" s="598"/>
      <c r="E118" s="598"/>
      <c r="F118" s="47"/>
      <c r="G118" s="47"/>
      <c r="Q118" s="45"/>
      <c r="S118" s="45"/>
      <c r="T118" s="47"/>
      <c r="U118" s="47"/>
      <c r="V118" s="45"/>
      <c r="W118" s="45"/>
      <c r="X118" s="45"/>
      <c r="Y118" s="45"/>
      <c r="Z118" s="47"/>
      <c r="AA118" s="45"/>
      <c r="AB118" s="45"/>
      <c r="AC118" s="599"/>
      <c r="AD118" s="45"/>
      <c r="AE118" s="45"/>
      <c r="AF118" s="45"/>
      <c r="AG118" s="45"/>
      <c r="AH118" s="45"/>
      <c r="AI118" s="45"/>
      <c r="AJ118" s="47"/>
      <c r="AK118" s="47"/>
      <c r="AL118" s="47"/>
      <c r="AM118" s="47"/>
      <c r="AN118" s="120" t="n">
        <v>11</v>
      </c>
    </row>
    <row r="119" s="120" customFormat="true" ht="11.25" hidden="false" customHeight="true" outlineLevel="0" collapsed="false">
      <c r="A119" s="598"/>
      <c r="B119" s="598"/>
      <c r="C119" s="598"/>
      <c r="D119" s="598"/>
      <c r="E119" s="598"/>
      <c r="F119" s="47"/>
      <c r="G119" s="47"/>
      <c r="Q119" s="45"/>
      <c r="S119" s="45"/>
      <c r="T119" s="47"/>
      <c r="U119" s="47"/>
      <c r="V119" s="45"/>
      <c r="W119" s="45"/>
      <c r="X119" s="45"/>
      <c r="Y119" s="45"/>
      <c r="Z119" s="47"/>
      <c r="AA119" s="45"/>
      <c r="AB119" s="45"/>
      <c r="AC119" s="599"/>
      <c r="AD119" s="45"/>
      <c r="AE119" s="45"/>
      <c r="AF119" s="45"/>
      <c r="AG119" s="45"/>
      <c r="AH119" s="45"/>
      <c r="AI119" s="45"/>
      <c r="AJ119" s="47"/>
      <c r="AK119" s="47"/>
      <c r="AL119" s="47"/>
      <c r="AM119" s="47"/>
      <c r="AN119" s="120" t="n">
        <v>11</v>
      </c>
    </row>
    <row r="120" s="120" customFormat="true" ht="11.25" hidden="false" customHeight="true" outlineLevel="0" collapsed="false">
      <c r="A120" s="598"/>
      <c r="B120" s="598"/>
      <c r="C120" s="598"/>
      <c r="D120" s="598"/>
      <c r="E120" s="598"/>
      <c r="F120" s="47"/>
      <c r="G120" s="47"/>
      <c r="Q120" s="45"/>
      <c r="S120" s="45"/>
      <c r="T120" s="47"/>
      <c r="U120" s="47"/>
      <c r="V120" s="45"/>
      <c r="W120" s="45"/>
      <c r="X120" s="45"/>
      <c r="Y120" s="45"/>
      <c r="Z120" s="47"/>
      <c r="AA120" s="45"/>
      <c r="AB120" s="45"/>
      <c r="AC120" s="599"/>
      <c r="AD120" s="45"/>
      <c r="AE120" s="45"/>
      <c r="AF120" s="45"/>
      <c r="AG120" s="45"/>
      <c r="AH120" s="45"/>
      <c r="AI120" s="45"/>
      <c r="AJ120" s="47"/>
      <c r="AK120" s="47"/>
      <c r="AL120" s="47"/>
      <c r="AM120" s="47"/>
      <c r="AN120" s="120" t="n">
        <v>11</v>
      </c>
    </row>
    <row r="121" s="120" customFormat="true" ht="11.25" hidden="false" customHeight="true" outlineLevel="0" collapsed="false">
      <c r="A121" s="598"/>
      <c r="B121" s="598"/>
      <c r="C121" s="598"/>
      <c r="D121" s="598"/>
      <c r="E121" s="598"/>
      <c r="F121" s="47"/>
      <c r="G121" s="47"/>
      <c r="Q121" s="45"/>
      <c r="S121" s="45"/>
      <c r="T121" s="47"/>
      <c r="U121" s="47"/>
      <c r="V121" s="45"/>
      <c r="W121" s="45"/>
      <c r="X121" s="45"/>
      <c r="Y121" s="45"/>
      <c r="Z121" s="47"/>
      <c r="AA121" s="45"/>
      <c r="AB121" s="45"/>
      <c r="AC121" s="599"/>
      <c r="AD121" s="45"/>
      <c r="AE121" s="45"/>
      <c r="AF121" s="45"/>
      <c r="AG121" s="45"/>
      <c r="AH121" s="45"/>
      <c r="AI121" s="45"/>
      <c r="AJ121" s="47"/>
      <c r="AK121" s="47"/>
      <c r="AL121" s="47"/>
      <c r="AM121" s="47"/>
      <c r="AN121" s="120" t="n">
        <v>11</v>
      </c>
    </row>
    <row r="122" s="120" customFormat="true" ht="11.25" hidden="false" customHeight="true" outlineLevel="0" collapsed="false">
      <c r="A122" s="598"/>
      <c r="B122" s="598"/>
      <c r="C122" s="598"/>
      <c r="D122" s="598"/>
      <c r="E122" s="598"/>
      <c r="F122" s="47"/>
      <c r="G122" s="47"/>
      <c r="Q122" s="45"/>
      <c r="S122" s="45"/>
      <c r="T122" s="47"/>
      <c r="U122" s="47"/>
      <c r="V122" s="45"/>
      <c r="W122" s="45"/>
      <c r="X122" s="45"/>
      <c r="Y122" s="45"/>
      <c r="Z122" s="47"/>
      <c r="AA122" s="45"/>
      <c r="AB122" s="45"/>
      <c r="AC122" s="599"/>
      <c r="AD122" s="45"/>
      <c r="AE122" s="45"/>
      <c r="AF122" s="45"/>
      <c r="AG122" s="45"/>
      <c r="AH122" s="45"/>
      <c r="AI122" s="45"/>
      <c r="AJ122" s="47"/>
      <c r="AK122" s="47"/>
      <c r="AL122" s="47"/>
      <c r="AM122" s="47"/>
      <c r="AN122" s="120" t="n">
        <v>11</v>
      </c>
    </row>
    <row r="123" s="120" customFormat="true" ht="11.25" hidden="false" customHeight="true" outlineLevel="0" collapsed="false">
      <c r="A123" s="598"/>
      <c r="B123" s="598"/>
      <c r="C123" s="598"/>
      <c r="D123" s="598"/>
      <c r="E123" s="598"/>
      <c r="F123" s="47"/>
      <c r="G123" s="47"/>
      <c r="Q123" s="45"/>
      <c r="S123" s="45"/>
      <c r="T123" s="47"/>
      <c r="U123" s="47"/>
      <c r="V123" s="45"/>
      <c r="W123" s="45"/>
      <c r="X123" s="45"/>
      <c r="Y123" s="45"/>
      <c r="Z123" s="47"/>
      <c r="AA123" s="45"/>
      <c r="AB123" s="45"/>
      <c r="AC123" s="599"/>
      <c r="AD123" s="45"/>
      <c r="AE123" s="45"/>
      <c r="AF123" s="45"/>
      <c r="AG123" s="45"/>
      <c r="AH123" s="45"/>
      <c r="AI123" s="45"/>
      <c r="AJ123" s="47"/>
      <c r="AK123" s="47"/>
      <c r="AL123" s="47"/>
      <c r="AM123" s="47"/>
      <c r="AN123" s="120" t="n">
        <v>11</v>
      </c>
    </row>
    <row r="124" s="120" customFormat="true" ht="11.25" hidden="false" customHeight="true" outlineLevel="0" collapsed="false">
      <c r="A124" s="598"/>
      <c r="B124" s="598"/>
      <c r="C124" s="598"/>
      <c r="D124" s="598"/>
      <c r="E124" s="598"/>
      <c r="F124" s="47"/>
      <c r="G124" s="47"/>
      <c r="Q124" s="45"/>
      <c r="S124" s="45"/>
      <c r="T124" s="47"/>
      <c r="U124" s="47"/>
      <c r="V124" s="45"/>
      <c r="W124" s="45"/>
      <c r="X124" s="45"/>
      <c r="Y124" s="45"/>
      <c r="Z124" s="47"/>
      <c r="AA124" s="45"/>
      <c r="AB124" s="45"/>
      <c r="AC124" s="599"/>
      <c r="AD124" s="45"/>
      <c r="AE124" s="45"/>
      <c r="AF124" s="45"/>
      <c r="AG124" s="45"/>
      <c r="AH124" s="45"/>
      <c r="AI124" s="45"/>
      <c r="AJ124" s="47"/>
      <c r="AK124" s="47"/>
      <c r="AL124" s="47"/>
      <c r="AM124" s="47"/>
      <c r="AN124" s="120" t="n">
        <v>11</v>
      </c>
    </row>
    <row r="125" s="120" customFormat="true" ht="11.25" hidden="false" customHeight="true" outlineLevel="0" collapsed="false">
      <c r="A125" s="598"/>
      <c r="B125" s="598"/>
      <c r="C125" s="598"/>
      <c r="D125" s="598"/>
      <c r="E125" s="598"/>
      <c r="F125" s="47"/>
      <c r="G125" s="47"/>
      <c r="Q125" s="45"/>
      <c r="S125" s="45"/>
      <c r="T125" s="47"/>
      <c r="U125" s="47"/>
      <c r="V125" s="45"/>
      <c r="W125" s="45"/>
      <c r="X125" s="45"/>
      <c r="Y125" s="45"/>
      <c r="Z125" s="47"/>
      <c r="AA125" s="45"/>
      <c r="AB125" s="45"/>
      <c r="AC125" s="599"/>
      <c r="AD125" s="45"/>
      <c r="AE125" s="45"/>
      <c r="AF125" s="45"/>
      <c r="AG125" s="45"/>
      <c r="AH125" s="45"/>
      <c r="AI125" s="45"/>
      <c r="AJ125" s="47"/>
      <c r="AK125" s="47"/>
      <c r="AL125" s="47"/>
      <c r="AM125" s="47"/>
      <c r="AN125" s="120" t="n">
        <v>11</v>
      </c>
    </row>
    <row r="126" s="120" customFormat="true" ht="11.25" hidden="false" customHeight="true" outlineLevel="0" collapsed="false">
      <c r="A126" s="598"/>
      <c r="B126" s="598"/>
      <c r="C126" s="598"/>
      <c r="D126" s="598"/>
      <c r="E126" s="598"/>
      <c r="F126" s="47"/>
      <c r="G126" s="47"/>
      <c r="Q126" s="45"/>
      <c r="S126" s="45"/>
      <c r="T126" s="47"/>
      <c r="U126" s="47"/>
      <c r="V126" s="45"/>
      <c r="W126" s="45"/>
      <c r="X126" s="45"/>
      <c r="Y126" s="45"/>
      <c r="Z126" s="47"/>
      <c r="AA126" s="45"/>
      <c r="AB126" s="45"/>
      <c r="AC126" s="599"/>
      <c r="AD126" s="45"/>
      <c r="AE126" s="45"/>
      <c r="AF126" s="45"/>
      <c r="AG126" s="45"/>
      <c r="AH126" s="45"/>
      <c r="AI126" s="45"/>
      <c r="AJ126" s="47"/>
      <c r="AK126" s="47"/>
      <c r="AL126" s="47"/>
      <c r="AM126" s="47"/>
      <c r="AN126" s="120" t="n">
        <v>11</v>
      </c>
    </row>
    <row r="127" s="120" customFormat="true" ht="11.25" hidden="false" customHeight="true" outlineLevel="0" collapsed="false">
      <c r="A127" s="598"/>
      <c r="B127" s="598"/>
      <c r="C127" s="598"/>
      <c r="D127" s="598"/>
      <c r="E127" s="598"/>
      <c r="F127" s="47"/>
      <c r="G127" s="47"/>
      <c r="Q127" s="45"/>
      <c r="S127" s="45"/>
      <c r="T127" s="47"/>
      <c r="U127" s="47"/>
      <c r="V127" s="45"/>
      <c r="W127" s="45"/>
      <c r="X127" s="45"/>
      <c r="Y127" s="45"/>
      <c r="Z127" s="47"/>
      <c r="AA127" s="45"/>
      <c r="AB127" s="45"/>
      <c r="AC127" s="599"/>
      <c r="AD127" s="45"/>
      <c r="AE127" s="45"/>
      <c r="AF127" s="45"/>
      <c r="AG127" s="45"/>
      <c r="AH127" s="45"/>
      <c r="AI127" s="45"/>
      <c r="AJ127" s="47"/>
      <c r="AK127" s="47"/>
      <c r="AL127" s="47"/>
      <c r="AM127" s="47"/>
      <c r="AN127" s="120" t="n">
        <v>11</v>
      </c>
    </row>
    <row r="128" s="120" customFormat="true" ht="11.25" hidden="false" customHeight="true" outlineLevel="0" collapsed="false">
      <c r="A128" s="598"/>
      <c r="B128" s="598"/>
      <c r="C128" s="598"/>
      <c r="D128" s="598"/>
      <c r="E128" s="598"/>
      <c r="F128" s="47"/>
      <c r="G128" s="47"/>
      <c r="Q128" s="45"/>
      <c r="S128" s="45"/>
      <c r="T128" s="47"/>
      <c r="U128" s="47"/>
      <c r="V128" s="45"/>
      <c r="W128" s="45"/>
      <c r="X128" s="45"/>
      <c r="Y128" s="45"/>
      <c r="Z128" s="47"/>
      <c r="AA128" s="45"/>
      <c r="AB128" s="45"/>
      <c r="AC128" s="599"/>
      <c r="AD128" s="45"/>
      <c r="AE128" s="45"/>
      <c r="AF128" s="45"/>
      <c r="AG128" s="45"/>
      <c r="AH128" s="45"/>
      <c r="AI128" s="45"/>
      <c r="AJ128" s="47"/>
      <c r="AK128" s="47"/>
      <c r="AL128" s="47"/>
      <c r="AM128" s="47"/>
      <c r="AN128" s="120" t="n">
        <v>11</v>
      </c>
    </row>
    <row r="129" s="120" customFormat="true" ht="11.25" hidden="false" customHeight="true" outlineLevel="0" collapsed="false">
      <c r="A129" s="598"/>
      <c r="B129" s="598"/>
      <c r="C129" s="598"/>
      <c r="D129" s="598"/>
      <c r="E129" s="598"/>
      <c r="F129" s="47"/>
      <c r="G129" s="47"/>
      <c r="Q129" s="45"/>
      <c r="S129" s="45"/>
      <c r="T129" s="47"/>
      <c r="U129" s="47"/>
      <c r="V129" s="45"/>
      <c r="W129" s="45"/>
      <c r="X129" s="45"/>
      <c r="Y129" s="45"/>
      <c r="Z129" s="47"/>
      <c r="AA129" s="45"/>
      <c r="AB129" s="45"/>
      <c r="AC129" s="599"/>
      <c r="AD129" s="45"/>
      <c r="AE129" s="45"/>
      <c r="AF129" s="45"/>
      <c r="AG129" s="45"/>
      <c r="AH129" s="45"/>
      <c r="AI129" s="45"/>
      <c r="AJ129" s="47"/>
      <c r="AK129" s="47"/>
      <c r="AL129" s="47"/>
      <c r="AM129" s="47"/>
      <c r="AN129" s="120" t="n">
        <v>11</v>
      </c>
    </row>
    <row r="130" s="120" customFormat="true" ht="11.25" hidden="false" customHeight="true" outlineLevel="0" collapsed="false">
      <c r="A130" s="598"/>
      <c r="B130" s="598"/>
      <c r="C130" s="598"/>
      <c r="D130" s="598"/>
      <c r="E130" s="598"/>
      <c r="F130" s="47"/>
      <c r="G130" s="47"/>
      <c r="Q130" s="45"/>
      <c r="S130" s="45"/>
      <c r="T130" s="47"/>
      <c r="U130" s="47"/>
      <c r="V130" s="45"/>
      <c r="W130" s="45"/>
      <c r="X130" s="45"/>
      <c r="Y130" s="45"/>
      <c r="Z130" s="47"/>
      <c r="AA130" s="45"/>
      <c r="AB130" s="45"/>
      <c r="AC130" s="599"/>
      <c r="AD130" s="45"/>
      <c r="AE130" s="45"/>
      <c r="AF130" s="45"/>
      <c r="AG130" s="45"/>
      <c r="AH130" s="45"/>
      <c r="AI130" s="45"/>
      <c r="AJ130" s="47"/>
      <c r="AK130" s="47"/>
      <c r="AL130" s="47"/>
      <c r="AM130" s="47"/>
      <c r="AN130" s="120" t="n">
        <v>11</v>
      </c>
    </row>
    <row r="131" s="120" customFormat="true" ht="11.25" hidden="false" customHeight="true" outlineLevel="0" collapsed="false">
      <c r="A131" s="598"/>
      <c r="B131" s="598"/>
      <c r="C131" s="598"/>
      <c r="D131" s="598"/>
      <c r="E131" s="598"/>
      <c r="F131" s="47"/>
      <c r="G131" s="47"/>
      <c r="Q131" s="45"/>
      <c r="S131" s="45"/>
      <c r="T131" s="47"/>
      <c r="U131" s="47"/>
      <c r="V131" s="45"/>
      <c r="W131" s="45"/>
      <c r="X131" s="45"/>
      <c r="Y131" s="45"/>
      <c r="Z131" s="47"/>
      <c r="AA131" s="45"/>
      <c r="AB131" s="45"/>
      <c r="AC131" s="599"/>
      <c r="AD131" s="45"/>
      <c r="AE131" s="45"/>
      <c r="AF131" s="45"/>
      <c r="AG131" s="45"/>
      <c r="AH131" s="45"/>
      <c r="AI131" s="45"/>
      <c r="AJ131" s="47"/>
      <c r="AK131" s="47"/>
      <c r="AL131" s="47"/>
      <c r="AM131" s="47"/>
      <c r="AN131" s="120" t="n">
        <v>11</v>
      </c>
    </row>
    <row r="132" s="120" customFormat="true" ht="11.25" hidden="false" customHeight="true" outlineLevel="0" collapsed="false">
      <c r="A132" s="598"/>
      <c r="B132" s="598"/>
      <c r="C132" s="598"/>
      <c r="D132" s="598"/>
      <c r="E132" s="598"/>
      <c r="F132" s="47"/>
      <c r="G132" s="47"/>
      <c r="Q132" s="45"/>
      <c r="S132" s="45"/>
      <c r="T132" s="47"/>
      <c r="U132" s="47"/>
      <c r="V132" s="45"/>
      <c r="W132" s="45"/>
      <c r="X132" s="45"/>
      <c r="Y132" s="45"/>
      <c r="Z132" s="47"/>
      <c r="AA132" s="45"/>
      <c r="AB132" s="45"/>
      <c r="AC132" s="599"/>
      <c r="AD132" s="45"/>
      <c r="AE132" s="45"/>
      <c r="AF132" s="45"/>
      <c r="AG132" s="45"/>
      <c r="AH132" s="45"/>
      <c r="AI132" s="45"/>
      <c r="AJ132" s="47"/>
      <c r="AK132" s="47"/>
      <c r="AL132" s="47"/>
      <c r="AM132" s="47"/>
      <c r="AN132" s="120" t="n">
        <v>11</v>
      </c>
    </row>
    <row r="133" s="120" customFormat="true" ht="11.25" hidden="false" customHeight="true" outlineLevel="0" collapsed="false">
      <c r="A133" s="598"/>
      <c r="B133" s="598"/>
      <c r="C133" s="598"/>
      <c r="D133" s="598"/>
      <c r="E133" s="598"/>
      <c r="F133" s="47"/>
      <c r="G133" s="47"/>
      <c r="Q133" s="45"/>
      <c r="S133" s="45"/>
      <c r="T133" s="47"/>
      <c r="U133" s="47"/>
      <c r="V133" s="45"/>
      <c r="W133" s="45"/>
      <c r="X133" s="45"/>
      <c r="Y133" s="45"/>
      <c r="Z133" s="47"/>
      <c r="AA133" s="45"/>
      <c r="AB133" s="45"/>
      <c r="AC133" s="599"/>
      <c r="AD133" s="45"/>
      <c r="AE133" s="45"/>
      <c r="AF133" s="45"/>
      <c r="AG133" s="45"/>
      <c r="AH133" s="45"/>
      <c r="AI133" s="45"/>
      <c r="AJ133" s="47"/>
      <c r="AK133" s="47"/>
      <c r="AL133" s="47"/>
      <c r="AM133" s="47"/>
      <c r="AN133" s="120" t="n">
        <v>11</v>
      </c>
    </row>
    <row r="134" s="120" customFormat="true" ht="11.25" hidden="false" customHeight="true" outlineLevel="0" collapsed="false">
      <c r="A134" s="598"/>
      <c r="B134" s="598"/>
      <c r="C134" s="598"/>
      <c r="D134" s="598"/>
      <c r="E134" s="598"/>
      <c r="F134" s="47"/>
      <c r="G134" s="47"/>
      <c r="Q134" s="45"/>
      <c r="S134" s="45"/>
      <c r="T134" s="47"/>
      <c r="U134" s="47"/>
      <c r="V134" s="45"/>
      <c r="W134" s="45"/>
      <c r="X134" s="45"/>
      <c r="Y134" s="45"/>
      <c r="Z134" s="47"/>
      <c r="AA134" s="45"/>
      <c r="AB134" s="45"/>
      <c r="AC134" s="599"/>
      <c r="AD134" s="45"/>
      <c r="AE134" s="45"/>
      <c r="AF134" s="45"/>
      <c r="AG134" s="45"/>
      <c r="AH134" s="45"/>
      <c r="AI134" s="45"/>
      <c r="AJ134" s="47"/>
      <c r="AK134" s="47"/>
      <c r="AL134" s="47"/>
      <c r="AM134" s="47"/>
      <c r="AN134" s="120" t="n">
        <v>11</v>
      </c>
    </row>
    <row r="135" s="120" customFormat="true" ht="11.25" hidden="false" customHeight="true" outlineLevel="0" collapsed="false">
      <c r="A135" s="598"/>
      <c r="B135" s="598"/>
      <c r="C135" s="598"/>
      <c r="D135" s="598"/>
      <c r="E135" s="598"/>
      <c r="F135" s="47"/>
      <c r="G135" s="47"/>
      <c r="Q135" s="45"/>
      <c r="S135" s="45"/>
      <c r="T135" s="47"/>
      <c r="U135" s="47"/>
      <c r="V135" s="45"/>
      <c r="W135" s="45"/>
      <c r="X135" s="45"/>
      <c r="Y135" s="45"/>
      <c r="Z135" s="47"/>
      <c r="AA135" s="45"/>
      <c r="AB135" s="45"/>
      <c r="AC135" s="599"/>
      <c r="AD135" s="45"/>
      <c r="AE135" s="45"/>
      <c r="AF135" s="45"/>
      <c r="AG135" s="45"/>
      <c r="AH135" s="45"/>
      <c r="AI135" s="45"/>
      <c r="AJ135" s="47"/>
      <c r="AK135" s="47"/>
      <c r="AL135" s="47"/>
      <c r="AM135" s="47"/>
      <c r="AN135" s="120" t="n">
        <v>11</v>
      </c>
    </row>
    <row r="136" s="120" customFormat="true" ht="11.25" hidden="false" customHeight="true" outlineLevel="0" collapsed="false">
      <c r="A136" s="598"/>
      <c r="B136" s="598"/>
      <c r="C136" s="598"/>
      <c r="D136" s="598"/>
      <c r="E136" s="598"/>
      <c r="F136" s="47"/>
      <c r="G136" s="47"/>
      <c r="Q136" s="45"/>
      <c r="S136" s="45"/>
      <c r="T136" s="47"/>
      <c r="U136" s="47"/>
      <c r="V136" s="45"/>
      <c r="W136" s="45"/>
      <c r="X136" s="45"/>
      <c r="Y136" s="45"/>
      <c r="Z136" s="47"/>
      <c r="AA136" s="45"/>
      <c r="AB136" s="45"/>
      <c r="AC136" s="599"/>
      <c r="AD136" s="45"/>
      <c r="AE136" s="45"/>
      <c r="AF136" s="45"/>
      <c r="AG136" s="45"/>
      <c r="AH136" s="45"/>
      <c r="AI136" s="45"/>
      <c r="AJ136" s="47"/>
      <c r="AK136" s="47"/>
      <c r="AL136" s="47"/>
      <c r="AM136" s="47"/>
      <c r="AN136" s="120" t="n">
        <v>11</v>
      </c>
    </row>
    <row r="137" s="120" customFormat="true" ht="11.25" hidden="false" customHeight="true" outlineLevel="0" collapsed="false">
      <c r="A137" s="598"/>
      <c r="B137" s="598"/>
      <c r="C137" s="598"/>
      <c r="D137" s="598"/>
      <c r="E137" s="598"/>
      <c r="F137" s="47"/>
      <c r="G137" s="47"/>
      <c r="Q137" s="45"/>
      <c r="S137" s="45"/>
      <c r="T137" s="47"/>
      <c r="U137" s="47"/>
      <c r="V137" s="45"/>
      <c r="W137" s="45"/>
      <c r="X137" s="45"/>
      <c r="Y137" s="45"/>
      <c r="Z137" s="47"/>
      <c r="AA137" s="45"/>
      <c r="AB137" s="45"/>
      <c r="AC137" s="599"/>
      <c r="AD137" s="45"/>
      <c r="AE137" s="45"/>
      <c r="AF137" s="45"/>
      <c r="AG137" s="45"/>
      <c r="AH137" s="45"/>
      <c r="AI137" s="45"/>
      <c r="AJ137" s="47"/>
      <c r="AK137" s="47"/>
      <c r="AL137" s="47"/>
      <c r="AM137" s="47"/>
      <c r="AN137" s="120" t="n">
        <v>11</v>
      </c>
    </row>
    <row r="138" s="120" customFormat="true" ht="11.25" hidden="false" customHeight="true" outlineLevel="0" collapsed="false">
      <c r="A138" s="598"/>
      <c r="B138" s="598"/>
      <c r="C138" s="598"/>
      <c r="D138" s="598"/>
      <c r="E138" s="598"/>
      <c r="F138" s="47"/>
      <c r="G138" s="47"/>
      <c r="Q138" s="45"/>
      <c r="S138" s="45"/>
      <c r="T138" s="47"/>
      <c r="U138" s="47"/>
      <c r="V138" s="45"/>
      <c r="W138" s="45"/>
      <c r="X138" s="45"/>
      <c r="Y138" s="45"/>
      <c r="Z138" s="47"/>
      <c r="AA138" s="45"/>
      <c r="AB138" s="45"/>
      <c r="AC138" s="599"/>
      <c r="AD138" s="45"/>
      <c r="AE138" s="45"/>
      <c r="AF138" s="45"/>
      <c r="AG138" s="45"/>
      <c r="AH138" s="45"/>
      <c r="AI138" s="45"/>
      <c r="AJ138" s="47"/>
      <c r="AK138" s="47"/>
      <c r="AL138" s="47"/>
      <c r="AM138" s="47"/>
      <c r="AN138" s="120" t="n">
        <v>11</v>
      </c>
    </row>
    <row r="139" s="120" customFormat="true" ht="11.25" hidden="false" customHeight="true" outlineLevel="0" collapsed="false">
      <c r="A139" s="598"/>
      <c r="B139" s="598"/>
      <c r="C139" s="598"/>
      <c r="D139" s="598"/>
      <c r="E139" s="598"/>
      <c r="F139" s="47"/>
      <c r="G139" s="47"/>
      <c r="Q139" s="45"/>
      <c r="S139" s="45"/>
      <c r="T139" s="47"/>
      <c r="U139" s="47"/>
      <c r="V139" s="45"/>
      <c r="W139" s="45"/>
      <c r="X139" s="45"/>
      <c r="Y139" s="45"/>
      <c r="Z139" s="47"/>
      <c r="AA139" s="45"/>
      <c r="AB139" s="45"/>
      <c r="AC139" s="599"/>
      <c r="AD139" s="45"/>
      <c r="AE139" s="45"/>
      <c r="AF139" s="45"/>
      <c r="AG139" s="45"/>
      <c r="AH139" s="45"/>
      <c r="AI139" s="45"/>
      <c r="AJ139" s="47"/>
      <c r="AK139" s="47"/>
      <c r="AL139" s="47"/>
      <c r="AM139" s="47"/>
      <c r="AN139" s="120" t="n">
        <v>11</v>
      </c>
    </row>
    <row r="140" s="120" customFormat="true" ht="11.25" hidden="false" customHeight="true" outlineLevel="0" collapsed="false">
      <c r="A140" s="598"/>
      <c r="B140" s="598"/>
      <c r="C140" s="598"/>
      <c r="D140" s="598"/>
      <c r="E140" s="598"/>
      <c r="F140" s="47"/>
      <c r="G140" s="47"/>
      <c r="Q140" s="45"/>
      <c r="S140" s="45"/>
      <c r="T140" s="47"/>
      <c r="U140" s="47"/>
      <c r="V140" s="45"/>
      <c r="W140" s="45"/>
      <c r="X140" s="45"/>
      <c r="Y140" s="45"/>
      <c r="Z140" s="47"/>
      <c r="AA140" s="45"/>
      <c r="AB140" s="45"/>
      <c r="AC140" s="599"/>
      <c r="AD140" s="45"/>
      <c r="AE140" s="45"/>
      <c r="AF140" s="45"/>
      <c r="AG140" s="45"/>
      <c r="AH140" s="45"/>
      <c r="AI140" s="45"/>
      <c r="AJ140" s="47"/>
      <c r="AK140" s="47"/>
      <c r="AL140" s="47"/>
      <c r="AM140" s="47"/>
      <c r="AN140" s="120" t="n">
        <v>11</v>
      </c>
    </row>
    <row r="141" s="120" customFormat="true" ht="11.25" hidden="false" customHeight="true" outlineLevel="0" collapsed="false">
      <c r="A141" s="598"/>
      <c r="B141" s="598"/>
      <c r="C141" s="598"/>
      <c r="D141" s="598"/>
      <c r="E141" s="598"/>
      <c r="F141" s="47"/>
      <c r="G141" s="47"/>
      <c r="Q141" s="45"/>
      <c r="S141" s="45"/>
      <c r="T141" s="47"/>
      <c r="U141" s="47"/>
      <c r="V141" s="45"/>
      <c r="W141" s="45"/>
      <c r="X141" s="45"/>
      <c r="Y141" s="45"/>
      <c r="Z141" s="47"/>
      <c r="AA141" s="45"/>
      <c r="AB141" s="45"/>
      <c r="AC141" s="599"/>
      <c r="AD141" s="45"/>
      <c r="AE141" s="45"/>
      <c r="AF141" s="45"/>
      <c r="AG141" s="45"/>
      <c r="AH141" s="45"/>
      <c r="AI141" s="45"/>
      <c r="AJ141" s="47"/>
      <c r="AK141" s="47"/>
      <c r="AL141" s="47"/>
      <c r="AM141" s="47"/>
      <c r="AN141" s="120" t="n">
        <v>11</v>
      </c>
    </row>
    <row r="142" s="120" customFormat="true" ht="11.25" hidden="false" customHeight="true" outlineLevel="0" collapsed="false">
      <c r="A142" s="598"/>
      <c r="B142" s="598"/>
      <c r="C142" s="598"/>
      <c r="D142" s="598"/>
      <c r="E142" s="598"/>
      <c r="F142" s="47"/>
      <c r="G142" s="47"/>
      <c r="Q142" s="45"/>
      <c r="S142" s="45"/>
      <c r="T142" s="47"/>
      <c r="U142" s="47"/>
      <c r="V142" s="45"/>
      <c r="W142" s="45"/>
      <c r="X142" s="45"/>
      <c r="Y142" s="45"/>
      <c r="Z142" s="47"/>
      <c r="AA142" s="45"/>
      <c r="AB142" s="45"/>
      <c r="AC142" s="599"/>
      <c r="AD142" s="45"/>
      <c r="AE142" s="45"/>
      <c r="AF142" s="45"/>
      <c r="AG142" s="45"/>
      <c r="AH142" s="45"/>
      <c r="AI142" s="45"/>
      <c r="AJ142" s="47"/>
      <c r="AK142" s="47"/>
      <c r="AL142" s="47"/>
      <c r="AM142" s="47"/>
      <c r="AN142" s="120" t="n">
        <v>11</v>
      </c>
    </row>
    <row r="143" s="120" customFormat="true" ht="11.25" hidden="false" customHeight="true" outlineLevel="0" collapsed="false">
      <c r="A143" s="598"/>
      <c r="B143" s="598"/>
      <c r="C143" s="598"/>
      <c r="D143" s="598"/>
      <c r="E143" s="598"/>
      <c r="F143" s="47"/>
      <c r="G143" s="47"/>
      <c r="Q143" s="45"/>
      <c r="S143" s="45"/>
      <c r="T143" s="47"/>
      <c r="U143" s="47"/>
      <c r="V143" s="45"/>
      <c r="W143" s="45"/>
      <c r="X143" s="45"/>
      <c r="Y143" s="45"/>
      <c r="Z143" s="47"/>
      <c r="AA143" s="45"/>
      <c r="AB143" s="45"/>
      <c r="AC143" s="599"/>
      <c r="AD143" s="45"/>
      <c r="AE143" s="45"/>
      <c r="AF143" s="45"/>
      <c r="AG143" s="45"/>
      <c r="AH143" s="45"/>
      <c r="AI143" s="45"/>
      <c r="AJ143" s="47"/>
      <c r="AK143" s="47"/>
      <c r="AL143" s="47"/>
      <c r="AM143" s="47"/>
      <c r="AN143" s="120" t="n">
        <v>11</v>
      </c>
    </row>
    <row r="144" s="120" customFormat="true" ht="11.25" hidden="false" customHeight="true" outlineLevel="0" collapsed="false">
      <c r="A144" s="598"/>
      <c r="B144" s="598"/>
      <c r="C144" s="598"/>
      <c r="D144" s="598"/>
      <c r="E144" s="598"/>
      <c r="F144" s="47"/>
      <c r="G144" s="47"/>
      <c r="Q144" s="45"/>
      <c r="S144" s="45"/>
      <c r="T144" s="47"/>
      <c r="U144" s="47"/>
      <c r="V144" s="45"/>
      <c r="W144" s="45"/>
      <c r="X144" s="45"/>
      <c r="Y144" s="45"/>
      <c r="Z144" s="47"/>
      <c r="AA144" s="45"/>
      <c r="AB144" s="45"/>
      <c r="AC144" s="599"/>
      <c r="AD144" s="45"/>
      <c r="AE144" s="45"/>
      <c r="AF144" s="45"/>
      <c r="AG144" s="45"/>
      <c r="AH144" s="45"/>
      <c r="AI144" s="45"/>
      <c r="AJ144" s="47"/>
      <c r="AK144" s="47"/>
      <c r="AL144" s="47"/>
      <c r="AM144" s="47"/>
      <c r="AN144" s="120" t="n">
        <v>11</v>
      </c>
    </row>
    <row r="145" s="120" customFormat="true" ht="11.25" hidden="false" customHeight="true" outlineLevel="0" collapsed="false">
      <c r="A145" s="598"/>
      <c r="B145" s="598"/>
      <c r="C145" s="598"/>
      <c r="D145" s="598"/>
      <c r="E145" s="598"/>
      <c r="F145" s="47"/>
      <c r="G145" s="47"/>
      <c r="Q145" s="45"/>
      <c r="S145" s="45"/>
      <c r="T145" s="47"/>
      <c r="U145" s="47"/>
      <c r="V145" s="45"/>
      <c r="W145" s="45"/>
      <c r="X145" s="45"/>
      <c r="Y145" s="45"/>
      <c r="Z145" s="47"/>
      <c r="AA145" s="45"/>
      <c r="AB145" s="45"/>
      <c r="AC145" s="599"/>
      <c r="AD145" s="45"/>
      <c r="AE145" s="45"/>
      <c r="AF145" s="45"/>
      <c r="AG145" s="45"/>
      <c r="AH145" s="45"/>
      <c r="AI145" s="45"/>
      <c r="AJ145" s="47"/>
      <c r="AK145" s="47"/>
      <c r="AL145" s="47"/>
      <c r="AM145" s="47"/>
      <c r="AN145" s="120" t="n">
        <v>11</v>
      </c>
    </row>
    <row r="146" s="120" customFormat="true" ht="11.25" hidden="false" customHeight="true" outlineLevel="0" collapsed="false">
      <c r="A146" s="598"/>
      <c r="B146" s="598"/>
      <c r="C146" s="598"/>
      <c r="D146" s="598"/>
      <c r="E146" s="598"/>
      <c r="F146" s="47"/>
      <c r="G146" s="47"/>
      <c r="Q146" s="45"/>
      <c r="S146" s="45"/>
      <c r="T146" s="47"/>
      <c r="U146" s="47"/>
      <c r="V146" s="45"/>
      <c r="W146" s="45"/>
      <c r="X146" s="45"/>
      <c r="Y146" s="45"/>
      <c r="Z146" s="47"/>
      <c r="AA146" s="45"/>
      <c r="AB146" s="45"/>
      <c r="AC146" s="599"/>
      <c r="AD146" s="45"/>
      <c r="AE146" s="45"/>
      <c r="AF146" s="45"/>
      <c r="AG146" s="45"/>
      <c r="AH146" s="45"/>
      <c r="AI146" s="45"/>
      <c r="AJ146" s="47"/>
      <c r="AK146" s="47"/>
      <c r="AL146" s="47"/>
      <c r="AM146" s="47"/>
      <c r="AN146" s="120" t="n">
        <v>11</v>
      </c>
    </row>
    <row r="147" s="120" customFormat="true" ht="11.25" hidden="false" customHeight="true" outlineLevel="0" collapsed="false">
      <c r="A147" s="598"/>
      <c r="B147" s="598"/>
      <c r="C147" s="598"/>
      <c r="D147" s="598"/>
      <c r="E147" s="598"/>
      <c r="F147" s="47"/>
      <c r="G147" s="47"/>
      <c r="Q147" s="45"/>
      <c r="S147" s="45"/>
      <c r="T147" s="47"/>
      <c r="U147" s="47"/>
      <c r="V147" s="45"/>
      <c r="W147" s="45"/>
      <c r="X147" s="45"/>
      <c r="Y147" s="45"/>
      <c r="Z147" s="47"/>
      <c r="AA147" s="45"/>
      <c r="AB147" s="45"/>
      <c r="AC147" s="599"/>
      <c r="AD147" s="45"/>
      <c r="AE147" s="45"/>
      <c r="AF147" s="45"/>
      <c r="AG147" s="45"/>
      <c r="AH147" s="45"/>
      <c r="AI147" s="45"/>
      <c r="AJ147" s="47"/>
      <c r="AK147" s="47"/>
      <c r="AL147" s="47"/>
      <c r="AM147" s="47"/>
      <c r="AN147" s="120" t="n">
        <v>11</v>
      </c>
    </row>
    <row r="148" s="120" customFormat="true" ht="11.25" hidden="false" customHeight="true" outlineLevel="0" collapsed="false">
      <c r="A148" s="598"/>
      <c r="B148" s="598"/>
      <c r="C148" s="598"/>
      <c r="D148" s="598"/>
      <c r="E148" s="598"/>
      <c r="F148" s="47"/>
      <c r="G148" s="47"/>
      <c r="Q148" s="45"/>
      <c r="S148" s="45"/>
      <c r="T148" s="47"/>
      <c r="U148" s="47"/>
      <c r="V148" s="45"/>
      <c r="W148" s="45"/>
      <c r="X148" s="45"/>
      <c r="Y148" s="45"/>
      <c r="Z148" s="47"/>
      <c r="AA148" s="45"/>
      <c r="AB148" s="45"/>
      <c r="AC148" s="599"/>
      <c r="AD148" s="45"/>
      <c r="AE148" s="45"/>
      <c r="AF148" s="45"/>
      <c r="AG148" s="45"/>
      <c r="AH148" s="45"/>
      <c r="AI148" s="45"/>
      <c r="AJ148" s="47"/>
      <c r="AK148" s="47"/>
      <c r="AL148" s="47"/>
      <c r="AM148" s="47"/>
      <c r="AN148" s="120" t="n">
        <v>11</v>
      </c>
    </row>
    <row r="149" s="120" customFormat="true" ht="11.25" hidden="false" customHeight="true" outlineLevel="0" collapsed="false">
      <c r="A149" s="598"/>
      <c r="B149" s="598"/>
      <c r="C149" s="598"/>
      <c r="D149" s="598"/>
      <c r="E149" s="598"/>
      <c r="F149" s="47"/>
      <c r="G149" s="47"/>
      <c r="Q149" s="45"/>
      <c r="S149" s="45"/>
      <c r="T149" s="47"/>
      <c r="U149" s="47"/>
      <c r="V149" s="45"/>
      <c r="W149" s="45"/>
      <c r="X149" s="45"/>
      <c r="Y149" s="45"/>
      <c r="Z149" s="47"/>
      <c r="AA149" s="45"/>
      <c r="AB149" s="45"/>
      <c r="AC149" s="599"/>
      <c r="AD149" s="45"/>
      <c r="AE149" s="45"/>
      <c r="AF149" s="45"/>
      <c r="AG149" s="45"/>
      <c r="AH149" s="45"/>
      <c r="AI149" s="45"/>
      <c r="AJ149" s="47"/>
      <c r="AK149" s="47"/>
      <c r="AL149" s="47"/>
      <c r="AM149" s="47"/>
      <c r="AN149" s="120" t="n">
        <v>11</v>
      </c>
    </row>
    <row r="150" s="120" customFormat="true" ht="11.25" hidden="false" customHeight="true" outlineLevel="0" collapsed="false">
      <c r="A150" s="598"/>
      <c r="B150" s="598"/>
      <c r="C150" s="598"/>
      <c r="D150" s="598"/>
      <c r="E150" s="598"/>
      <c r="F150" s="47"/>
      <c r="G150" s="47"/>
      <c r="Q150" s="45"/>
      <c r="S150" s="45"/>
      <c r="T150" s="47"/>
      <c r="U150" s="47"/>
      <c r="V150" s="45"/>
      <c r="W150" s="45"/>
      <c r="X150" s="45"/>
      <c r="Y150" s="45"/>
      <c r="Z150" s="47"/>
      <c r="AA150" s="45"/>
      <c r="AB150" s="45"/>
      <c r="AC150" s="599"/>
      <c r="AD150" s="45"/>
      <c r="AE150" s="45"/>
      <c r="AF150" s="45"/>
      <c r="AG150" s="45"/>
      <c r="AH150" s="45"/>
      <c r="AI150" s="45"/>
      <c r="AJ150" s="47"/>
      <c r="AK150" s="47"/>
      <c r="AL150" s="47"/>
      <c r="AM150" s="47"/>
      <c r="AN150" s="120" t="n">
        <v>11</v>
      </c>
    </row>
    <row r="151" s="120" customFormat="true" ht="11.25" hidden="false" customHeight="true" outlineLevel="0" collapsed="false">
      <c r="A151" s="598"/>
      <c r="B151" s="598"/>
      <c r="C151" s="598"/>
      <c r="D151" s="598"/>
      <c r="E151" s="598"/>
      <c r="F151" s="47"/>
      <c r="G151" s="47"/>
      <c r="Q151" s="45"/>
      <c r="S151" s="45"/>
      <c r="T151" s="47"/>
      <c r="U151" s="47"/>
      <c r="V151" s="45"/>
      <c r="W151" s="45"/>
      <c r="X151" s="45"/>
      <c r="Y151" s="45"/>
      <c r="Z151" s="47"/>
      <c r="AA151" s="45"/>
      <c r="AB151" s="45"/>
      <c r="AC151" s="599"/>
      <c r="AD151" s="45"/>
      <c r="AE151" s="45"/>
      <c r="AF151" s="45"/>
      <c r="AG151" s="45"/>
      <c r="AH151" s="45"/>
      <c r="AI151" s="45"/>
      <c r="AJ151" s="47"/>
      <c r="AK151" s="47"/>
      <c r="AL151" s="47"/>
      <c r="AM151" s="47"/>
      <c r="AN151" s="120" t="n">
        <v>11</v>
      </c>
    </row>
    <row r="152" s="120" customFormat="true" ht="11.25" hidden="false" customHeight="true" outlineLevel="0" collapsed="false">
      <c r="A152" s="598"/>
      <c r="B152" s="598"/>
      <c r="C152" s="598"/>
      <c r="D152" s="598"/>
      <c r="E152" s="598"/>
      <c r="F152" s="47"/>
      <c r="G152" s="47"/>
      <c r="Q152" s="45"/>
      <c r="S152" s="45"/>
      <c r="T152" s="47"/>
      <c r="U152" s="47"/>
      <c r="V152" s="45"/>
      <c r="W152" s="45"/>
      <c r="X152" s="45"/>
      <c r="Y152" s="45"/>
      <c r="Z152" s="47"/>
      <c r="AA152" s="45"/>
      <c r="AB152" s="45"/>
      <c r="AC152" s="599"/>
      <c r="AD152" s="45"/>
      <c r="AE152" s="45"/>
      <c r="AF152" s="45"/>
      <c r="AG152" s="45"/>
      <c r="AH152" s="45"/>
      <c r="AI152" s="45"/>
      <c r="AJ152" s="47"/>
      <c r="AK152" s="47"/>
      <c r="AL152" s="47"/>
      <c r="AM152" s="47"/>
      <c r="AN152" s="120" t="n">
        <v>11</v>
      </c>
    </row>
    <row r="153" s="120" customFormat="true" ht="11.25" hidden="false" customHeight="true" outlineLevel="0" collapsed="false">
      <c r="A153" s="598"/>
      <c r="B153" s="598"/>
      <c r="C153" s="598"/>
      <c r="D153" s="598"/>
      <c r="E153" s="598"/>
      <c r="F153" s="47"/>
      <c r="G153" s="47"/>
      <c r="Q153" s="45"/>
      <c r="S153" s="45"/>
      <c r="T153" s="47"/>
      <c r="U153" s="47"/>
      <c r="V153" s="45"/>
      <c r="W153" s="45"/>
      <c r="X153" s="45"/>
      <c r="Y153" s="45"/>
      <c r="Z153" s="47"/>
      <c r="AA153" s="45"/>
      <c r="AB153" s="45"/>
      <c r="AC153" s="599"/>
      <c r="AD153" s="45"/>
      <c r="AE153" s="45"/>
      <c r="AF153" s="45"/>
      <c r="AG153" s="45"/>
      <c r="AH153" s="45"/>
      <c r="AI153" s="45"/>
      <c r="AJ153" s="47"/>
      <c r="AK153" s="47"/>
      <c r="AL153" s="47"/>
      <c r="AM153" s="47"/>
      <c r="AN153" s="120" t="n">
        <v>11</v>
      </c>
    </row>
    <row r="154" s="120" customFormat="true" ht="11.25" hidden="false" customHeight="true" outlineLevel="0" collapsed="false">
      <c r="A154" s="598"/>
      <c r="B154" s="598"/>
      <c r="C154" s="598"/>
      <c r="D154" s="598"/>
      <c r="E154" s="598"/>
      <c r="F154" s="47"/>
      <c r="G154" s="47"/>
      <c r="Q154" s="45"/>
      <c r="S154" s="45"/>
      <c r="T154" s="47"/>
      <c r="U154" s="47"/>
      <c r="V154" s="45"/>
      <c r="W154" s="45"/>
      <c r="X154" s="45"/>
      <c r="Y154" s="45"/>
      <c r="Z154" s="47"/>
      <c r="AA154" s="45"/>
      <c r="AB154" s="45"/>
      <c r="AC154" s="599"/>
      <c r="AD154" s="45"/>
      <c r="AE154" s="45"/>
      <c r="AF154" s="45"/>
      <c r="AG154" s="45"/>
      <c r="AH154" s="45"/>
      <c r="AI154" s="45"/>
      <c r="AJ154" s="47"/>
      <c r="AK154" s="47"/>
      <c r="AL154" s="47"/>
      <c r="AM154" s="47"/>
      <c r="AN154" s="120" t="n">
        <v>11</v>
      </c>
    </row>
    <row r="155" s="120" customFormat="true" ht="11.25" hidden="false" customHeight="true" outlineLevel="0" collapsed="false">
      <c r="A155" s="598"/>
      <c r="B155" s="598"/>
      <c r="C155" s="598"/>
      <c r="D155" s="598"/>
      <c r="E155" s="598"/>
      <c r="F155" s="47"/>
      <c r="G155" s="47"/>
      <c r="Q155" s="45"/>
      <c r="S155" s="45"/>
      <c r="T155" s="47"/>
      <c r="U155" s="47"/>
      <c r="V155" s="45"/>
      <c r="W155" s="45"/>
      <c r="X155" s="45"/>
      <c r="Y155" s="45"/>
      <c r="Z155" s="47"/>
      <c r="AA155" s="45"/>
      <c r="AB155" s="45"/>
      <c r="AC155" s="599"/>
      <c r="AD155" s="45"/>
      <c r="AE155" s="45"/>
      <c r="AF155" s="45"/>
      <c r="AG155" s="45"/>
      <c r="AH155" s="45"/>
      <c r="AI155" s="45"/>
      <c r="AJ155" s="47"/>
      <c r="AK155" s="47"/>
      <c r="AL155" s="47"/>
      <c r="AM155" s="47"/>
      <c r="AN155" s="120" t="n">
        <v>11</v>
      </c>
    </row>
    <row r="156" s="120" customFormat="true" ht="11.25" hidden="false" customHeight="true" outlineLevel="0" collapsed="false">
      <c r="A156" s="598"/>
      <c r="B156" s="598"/>
      <c r="C156" s="598"/>
      <c r="D156" s="598"/>
      <c r="E156" s="598"/>
      <c r="F156" s="47"/>
      <c r="G156" s="47"/>
      <c r="Q156" s="45"/>
      <c r="S156" s="45"/>
      <c r="T156" s="47"/>
      <c r="U156" s="47"/>
      <c r="V156" s="45"/>
      <c r="W156" s="45"/>
      <c r="X156" s="45"/>
      <c r="Y156" s="45"/>
      <c r="Z156" s="47"/>
      <c r="AA156" s="45"/>
      <c r="AB156" s="45"/>
      <c r="AC156" s="599"/>
      <c r="AD156" s="45"/>
      <c r="AE156" s="45"/>
      <c r="AF156" s="45"/>
      <c r="AG156" s="45"/>
      <c r="AH156" s="45"/>
      <c r="AI156" s="45"/>
      <c r="AJ156" s="47"/>
      <c r="AK156" s="47"/>
      <c r="AL156" s="47"/>
      <c r="AM156" s="47"/>
      <c r="AN156" s="120" t="n">
        <v>11</v>
      </c>
    </row>
    <row r="157" s="120" customFormat="true" ht="11.25" hidden="false" customHeight="true" outlineLevel="0" collapsed="false">
      <c r="A157" s="598"/>
      <c r="B157" s="598"/>
      <c r="C157" s="598"/>
      <c r="D157" s="598"/>
      <c r="E157" s="598"/>
      <c r="F157" s="47"/>
      <c r="G157" s="47"/>
      <c r="Q157" s="45"/>
      <c r="S157" s="45"/>
      <c r="T157" s="47"/>
      <c r="U157" s="47"/>
      <c r="V157" s="45"/>
      <c r="W157" s="45"/>
      <c r="X157" s="45"/>
      <c r="Y157" s="45"/>
      <c r="Z157" s="47"/>
      <c r="AA157" s="45"/>
      <c r="AB157" s="45"/>
      <c r="AC157" s="599"/>
      <c r="AD157" s="45"/>
      <c r="AE157" s="45"/>
      <c r="AF157" s="45"/>
      <c r="AG157" s="45"/>
      <c r="AH157" s="45"/>
      <c r="AI157" s="45"/>
      <c r="AJ157" s="47"/>
      <c r="AK157" s="47"/>
      <c r="AL157" s="47"/>
      <c r="AM157" s="47"/>
      <c r="AN157" s="120" t="n">
        <v>11</v>
      </c>
    </row>
    <row r="158" s="120" customFormat="true" ht="11.25" hidden="false" customHeight="true" outlineLevel="0" collapsed="false">
      <c r="A158" s="598"/>
      <c r="B158" s="598"/>
      <c r="C158" s="598"/>
      <c r="D158" s="598"/>
      <c r="E158" s="598"/>
      <c r="F158" s="47"/>
      <c r="G158" s="47"/>
      <c r="Q158" s="45"/>
      <c r="S158" s="45"/>
      <c r="T158" s="47"/>
      <c r="U158" s="47"/>
      <c r="V158" s="45"/>
      <c r="W158" s="45"/>
      <c r="X158" s="45"/>
      <c r="Y158" s="45"/>
      <c r="Z158" s="47"/>
      <c r="AA158" s="45"/>
      <c r="AB158" s="45"/>
      <c r="AC158" s="599"/>
      <c r="AD158" s="45"/>
      <c r="AE158" s="45"/>
      <c r="AF158" s="45"/>
      <c r="AG158" s="45"/>
      <c r="AH158" s="45"/>
      <c r="AI158" s="45"/>
      <c r="AJ158" s="47"/>
      <c r="AK158" s="47"/>
      <c r="AL158" s="47"/>
      <c r="AM158" s="47"/>
      <c r="AN158" s="120" t="n">
        <v>11</v>
      </c>
    </row>
    <row r="159" s="120" customFormat="true" ht="11.25" hidden="false" customHeight="true" outlineLevel="0" collapsed="false">
      <c r="A159" s="598"/>
      <c r="B159" s="598"/>
      <c r="C159" s="598"/>
      <c r="D159" s="598"/>
      <c r="E159" s="598"/>
      <c r="F159" s="47"/>
      <c r="G159" s="47"/>
      <c r="Q159" s="45"/>
      <c r="S159" s="45"/>
      <c r="T159" s="47"/>
      <c r="U159" s="47"/>
      <c r="V159" s="45"/>
      <c r="W159" s="45"/>
      <c r="X159" s="45"/>
      <c r="Y159" s="45"/>
      <c r="Z159" s="47"/>
      <c r="AA159" s="45"/>
      <c r="AB159" s="45"/>
      <c r="AC159" s="599"/>
      <c r="AD159" s="45"/>
      <c r="AE159" s="45"/>
      <c r="AF159" s="45"/>
      <c r="AG159" s="45"/>
      <c r="AH159" s="45"/>
      <c r="AI159" s="45"/>
      <c r="AJ159" s="47"/>
      <c r="AK159" s="47"/>
      <c r="AL159" s="47"/>
      <c r="AM159" s="47"/>
      <c r="AN159" s="120" t="n">
        <v>11</v>
      </c>
    </row>
    <row r="160" s="120" customFormat="true" ht="11.25" hidden="false" customHeight="true" outlineLevel="0" collapsed="false">
      <c r="A160" s="598"/>
      <c r="B160" s="598"/>
      <c r="C160" s="598"/>
      <c r="D160" s="598"/>
      <c r="E160" s="598"/>
      <c r="F160" s="47"/>
      <c r="G160" s="47"/>
      <c r="Q160" s="45"/>
      <c r="S160" s="45"/>
      <c r="T160" s="47"/>
      <c r="U160" s="47"/>
      <c r="V160" s="45"/>
      <c r="W160" s="45"/>
      <c r="X160" s="45"/>
      <c r="Y160" s="45"/>
      <c r="Z160" s="47"/>
      <c r="AA160" s="45"/>
      <c r="AB160" s="45"/>
      <c r="AC160" s="599"/>
      <c r="AD160" s="45"/>
      <c r="AE160" s="45"/>
      <c r="AF160" s="45"/>
      <c r="AG160" s="45"/>
      <c r="AH160" s="45"/>
      <c r="AI160" s="45"/>
      <c r="AJ160" s="47"/>
      <c r="AK160" s="47"/>
      <c r="AL160" s="47"/>
      <c r="AM160" s="47"/>
      <c r="AN160" s="120" t="n">
        <v>11</v>
      </c>
    </row>
    <row r="161" s="120" customFormat="true" ht="11.25" hidden="false" customHeight="true" outlineLevel="0" collapsed="false">
      <c r="A161" s="598"/>
      <c r="B161" s="598"/>
      <c r="C161" s="598"/>
      <c r="D161" s="598"/>
      <c r="E161" s="598"/>
      <c r="F161" s="47"/>
      <c r="G161" s="47"/>
      <c r="Q161" s="45"/>
      <c r="S161" s="45"/>
      <c r="T161" s="47"/>
      <c r="U161" s="47"/>
      <c r="V161" s="45"/>
      <c r="W161" s="45"/>
      <c r="X161" s="45"/>
      <c r="Y161" s="45"/>
      <c r="Z161" s="47"/>
      <c r="AA161" s="45"/>
      <c r="AB161" s="45"/>
      <c r="AC161" s="599"/>
      <c r="AD161" s="45"/>
      <c r="AE161" s="45"/>
      <c r="AF161" s="45"/>
      <c r="AG161" s="45"/>
      <c r="AH161" s="45"/>
      <c r="AI161" s="45"/>
      <c r="AJ161" s="47"/>
      <c r="AK161" s="47"/>
      <c r="AL161" s="47"/>
      <c r="AM161" s="47"/>
      <c r="AN161" s="120" t="n">
        <v>11</v>
      </c>
    </row>
    <row r="162" s="120" customFormat="true" ht="11.25" hidden="false" customHeight="true" outlineLevel="0" collapsed="false">
      <c r="A162" s="598"/>
      <c r="B162" s="598"/>
      <c r="C162" s="598"/>
      <c r="D162" s="598"/>
      <c r="E162" s="598"/>
      <c r="F162" s="47"/>
      <c r="G162" s="47"/>
      <c r="Q162" s="45"/>
      <c r="S162" s="45"/>
      <c r="T162" s="47"/>
      <c r="U162" s="47"/>
      <c r="V162" s="45"/>
      <c r="W162" s="45"/>
      <c r="X162" s="45"/>
      <c r="Y162" s="45"/>
      <c r="Z162" s="47"/>
      <c r="AA162" s="45"/>
      <c r="AB162" s="45"/>
      <c r="AC162" s="599"/>
      <c r="AD162" s="45"/>
      <c r="AE162" s="45"/>
      <c r="AF162" s="45"/>
      <c r="AG162" s="45"/>
      <c r="AH162" s="45"/>
      <c r="AI162" s="45"/>
      <c r="AJ162" s="47"/>
      <c r="AK162" s="47"/>
      <c r="AL162" s="47"/>
      <c r="AM162" s="47"/>
      <c r="AN162" s="120" t="n">
        <v>11</v>
      </c>
    </row>
    <row r="163" s="120" customFormat="true" ht="11.25" hidden="false" customHeight="true" outlineLevel="0" collapsed="false">
      <c r="A163" s="598"/>
      <c r="B163" s="598"/>
      <c r="C163" s="598"/>
      <c r="D163" s="598"/>
      <c r="E163" s="598"/>
      <c r="F163" s="47"/>
      <c r="G163" s="47"/>
      <c r="Q163" s="45"/>
      <c r="S163" s="45"/>
      <c r="T163" s="47"/>
      <c r="U163" s="47"/>
      <c r="V163" s="45"/>
      <c r="W163" s="45"/>
      <c r="X163" s="45"/>
      <c r="Y163" s="45"/>
      <c r="Z163" s="47"/>
      <c r="AA163" s="45"/>
      <c r="AB163" s="45"/>
      <c r="AC163" s="599"/>
      <c r="AD163" s="45"/>
      <c r="AE163" s="45"/>
      <c r="AF163" s="45"/>
      <c r="AG163" s="45"/>
      <c r="AH163" s="45"/>
      <c r="AI163" s="45"/>
      <c r="AJ163" s="47"/>
      <c r="AK163" s="47"/>
      <c r="AL163" s="47"/>
      <c r="AM163" s="47"/>
      <c r="AN163" s="120" t="n">
        <v>11</v>
      </c>
    </row>
    <row r="164" s="120" customFormat="true" ht="11.25" hidden="false" customHeight="true" outlineLevel="0" collapsed="false">
      <c r="A164" s="598"/>
      <c r="B164" s="598"/>
      <c r="C164" s="598"/>
      <c r="D164" s="598"/>
      <c r="E164" s="598"/>
      <c r="F164" s="47"/>
      <c r="G164" s="47"/>
      <c r="Q164" s="45"/>
      <c r="S164" s="45"/>
      <c r="T164" s="47"/>
      <c r="U164" s="47"/>
      <c r="V164" s="45"/>
      <c r="W164" s="45"/>
      <c r="X164" s="45"/>
      <c r="Y164" s="45"/>
      <c r="Z164" s="47"/>
      <c r="AA164" s="45"/>
      <c r="AB164" s="45"/>
      <c r="AC164" s="599"/>
      <c r="AD164" s="45"/>
      <c r="AE164" s="45"/>
      <c r="AF164" s="45"/>
      <c r="AG164" s="45"/>
      <c r="AH164" s="45"/>
      <c r="AI164" s="45"/>
      <c r="AJ164" s="47"/>
      <c r="AK164" s="47"/>
      <c r="AL164" s="47"/>
      <c r="AM164" s="47"/>
      <c r="AN164" s="120" t="n">
        <v>11</v>
      </c>
    </row>
    <row r="165" s="120" customFormat="true" ht="11.25" hidden="false" customHeight="true" outlineLevel="0" collapsed="false">
      <c r="A165" s="598"/>
      <c r="B165" s="598"/>
      <c r="C165" s="598"/>
      <c r="D165" s="598"/>
      <c r="E165" s="598"/>
      <c r="F165" s="47"/>
      <c r="G165" s="47"/>
      <c r="Q165" s="45"/>
      <c r="S165" s="45"/>
      <c r="T165" s="47"/>
      <c r="U165" s="47"/>
      <c r="V165" s="45"/>
      <c r="W165" s="45"/>
      <c r="X165" s="45"/>
      <c r="Y165" s="45"/>
      <c r="Z165" s="47"/>
      <c r="AA165" s="45"/>
      <c r="AB165" s="45"/>
      <c r="AC165" s="599"/>
      <c r="AD165" s="45"/>
      <c r="AE165" s="45"/>
      <c r="AF165" s="45"/>
      <c r="AG165" s="45"/>
      <c r="AH165" s="45"/>
      <c r="AI165" s="45"/>
      <c r="AJ165" s="47"/>
      <c r="AK165" s="47"/>
      <c r="AL165" s="47"/>
      <c r="AM165" s="47"/>
      <c r="AN165" s="120" t="n">
        <v>11</v>
      </c>
    </row>
    <row r="166" s="120" customFormat="true" ht="11.25" hidden="false" customHeight="true" outlineLevel="0" collapsed="false">
      <c r="A166" s="598"/>
      <c r="B166" s="598"/>
      <c r="C166" s="598"/>
      <c r="D166" s="598"/>
      <c r="E166" s="598"/>
      <c r="F166" s="47"/>
      <c r="G166" s="47"/>
      <c r="Q166" s="45"/>
      <c r="S166" s="45"/>
      <c r="T166" s="47"/>
      <c r="U166" s="47"/>
      <c r="V166" s="45"/>
      <c r="W166" s="45"/>
      <c r="X166" s="45"/>
      <c r="Y166" s="45"/>
      <c r="Z166" s="47"/>
      <c r="AA166" s="45"/>
      <c r="AB166" s="45"/>
      <c r="AC166" s="599"/>
      <c r="AD166" s="45"/>
      <c r="AE166" s="45"/>
      <c r="AF166" s="45"/>
      <c r="AG166" s="45"/>
      <c r="AH166" s="45"/>
      <c r="AI166" s="45"/>
      <c r="AJ166" s="47"/>
      <c r="AK166" s="47"/>
      <c r="AL166" s="47"/>
      <c r="AM166" s="47"/>
      <c r="AN166" s="120" t="n">
        <v>11</v>
      </c>
    </row>
    <row r="167" s="120" customFormat="true" ht="11.25" hidden="false" customHeight="true" outlineLevel="0" collapsed="false">
      <c r="A167" s="598"/>
      <c r="B167" s="598"/>
      <c r="C167" s="598"/>
      <c r="D167" s="598"/>
      <c r="E167" s="598"/>
      <c r="F167" s="47"/>
      <c r="G167" s="47"/>
      <c r="Q167" s="45"/>
      <c r="S167" s="45"/>
      <c r="T167" s="47"/>
      <c r="U167" s="47"/>
      <c r="V167" s="45"/>
      <c r="W167" s="45"/>
      <c r="X167" s="45"/>
      <c r="Y167" s="45"/>
      <c r="Z167" s="47"/>
      <c r="AA167" s="45"/>
      <c r="AB167" s="45"/>
      <c r="AC167" s="599"/>
      <c r="AD167" s="45"/>
      <c r="AE167" s="45"/>
      <c r="AF167" s="45"/>
      <c r="AG167" s="45"/>
      <c r="AH167" s="45"/>
      <c r="AI167" s="45"/>
      <c r="AJ167" s="47"/>
      <c r="AK167" s="47"/>
      <c r="AL167" s="47"/>
      <c r="AM167" s="47"/>
      <c r="AN167" s="120" t="n">
        <v>11</v>
      </c>
    </row>
    <row r="168" s="120" customFormat="true" ht="11.25" hidden="false" customHeight="true" outlineLevel="0" collapsed="false">
      <c r="A168" s="598"/>
      <c r="B168" s="598"/>
      <c r="C168" s="598"/>
      <c r="D168" s="598"/>
      <c r="E168" s="598"/>
      <c r="F168" s="47"/>
      <c r="G168" s="47"/>
      <c r="Q168" s="45"/>
      <c r="S168" s="45"/>
      <c r="T168" s="47"/>
      <c r="U168" s="47"/>
      <c r="V168" s="45"/>
      <c r="W168" s="45"/>
      <c r="X168" s="45"/>
      <c r="Y168" s="45"/>
      <c r="Z168" s="47"/>
      <c r="AA168" s="45"/>
      <c r="AB168" s="45"/>
      <c r="AC168" s="599"/>
      <c r="AD168" s="45"/>
      <c r="AE168" s="45"/>
      <c r="AF168" s="45"/>
      <c r="AG168" s="45"/>
      <c r="AH168" s="45"/>
      <c r="AI168" s="45"/>
      <c r="AJ168" s="47"/>
      <c r="AK168" s="47"/>
      <c r="AL168" s="47"/>
      <c r="AM168" s="47"/>
      <c r="AN168" s="120" t="n">
        <v>11</v>
      </c>
    </row>
    <row r="169" s="120" customFormat="true" ht="11.25" hidden="false" customHeight="true" outlineLevel="0" collapsed="false">
      <c r="A169" s="598"/>
      <c r="B169" s="598"/>
      <c r="C169" s="598"/>
      <c r="D169" s="598"/>
      <c r="E169" s="598"/>
      <c r="F169" s="47"/>
      <c r="G169" s="47"/>
      <c r="Q169" s="45"/>
      <c r="S169" s="45"/>
      <c r="T169" s="47"/>
      <c r="U169" s="47"/>
      <c r="V169" s="45"/>
      <c r="W169" s="45"/>
      <c r="X169" s="45"/>
      <c r="Y169" s="45"/>
      <c r="Z169" s="47"/>
      <c r="AA169" s="45"/>
      <c r="AB169" s="45"/>
      <c r="AC169" s="599"/>
      <c r="AD169" s="45"/>
      <c r="AE169" s="45"/>
      <c r="AF169" s="45"/>
      <c r="AG169" s="45"/>
      <c r="AH169" s="45"/>
      <c r="AI169" s="45"/>
      <c r="AJ169" s="47"/>
      <c r="AK169" s="47"/>
      <c r="AL169" s="47"/>
      <c r="AM169" s="47"/>
      <c r="AN169" s="120" t="n">
        <v>11</v>
      </c>
    </row>
    <row r="170" s="120" customFormat="true" ht="11.25" hidden="false" customHeight="true" outlineLevel="0" collapsed="false">
      <c r="A170" s="598"/>
      <c r="B170" s="598"/>
      <c r="C170" s="598"/>
      <c r="D170" s="598"/>
      <c r="E170" s="598"/>
      <c r="F170" s="47"/>
      <c r="G170" s="47"/>
      <c r="Q170" s="45"/>
      <c r="S170" s="45"/>
      <c r="T170" s="47"/>
      <c r="U170" s="47"/>
      <c r="V170" s="45"/>
      <c r="W170" s="45"/>
      <c r="X170" s="45"/>
      <c r="Y170" s="45"/>
      <c r="Z170" s="47"/>
      <c r="AA170" s="45"/>
      <c r="AB170" s="45"/>
      <c r="AC170" s="599"/>
      <c r="AD170" s="45"/>
      <c r="AE170" s="45"/>
      <c r="AF170" s="45"/>
      <c r="AG170" s="45"/>
      <c r="AH170" s="45"/>
      <c r="AI170" s="45"/>
      <c r="AJ170" s="47"/>
      <c r="AK170" s="47"/>
      <c r="AL170" s="47"/>
      <c r="AM170" s="47"/>
      <c r="AN170" s="120" t="n">
        <v>11</v>
      </c>
    </row>
    <row r="171" s="120" customFormat="true" ht="11.25" hidden="false" customHeight="true" outlineLevel="0" collapsed="false">
      <c r="A171" s="598"/>
      <c r="B171" s="598"/>
      <c r="C171" s="598"/>
      <c r="D171" s="598"/>
      <c r="E171" s="598"/>
      <c r="F171" s="47"/>
      <c r="G171" s="47"/>
      <c r="Q171" s="45"/>
      <c r="S171" s="45"/>
      <c r="T171" s="47"/>
      <c r="U171" s="47"/>
      <c r="V171" s="45"/>
      <c r="W171" s="45"/>
      <c r="X171" s="45"/>
      <c r="Y171" s="45"/>
      <c r="Z171" s="47"/>
      <c r="AA171" s="45"/>
      <c r="AB171" s="45"/>
      <c r="AC171" s="599"/>
      <c r="AD171" s="45"/>
      <c r="AE171" s="45"/>
      <c r="AF171" s="45"/>
      <c r="AG171" s="45"/>
      <c r="AH171" s="45"/>
      <c r="AI171" s="45"/>
      <c r="AJ171" s="47"/>
      <c r="AK171" s="47"/>
      <c r="AL171" s="47"/>
      <c r="AM171" s="47"/>
      <c r="AN171" s="120" t="n">
        <v>11</v>
      </c>
    </row>
    <row r="172" s="120" customFormat="true" ht="11.25" hidden="false" customHeight="true" outlineLevel="0" collapsed="false">
      <c r="A172" s="598"/>
      <c r="B172" s="598"/>
      <c r="C172" s="598"/>
      <c r="D172" s="598"/>
      <c r="E172" s="598"/>
      <c r="F172" s="47"/>
      <c r="G172" s="47"/>
      <c r="Q172" s="45"/>
      <c r="S172" s="45"/>
      <c r="T172" s="47"/>
      <c r="U172" s="47"/>
      <c r="V172" s="45"/>
      <c r="W172" s="45"/>
      <c r="X172" s="45"/>
      <c r="Y172" s="45"/>
      <c r="Z172" s="47"/>
      <c r="AA172" s="45"/>
      <c r="AB172" s="45"/>
      <c r="AC172" s="599"/>
      <c r="AD172" s="45"/>
      <c r="AE172" s="45"/>
      <c r="AF172" s="45"/>
      <c r="AG172" s="45"/>
      <c r="AH172" s="45"/>
      <c r="AI172" s="45"/>
      <c r="AJ172" s="47"/>
      <c r="AK172" s="47"/>
      <c r="AL172" s="47"/>
      <c r="AM172" s="47"/>
      <c r="AN172" s="120" t="n">
        <v>11</v>
      </c>
    </row>
    <row r="173" s="120" customFormat="true" ht="11.25" hidden="false" customHeight="true" outlineLevel="0" collapsed="false">
      <c r="A173" s="598"/>
      <c r="B173" s="598"/>
      <c r="C173" s="598"/>
      <c r="D173" s="598"/>
      <c r="E173" s="598"/>
      <c r="F173" s="47"/>
      <c r="G173" s="47"/>
      <c r="Q173" s="45"/>
      <c r="S173" s="45"/>
      <c r="T173" s="47"/>
      <c r="U173" s="47"/>
      <c r="V173" s="45"/>
      <c r="W173" s="45"/>
      <c r="X173" s="45"/>
      <c r="Y173" s="45"/>
      <c r="Z173" s="47"/>
      <c r="AA173" s="45"/>
      <c r="AB173" s="45"/>
      <c r="AC173" s="599"/>
      <c r="AD173" s="45"/>
      <c r="AE173" s="45"/>
      <c r="AF173" s="45"/>
      <c r="AG173" s="45"/>
      <c r="AH173" s="45"/>
      <c r="AI173" s="45"/>
      <c r="AJ173" s="47"/>
      <c r="AK173" s="47"/>
      <c r="AL173" s="47"/>
      <c r="AM173" s="47"/>
      <c r="AN173" s="120" t="n">
        <v>11</v>
      </c>
    </row>
    <row r="174" s="120" customFormat="true" ht="11.25" hidden="false" customHeight="true" outlineLevel="0" collapsed="false">
      <c r="A174" s="598"/>
      <c r="B174" s="598"/>
      <c r="C174" s="598"/>
      <c r="D174" s="598"/>
      <c r="E174" s="598"/>
      <c r="F174" s="47"/>
      <c r="G174" s="47"/>
      <c r="Q174" s="45"/>
      <c r="S174" s="45"/>
      <c r="T174" s="47"/>
      <c r="U174" s="47"/>
      <c r="V174" s="45"/>
      <c r="W174" s="45"/>
      <c r="X174" s="45"/>
      <c r="Y174" s="45"/>
      <c r="Z174" s="47"/>
      <c r="AA174" s="45"/>
      <c r="AB174" s="45"/>
      <c r="AC174" s="599"/>
      <c r="AD174" s="45"/>
      <c r="AE174" s="45"/>
      <c r="AF174" s="45"/>
      <c r="AG174" s="45"/>
      <c r="AH174" s="45"/>
      <c r="AI174" s="45"/>
      <c r="AJ174" s="47"/>
      <c r="AK174" s="47"/>
      <c r="AL174" s="47"/>
      <c r="AM174" s="47"/>
      <c r="AN174" s="120" t="n">
        <v>11</v>
      </c>
    </row>
    <row r="175" s="120" customFormat="true" ht="11.25" hidden="false" customHeight="true" outlineLevel="0" collapsed="false">
      <c r="A175" s="598"/>
      <c r="B175" s="598"/>
      <c r="C175" s="598"/>
      <c r="D175" s="598"/>
      <c r="E175" s="598"/>
      <c r="F175" s="47"/>
      <c r="G175" s="47"/>
      <c r="Q175" s="45"/>
      <c r="S175" s="45"/>
      <c r="T175" s="47"/>
      <c r="U175" s="47"/>
      <c r="V175" s="45"/>
      <c r="W175" s="45"/>
      <c r="X175" s="45"/>
      <c r="Y175" s="45"/>
      <c r="Z175" s="47"/>
      <c r="AA175" s="45"/>
      <c r="AB175" s="45"/>
      <c r="AC175" s="599"/>
      <c r="AD175" s="45"/>
      <c r="AE175" s="45"/>
      <c r="AF175" s="45"/>
      <c r="AG175" s="45"/>
      <c r="AH175" s="45"/>
      <c r="AI175" s="45"/>
      <c r="AJ175" s="47"/>
      <c r="AK175" s="47"/>
      <c r="AL175" s="47"/>
      <c r="AM175" s="47"/>
      <c r="AN175" s="120" t="n">
        <v>11</v>
      </c>
    </row>
    <row r="176" s="120" customFormat="true" ht="11.25" hidden="false" customHeight="true" outlineLevel="0" collapsed="false">
      <c r="A176" s="598"/>
      <c r="B176" s="598"/>
      <c r="C176" s="598"/>
      <c r="D176" s="598"/>
      <c r="E176" s="598"/>
      <c r="F176" s="47"/>
      <c r="G176" s="47"/>
      <c r="Q176" s="45"/>
      <c r="S176" s="45"/>
      <c r="T176" s="47"/>
      <c r="U176" s="47"/>
      <c r="V176" s="45"/>
      <c r="W176" s="45"/>
      <c r="X176" s="45"/>
      <c r="Y176" s="45"/>
      <c r="Z176" s="47"/>
      <c r="AA176" s="45"/>
      <c r="AB176" s="45"/>
      <c r="AC176" s="599"/>
      <c r="AD176" s="45"/>
      <c r="AE176" s="45"/>
      <c r="AF176" s="45"/>
      <c r="AG176" s="45"/>
      <c r="AH176" s="45"/>
      <c r="AI176" s="45"/>
      <c r="AJ176" s="47"/>
      <c r="AK176" s="47"/>
      <c r="AL176" s="47"/>
      <c r="AM176" s="47"/>
      <c r="AN176" s="120" t="n">
        <v>11</v>
      </c>
    </row>
    <row r="177" s="120" customFormat="true" ht="11.25" hidden="false" customHeight="true" outlineLevel="0" collapsed="false">
      <c r="A177" s="598"/>
      <c r="B177" s="598"/>
      <c r="C177" s="598"/>
      <c r="D177" s="598"/>
      <c r="E177" s="598"/>
      <c r="F177" s="47"/>
      <c r="G177" s="47"/>
      <c r="Q177" s="45"/>
      <c r="S177" s="45"/>
      <c r="T177" s="47"/>
      <c r="U177" s="47"/>
      <c r="V177" s="45"/>
      <c r="W177" s="45"/>
      <c r="X177" s="45"/>
      <c r="Y177" s="45"/>
      <c r="Z177" s="47"/>
      <c r="AA177" s="45"/>
      <c r="AB177" s="45"/>
      <c r="AC177" s="599"/>
      <c r="AD177" s="45"/>
      <c r="AE177" s="45"/>
      <c r="AF177" s="45"/>
      <c r="AG177" s="45"/>
      <c r="AH177" s="45"/>
      <c r="AI177" s="45"/>
      <c r="AJ177" s="47"/>
      <c r="AK177" s="47"/>
      <c r="AL177" s="47"/>
      <c r="AM177" s="47"/>
      <c r="AN177" s="120" t="n">
        <v>11</v>
      </c>
    </row>
    <row r="178" s="120" customFormat="true" ht="11.25" hidden="false" customHeight="true" outlineLevel="0" collapsed="false">
      <c r="A178" s="598"/>
      <c r="B178" s="598"/>
      <c r="C178" s="598"/>
      <c r="D178" s="598"/>
      <c r="E178" s="598"/>
      <c r="F178" s="47"/>
      <c r="G178" s="47"/>
      <c r="Q178" s="45"/>
      <c r="S178" s="45"/>
      <c r="T178" s="47"/>
      <c r="U178" s="47"/>
      <c r="V178" s="45"/>
      <c r="W178" s="45"/>
      <c r="X178" s="45"/>
      <c r="Y178" s="45"/>
      <c r="Z178" s="47"/>
      <c r="AA178" s="45"/>
      <c r="AB178" s="45"/>
      <c r="AC178" s="599"/>
      <c r="AD178" s="45"/>
      <c r="AE178" s="45"/>
      <c r="AF178" s="45"/>
      <c r="AG178" s="45"/>
      <c r="AH178" s="45"/>
      <c r="AI178" s="45"/>
      <c r="AJ178" s="47"/>
      <c r="AK178" s="47"/>
      <c r="AL178" s="47"/>
      <c r="AM178" s="47"/>
      <c r="AN178" s="120" t="n">
        <v>11</v>
      </c>
    </row>
    <row r="179" s="120" customFormat="true" ht="11.25" hidden="false" customHeight="true" outlineLevel="0" collapsed="false">
      <c r="A179" s="598"/>
      <c r="B179" s="598"/>
      <c r="C179" s="598"/>
      <c r="D179" s="598"/>
      <c r="E179" s="598"/>
      <c r="F179" s="47"/>
      <c r="G179" s="47"/>
      <c r="Q179" s="45"/>
      <c r="S179" s="45"/>
      <c r="T179" s="47"/>
      <c r="U179" s="47"/>
      <c r="V179" s="45"/>
      <c r="W179" s="45"/>
      <c r="X179" s="45"/>
      <c r="Y179" s="45"/>
      <c r="Z179" s="47"/>
      <c r="AA179" s="45"/>
      <c r="AB179" s="45"/>
      <c r="AC179" s="599"/>
      <c r="AD179" s="45"/>
      <c r="AE179" s="45"/>
      <c r="AF179" s="45"/>
      <c r="AG179" s="45"/>
      <c r="AH179" s="45"/>
      <c r="AI179" s="45"/>
      <c r="AJ179" s="47"/>
      <c r="AK179" s="47"/>
      <c r="AL179" s="47"/>
      <c r="AM179" s="47"/>
      <c r="AN179" s="120" t="n">
        <v>11</v>
      </c>
    </row>
    <row r="180" s="120" customFormat="true" ht="11.25" hidden="false" customHeight="true" outlineLevel="0" collapsed="false">
      <c r="A180" s="598"/>
      <c r="B180" s="598"/>
      <c r="C180" s="598"/>
      <c r="D180" s="598"/>
      <c r="E180" s="598"/>
      <c r="F180" s="47"/>
      <c r="G180" s="47"/>
      <c r="Q180" s="45"/>
      <c r="S180" s="45"/>
      <c r="T180" s="47"/>
      <c r="U180" s="47"/>
      <c r="V180" s="45"/>
      <c r="W180" s="45"/>
      <c r="X180" s="45"/>
      <c r="Y180" s="45"/>
      <c r="Z180" s="47"/>
      <c r="AA180" s="45"/>
      <c r="AB180" s="45"/>
      <c r="AC180" s="599"/>
      <c r="AD180" s="45"/>
      <c r="AE180" s="45"/>
      <c r="AF180" s="45"/>
      <c r="AG180" s="45"/>
      <c r="AH180" s="45"/>
      <c r="AI180" s="45"/>
      <c r="AJ180" s="47"/>
      <c r="AK180" s="47"/>
      <c r="AL180" s="47"/>
      <c r="AM180" s="47"/>
      <c r="AN180" s="120" t="n">
        <v>11</v>
      </c>
    </row>
    <row r="181" s="120" customFormat="true" ht="11.25" hidden="false" customHeight="true" outlineLevel="0" collapsed="false">
      <c r="A181" s="598"/>
      <c r="B181" s="598"/>
      <c r="C181" s="598"/>
      <c r="D181" s="598"/>
      <c r="E181" s="598"/>
      <c r="F181" s="47"/>
      <c r="G181" s="47"/>
      <c r="Q181" s="45"/>
      <c r="S181" s="45"/>
      <c r="T181" s="47"/>
      <c r="U181" s="47"/>
      <c r="V181" s="45"/>
      <c r="W181" s="45"/>
      <c r="X181" s="45"/>
      <c r="Y181" s="45"/>
      <c r="Z181" s="47"/>
      <c r="AA181" s="45"/>
      <c r="AB181" s="45"/>
      <c r="AC181" s="599"/>
      <c r="AD181" s="45"/>
      <c r="AE181" s="45"/>
      <c r="AF181" s="45"/>
      <c r="AG181" s="45"/>
      <c r="AH181" s="45"/>
      <c r="AI181" s="45"/>
      <c r="AJ181" s="47"/>
      <c r="AK181" s="47"/>
      <c r="AL181" s="47"/>
      <c r="AM181" s="47"/>
      <c r="AN181" s="120" t="n">
        <v>11</v>
      </c>
    </row>
    <row r="182" s="120" customFormat="true" ht="11.25" hidden="false" customHeight="true" outlineLevel="0" collapsed="false">
      <c r="A182" s="598"/>
      <c r="B182" s="598"/>
      <c r="C182" s="598"/>
      <c r="D182" s="598"/>
      <c r="E182" s="598"/>
      <c r="F182" s="47"/>
      <c r="G182" s="47"/>
      <c r="Q182" s="45"/>
      <c r="S182" s="45"/>
      <c r="T182" s="47"/>
      <c r="U182" s="47"/>
      <c r="V182" s="45"/>
      <c r="W182" s="45"/>
      <c r="X182" s="45"/>
      <c r="Y182" s="45"/>
      <c r="Z182" s="47"/>
      <c r="AA182" s="45"/>
      <c r="AB182" s="45"/>
      <c r="AC182" s="599"/>
      <c r="AD182" s="45"/>
      <c r="AE182" s="45"/>
      <c r="AF182" s="45"/>
      <c r="AG182" s="45"/>
      <c r="AH182" s="45"/>
      <c r="AI182" s="45"/>
      <c r="AJ182" s="47"/>
      <c r="AK182" s="47"/>
      <c r="AL182" s="47"/>
      <c r="AM182" s="47"/>
      <c r="AN182" s="120" t="n">
        <v>11</v>
      </c>
    </row>
    <row r="183" s="120" customFormat="true" ht="11.25" hidden="false" customHeight="true" outlineLevel="0" collapsed="false">
      <c r="A183" s="598"/>
      <c r="B183" s="598"/>
      <c r="C183" s="598"/>
      <c r="D183" s="598"/>
      <c r="E183" s="598"/>
      <c r="F183" s="47"/>
      <c r="G183" s="47"/>
      <c r="Q183" s="45"/>
      <c r="S183" s="45"/>
      <c r="T183" s="47"/>
      <c r="U183" s="47"/>
      <c r="V183" s="45"/>
      <c r="W183" s="45"/>
      <c r="X183" s="45"/>
      <c r="Y183" s="45"/>
      <c r="Z183" s="47"/>
      <c r="AA183" s="45"/>
      <c r="AB183" s="45"/>
      <c r="AC183" s="599"/>
      <c r="AD183" s="45"/>
      <c r="AE183" s="45"/>
      <c r="AF183" s="45"/>
      <c r="AG183" s="45"/>
      <c r="AH183" s="45"/>
      <c r="AI183" s="45"/>
      <c r="AJ183" s="47"/>
      <c r="AK183" s="47"/>
      <c r="AL183" s="47"/>
      <c r="AM183" s="47"/>
      <c r="AN183" s="120" t="n">
        <v>11</v>
      </c>
    </row>
    <row r="184" s="120" customFormat="true" ht="11.25" hidden="false" customHeight="true" outlineLevel="0" collapsed="false">
      <c r="A184" s="598"/>
      <c r="B184" s="598"/>
      <c r="C184" s="598"/>
      <c r="D184" s="598"/>
      <c r="E184" s="598"/>
      <c r="F184" s="47"/>
      <c r="G184" s="47"/>
      <c r="Q184" s="45"/>
      <c r="S184" s="45"/>
      <c r="T184" s="47"/>
      <c r="U184" s="47"/>
      <c r="V184" s="45"/>
      <c r="W184" s="45"/>
      <c r="X184" s="45"/>
      <c r="Y184" s="45"/>
      <c r="Z184" s="47"/>
      <c r="AA184" s="45"/>
      <c r="AB184" s="45"/>
      <c r="AC184" s="599"/>
      <c r="AD184" s="45"/>
      <c r="AE184" s="45"/>
      <c r="AF184" s="45"/>
      <c r="AG184" s="45"/>
      <c r="AH184" s="45"/>
      <c r="AI184" s="45"/>
      <c r="AJ184" s="47"/>
      <c r="AK184" s="47"/>
      <c r="AL184" s="47"/>
      <c r="AM184" s="47"/>
      <c r="AN184" s="120" t="n">
        <v>11</v>
      </c>
    </row>
    <row r="185" s="120" customFormat="true" ht="11.25" hidden="false" customHeight="true" outlineLevel="0" collapsed="false">
      <c r="A185" s="598"/>
      <c r="B185" s="598"/>
      <c r="C185" s="598"/>
      <c r="D185" s="598"/>
      <c r="E185" s="598"/>
      <c r="F185" s="47"/>
      <c r="G185" s="47"/>
      <c r="Q185" s="45"/>
      <c r="S185" s="45"/>
      <c r="T185" s="47"/>
      <c r="U185" s="47"/>
      <c r="V185" s="45"/>
      <c r="W185" s="45"/>
      <c r="X185" s="45"/>
      <c r="Y185" s="45"/>
      <c r="Z185" s="47"/>
      <c r="AA185" s="45"/>
      <c r="AB185" s="45"/>
      <c r="AC185" s="599"/>
      <c r="AD185" s="45"/>
      <c r="AE185" s="45"/>
      <c r="AF185" s="45"/>
      <c r="AG185" s="45"/>
      <c r="AH185" s="45"/>
      <c r="AI185" s="45"/>
      <c r="AJ185" s="47"/>
      <c r="AK185" s="47"/>
      <c r="AL185" s="47"/>
      <c r="AM185" s="47"/>
      <c r="AN185" s="120" t="n">
        <v>11</v>
      </c>
    </row>
    <row r="186" s="120" customFormat="true" ht="11.25" hidden="false" customHeight="true" outlineLevel="0" collapsed="false">
      <c r="A186" s="598"/>
      <c r="B186" s="598"/>
      <c r="C186" s="598"/>
      <c r="D186" s="598"/>
      <c r="E186" s="598"/>
      <c r="F186" s="47"/>
      <c r="G186" s="47"/>
      <c r="Q186" s="45"/>
      <c r="S186" s="45"/>
      <c r="T186" s="47"/>
      <c r="U186" s="47"/>
      <c r="V186" s="45"/>
      <c r="W186" s="45"/>
      <c r="X186" s="45"/>
      <c r="Y186" s="45"/>
      <c r="Z186" s="47"/>
      <c r="AA186" s="45"/>
      <c r="AB186" s="45"/>
      <c r="AC186" s="599"/>
      <c r="AD186" s="45"/>
      <c r="AE186" s="45"/>
      <c r="AF186" s="45"/>
      <c r="AG186" s="45"/>
      <c r="AH186" s="45"/>
      <c r="AI186" s="45"/>
      <c r="AJ186" s="47"/>
      <c r="AK186" s="47"/>
      <c r="AL186" s="47"/>
      <c r="AM186" s="47"/>
      <c r="AN186" s="120" t="n">
        <v>11</v>
      </c>
    </row>
    <row r="187" s="120" customFormat="true" ht="11.25" hidden="false" customHeight="true" outlineLevel="0" collapsed="false">
      <c r="A187" s="598"/>
      <c r="B187" s="598"/>
      <c r="C187" s="598"/>
      <c r="D187" s="598"/>
      <c r="E187" s="598"/>
      <c r="F187" s="47"/>
      <c r="G187" s="47"/>
      <c r="Q187" s="45"/>
      <c r="S187" s="45"/>
      <c r="T187" s="47"/>
      <c r="U187" s="47"/>
      <c r="V187" s="45"/>
      <c r="W187" s="45"/>
      <c r="X187" s="45"/>
      <c r="Y187" s="45"/>
      <c r="Z187" s="47"/>
      <c r="AA187" s="45"/>
      <c r="AB187" s="45"/>
      <c r="AC187" s="599"/>
      <c r="AD187" s="45"/>
      <c r="AE187" s="45"/>
      <c r="AF187" s="45"/>
      <c r="AG187" s="45"/>
      <c r="AH187" s="45"/>
      <c r="AI187" s="45"/>
      <c r="AJ187" s="47"/>
      <c r="AK187" s="47"/>
      <c r="AL187" s="47"/>
      <c r="AM187" s="47"/>
      <c r="AN187" s="120" t="n">
        <v>11</v>
      </c>
    </row>
    <row r="188" s="120" customFormat="true" ht="11.25" hidden="false" customHeight="true" outlineLevel="0" collapsed="false">
      <c r="A188" s="598"/>
      <c r="B188" s="598"/>
      <c r="C188" s="598"/>
      <c r="D188" s="598"/>
      <c r="E188" s="598"/>
      <c r="F188" s="47"/>
      <c r="G188" s="47"/>
      <c r="Q188" s="45"/>
      <c r="S188" s="45"/>
      <c r="T188" s="47"/>
      <c r="U188" s="47"/>
      <c r="V188" s="45"/>
      <c r="W188" s="45"/>
      <c r="X188" s="45"/>
      <c r="Y188" s="45"/>
      <c r="Z188" s="47"/>
      <c r="AA188" s="45"/>
      <c r="AB188" s="45"/>
      <c r="AC188" s="599"/>
      <c r="AD188" s="45"/>
      <c r="AE188" s="45"/>
      <c r="AF188" s="45"/>
      <c r="AG188" s="45"/>
      <c r="AH188" s="45"/>
      <c r="AI188" s="45"/>
      <c r="AJ188" s="47"/>
      <c r="AK188" s="47"/>
      <c r="AL188" s="47"/>
      <c r="AM188" s="47"/>
      <c r="AN188" s="120" t="n">
        <v>11</v>
      </c>
    </row>
    <row r="189" s="120" customFormat="true" ht="11.25" hidden="false" customHeight="true" outlineLevel="0" collapsed="false">
      <c r="A189" s="598"/>
      <c r="B189" s="598"/>
      <c r="C189" s="598"/>
      <c r="D189" s="598"/>
      <c r="E189" s="598"/>
      <c r="F189" s="47"/>
      <c r="G189" s="47"/>
      <c r="Q189" s="45"/>
      <c r="S189" s="45"/>
      <c r="T189" s="47"/>
      <c r="U189" s="47"/>
      <c r="V189" s="45"/>
      <c r="W189" s="45"/>
      <c r="X189" s="45"/>
      <c r="Y189" s="45"/>
      <c r="Z189" s="47"/>
      <c r="AA189" s="45"/>
      <c r="AB189" s="45"/>
      <c r="AC189" s="599"/>
      <c r="AD189" s="45"/>
      <c r="AE189" s="45"/>
      <c r="AF189" s="45"/>
      <c r="AG189" s="45"/>
      <c r="AH189" s="45"/>
      <c r="AI189" s="45"/>
      <c r="AJ189" s="47"/>
      <c r="AK189" s="47"/>
      <c r="AL189" s="47"/>
      <c r="AM189" s="47"/>
      <c r="AN189" s="120" t="n">
        <v>11</v>
      </c>
    </row>
    <row r="190" customFormat="false" ht="11.25" hidden="false" customHeight="true" outlineLevel="0" collapsed="false">
      <c r="AN190" s="42" t="n">
        <v>11</v>
      </c>
    </row>
    <row r="191" customFormat="false" ht="11.25" hidden="false" customHeight="true" outlineLevel="0" collapsed="false">
      <c r="AN191" s="42" t="n">
        <v>11</v>
      </c>
    </row>
    <row r="192" customFormat="false" ht="11.25" hidden="false" customHeight="true" outlineLevel="0" collapsed="false">
      <c r="AN192" s="42" t="n">
        <v>11</v>
      </c>
    </row>
    <row r="193" customFormat="false" ht="11.25" hidden="false" customHeight="true" outlineLevel="0" collapsed="false">
      <c r="A193" s="669"/>
      <c r="B193" s="669"/>
      <c r="C193" s="669"/>
      <c r="D193" s="669"/>
      <c r="E193" s="669"/>
      <c r="F193" s="42"/>
      <c r="Q193" s="42"/>
      <c r="S193" s="42"/>
      <c r="V193" s="42"/>
      <c r="W193" s="42"/>
      <c r="X193" s="42"/>
      <c r="Y193" s="42"/>
      <c r="AA193" s="42"/>
      <c r="AB193" s="42"/>
      <c r="AC193" s="42"/>
      <c r="AD193" s="42"/>
      <c r="AE193" s="42"/>
      <c r="AF193" s="42"/>
      <c r="AG193" s="42"/>
      <c r="AH193" s="42"/>
      <c r="AI193" s="42"/>
      <c r="AJ193" s="42"/>
      <c r="AK193" s="42"/>
      <c r="AL193" s="42"/>
      <c r="AM193" s="42"/>
      <c r="AN193" s="42" t="n">
        <v>11</v>
      </c>
    </row>
    <row r="194" customFormat="false" ht="11.25" hidden="false" customHeight="true" outlineLevel="0" collapsed="false">
      <c r="A194" s="669"/>
      <c r="B194" s="669"/>
      <c r="C194" s="669"/>
      <c r="D194" s="669"/>
      <c r="E194" s="669"/>
      <c r="F194" s="42"/>
      <c r="Q194" s="42"/>
      <c r="S194" s="42"/>
      <c r="V194" s="42"/>
      <c r="W194" s="42"/>
      <c r="X194" s="42"/>
      <c r="Y194" s="42"/>
      <c r="AA194" s="42"/>
      <c r="AB194" s="42"/>
      <c r="AC194" s="42"/>
      <c r="AD194" s="42"/>
      <c r="AE194" s="42"/>
      <c r="AF194" s="42"/>
      <c r="AG194" s="42"/>
      <c r="AH194" s="42"/>
      <c r="AI194" s="42"/>
      <c r="AJ194" s="42"/>
      <c r="AK194" s="42"/>
      <c r="AL194" s="42"/>
      <c r="AM194" s="42"/>
      <c r="AN194" s="42" t="n">
        <v>11</v>
      </c>
    </row>
    <row r="195" customFormat="false" ht="11.25" hidden="false" customHeight="true" outlineLevel="0" collapsed="false">
      <c r="A195" s="669"/>
      <c r="B195" s="669"/>
      <c r="C195" s="669"/>
      <c r="D195" s="669"/>
      <c r="E195" s="669"/>
      <c r="F195" s="42"/>
      <c r="Q195" s="42"/>
      <c r="S195" s="42"/>
      <c r="V195" s="42"/>
      <c r="W195" s="42"/>
      <c r="X195" s="42"/>
      <c r="Y195" s="42"/>
      <c r="AA195" s="42"/>
      <c r="AB195" s="42"/>
      <c r="AC195" s="42"/>
      <c r="AD195" s="42"/>
      <c r="AE195" s="42"/>
      <c r="AF195" s="42"/>
      <c r="AG195" s="42"/>
      <c r="AH195" s="42"/>
      <c r="AI195" s="42"/>
      <c r="AJ195" s="42"/>
      <c r="AK195" s="42"/>
      <c r="AL195" s="42"/>
      <c r="AM195" s="42"/>
      <c r="AN195" s="42" t="n">
        <v>11</v>
      </c>
    </row>
    <row r="196" customFormat="false" ht="11.25" hidden="false" customHeight="true" outlineLevel="0" collapsed="false">
      <c r="A196" s="669"/>
      <c r="B196" s="669"/>
      <c r="C196" s="669"/>
      <c r="D196" s="669"/>
      <c r="E196" s="669"/>
      <c r="F196" s="42"/>
      <c r="Q196" s="42"/>
      <c r="S196" s="42"/>
      <c r="V196" s="42"/>
      <c r="W196" s="42"/>
      <c r="X196" s="42"/>
      <c r="Y196" s="42"/>
      <c r="AA196" s="42"/>
      <c r="AB196" s="42"/>
      <c r="AC196" s="42"/>
      <c r="AD196" s="42"/>
      <c r="AE196" s="42"/>
      <c r="AF196" s="42"/>
      <c r="AG196" s="42"/>
      <c r="AH196" s="42"/>
      <c r="AI196" s="42"/>
      <c r="AJ196" s="42"/>
      <c r="AK196" s="42"/>
      <c r="AL196" s="42"/>
      <c r="AM196" s="42"/>
      <c r="AN196" s="42" t="n">
        <v>11</v>
      </c>
    </row>
    <row r="197" customFormat="false" ht="11.25" hidden="false" customHeight="true" outlineLevel="0" collapsed="false">
      <c r="A197" s="669"/>
      <c r="B197" s="669"/>
      <c r="C197" s="669"/>
      <c r="D197" s="669"/>
      <c r="E197" s="669"/>
      <c r="F197" s="42"/>
      <c r="Q197" s="42"/>
      <c r="S197" s="42"/>
      <c r="V197" s="42"/>
      <c r="W197" s="42"/>
      <c r="X197" s="42"/>
      <c r="Y197" s="42"/>
      <c r="AA197" s="42"/>
      <c r="AB197" s="42"/>
      <c r="AC197" s="42"/>
      <c r="AD197" s="42"/>
      <c r="AE197" s="42"/>
      <c r="AF197" s="42"/>
      <c r="AG197" s="42"/>
      <c r="AH197" s="42"/>
      <c r="AI197" s="42"/>
      <c r="AJ197" s="42"/>
      <c r="AK197" s="42"/>
      <c r="AL197" s="42"/>
      <c r="AM197" s="42"/>
      <c r="AN197" s="42" t="n">
        <v>11</v>
      </c>
    </row>
    <row r="198" customFormat="false" ht="11.25" hidden="false" customHeight="true" outlineLevel="0" collapsed="false">
      <c r="A198" s="669"/>
      <c r="B198" s="669"/>
      <c r="C198" s="669"/>
      <c r="D198" s="669"/>
      <c r="E198" s="669"/>
      <c r="F198" s="42"/>
      <c r="Q198" s="42"/>
      <c r="S198" s="42"/>
      <c r="V198" s="42"/>
      <c r="W198" s="42"/>
      <c r="X198" s="42"/>
      <c r="Y198" s="42"/>
      <c r="AA198" s="42"/>
      <c r="AB198" s="42"/>
      <c r="AC198" s="42"/>
      <c r="AD198" s="42"/>
      <c r="AE198" s="42"/>
      <c r="AF198" s="42"/>
      <c r="AG198" s="42"/>
      <c r="AH198" s="42"/>
      <c r="AI198" s="42"/>
      <c r="AJ198" s="42"/>
      <c r="AK198" s="42"/>
      <c r="AL198" s="42"/>
      <c r="AM198" s="42"/>
      <c r="AN198" s="42" t="n">
        <v>11</v>
      </c>
    </row>
    <row r="199" customFormat="false" ht="11.25" hidden="false" customHeight="true" outlineLevel="0" collapsed="false">
      <c r="A199" s="669"/>
      <c r="B199" s="669"/>
      <c r="C199" s="669"/>
      <c r="D199" s="669"/>
      <c r="E199" s="669"/>
      <c r="F199" s="42"/>
      <c r="Q199" s="42"/>
      <c r="S199" s="42"/>
      <c r="V199" s="42"/>
      <c r="W199" s="42"/>
      <c r="X199" s="42"/>
      <c r="Y199" s="42"/>
      <c r="AA199" s="42"/>
      <c r="AB199" s="42"/>
      <c r="AC199" s="42"/>
      <c r="AD199" s="42"/>
      <c r="AE199" s="42"/>
      <c r="AF199" s="42"/>
      <c r="AG199" s="42"/>
      <c r="AH199" s="42"/>
      <c r="AI199" s="42"/>
      <c r="AJ199" s="42"/>
      <c r="AK199" s="42"/>
      <c r="AL199" s="42"/>
      <c r="AM199" s="42"/>
      <c r="AN199" s="42" t="n">
        <v>11</v>
      </c>
    </row>
    <row r="200" customFormat="false" ht="11.25" hidden="false" customHeight="true" outlineLevel="0" collapsed="false">
      <c r="A200" s="669"/>
      <c r="B200" s="669"/>
      <c r="C200" s="669"/>
      <c r="D200" s="669"/>
      <c r="E200" s="669"/>
      <c r="F200" s="42"/>
      <c r="Q200" s="42"/>
      <c r="S200" s="42"/>
      <c r="V200" s="42"/>
      <c r="W200" s="42"/>
      <c r="X200" s="42"/>
      <c r="Y200" s="42"/>
      <c r="AA200" s="42"/>
      <c r="AB200" s="42"/>
      <c r="AC200" s="42"/>
      <c r="AD200" s="42"/>
      <c r="AE200" s="42"/>
      <c r="AF200" s="42"/>
      <c r="AG200" s="42"/>
      <c r="AH200" s="42"/>
      <c r="AI200" s="42"/>
      <c r="AJ200" s="42"/>
      <c r="AK200" s="42"/>
      <c r="AL200" s="42"/>
      <c r="AM200" s="42"/>
      <c r="AN200" s="42" t="n">
        <v>11</v>
      </c>
    </row>
    <row r="201" customFormat="false" ht="11.25" hidden="false" customHeight="true" outlineLevel="0" collapsed="false">
      <c r="A201" s="669"/>
      <c r="B201" s="669"/>
      <c r="C201" s="669"/>
      <c r="D201" s="669"/>
      <c r="E201" s="669"/>
      <c r="F201" s="42"/>
      <c r="Q201" s="42"/>
      <c r="S201" s="42"/>
      <c r="V201" s="42"/>
      <c r="W201" s="42"/>
      <c r="X201" s="42"/>
      <c r="Y201" s="42"/>
      <c r="AA201" s="42"/>
      <c r="AB201" s="42"/>
      <c r="AC201" s="42"/>
      <c r="AD201" s="42"/>
      <c r="AE201" s="42"/>
      <c r="AF201" s="42"/>
      <c r="AG201" s="42"/>
      <c r="AH201" s="42"/>
      <c r="AI201" s="42"/>
      <c r="AJ201" s="42"/>
      <c r="AK201" s="42"/>
      <c r="AL201" s="42"/>
      <c r="AM201" s="42"/>
      <c r="AN201" s="42" t="n">
        <v>11</v>
      </c>
    </row>
    <row r="202" customFormat="false" ht="11.25" hidden="false" customHeight="true" outlineLevel="0" collapsed="false">
      <c r="A202" s="669"/>
      <c r="B202" s="669"/>
      <c r="C202" s="669"/>
      <c r="D202" s="669"/>
      <c r="E202" s="669"/>
      <c r="F202" s="42"/>
      <c r="Q202" s="42"/>
      <c r="S202" s="42"/>
      <c r="V202" s="42"/>
      <c r="W202" s="42"/>
      <c r="X202" s="42"/>
      <c r="Y202" s="42"/>
      <c r="AA202" s="42"/>
      <c r="AB202" s="42"/>
      <c r="AC202" s="42"/>
      <c r="AD202" s="42"/>
      <c r="AE202" s="42"/>
      <c r="AF202" s="42"/>
      <c r="AG202" s="42"/>
      <c r="AH202" s="42"/>
      <c r="AI202" s="42"/>
      <c r="AJ202" s="42"/>
      <c r="AK202" s="42"/>
      <c r="AL202" s="42"/>
      <c r="AM202" s="42"/>
      <c r="AN202" s="42" t="n">
        <v>11</v>
      </c>
    </row>
    <row r="203" customFormat="false" ht="11.25" hidden="false" customHeight="true" outlineLevel="0" collapsed="false">
      <c r="A203" s="669"/>
      <c r="B203" s="669"/>
      <c r="C203" s="669"/>
      <c r="D203" s="669"/>
      <c r="E203" s="669"/>
      <c r="F203" s="42"/>
      <c r="Q203" s="42"/>
      <c r="S203" s="42"/>
      <c r="V203" s="42"/>
      <c r="W203" s="42"/>
      <c r="X203" s="42"/>
      <c r="Y203" s="42"/>
      <c r="AA203" s="42"/>
      <c r="AB203" s="42"/>
      <c r="AC203" s="42"/>
      <c r="AD203" s="42"/>
      <c r="AE203" s="42"/>
      <c r="AF203" s="42"/>
      <c r="AG203" s="42"/>
      <c r="AH203" s="42"/>
      <c r="AI203" s="42"/>
      <c r="AJ203" s="42"/>
      <c r="AK203" s="42"/>
      <c r="AL203" s="42"/>
      <c r="AM203" s="42"/>
      <c r="AN203" s="42" t="n">
        <v>11</v>
      </c>
    </row>
    <row r="204" customFormat="false" ht="12.75" hidden="true" customHeight="true" outlineLevel="0" collapsed="false">
      <c r="A204" s="598" t="s">
        <v>81</v>
      </c>
      <c r="B204" s="598" t="s">
        <v>164</v>
      </c>
      <c r="C204" s="598" t="s">
        <v>164</v>
      </c>
      <c r="D204" s="598" t="s">
        <v>164</v>
      </c>
      <c r="E204" s="598" t="s">
        <v>164</v>
      </c>
      <c r="F204" s="42" t="n">
        <v>16</v>
      </c>
      <c r="G204" s="47" t="n">
        <v>0</v>
      </c>
      <c r="H204" s="42" t="n">
        <v>3</v>
      </c>
      <c r="I204" s="42" t="n">
        <v>7</v>
      </c>
      <c r="J204" s="42" t="n">
        <v>56</v>
      </c>
      <c r="K204" s="42" t="n">
        <v>10</v>
      </c>
      <c r="L204" s="42" t="n">
        <v>40</v>
      </c>
      <c r="M204" s="42" t="n">
        <v>40</v>
      </c>
      <c r="N204" s="42" t="n">
        <v>40</v>
      </c>
      <c r="O204" s="42" t="n">
        <v>40</v>
      </c>
      <c r="P204" s="42" t="n">
        <v>40</v>
      </c>
      <c r="Q204" s="45" t="n">
        <v>9</v>
      </c>
      <c r="R204" s="42" t="n">
        <v>102</v>
      </c>
      <c r="S204" s="45" t="n">
        <v>9</v>
      </c>
      <c r="T204" s="47" t="n">
        <v>5</v>
      </c>
      <c r="U204" s="47" t="n">
        <v>3</v>
      </c>
      <c r="V204" s="45" t="n">
        <v>3</v>
      </c>
      <c r="W204" s="45" t="n">
        <v>3</v>
      </c>
      <c r="X204" s="45" t="n">
        <v>3</v>
      </c>
      <c r="Y204" s="45" t="n">
        <v>3</v>
      </c>
      <c r="Z204" s="47" t="n">
        <v>10</v>
      </c>
      <c r="AA204" s="45" t="n">
        <v>34</v>
      </c>
      <c r="AB204" s="45" t="n">
        <v>9</v>
      </c>
      <c r="AC204" s="599" t="n">
        <v>8</v>
      </c>
      <c r="AD204" s="45" t="n">
        <v>8</v>
      </c>
      <c r="AE204" s="45" t="n">
        <v>8</v>
      </c>
      <c r="AF204" s="45" t="n">
        <v>8</v>
      </c>
      <c r="AG204" s="45" t="n">
        <v>8</v>
      </c>
      <c r="AH204" s="45" t="n">
        <v>8</v>
      </c>
      <c r="AI204" s="45" t="n">
        <v>8</v>
      </c>
      <c r="AJ204" s="45" t="n">
        <v>8</v>
      </c>
      <c r="AK204" s="45" t="n">
        <v>8</v>
      </c>
      <c r="AL204" s="45" t="n">
        <v>8</v>
      </c>
      <c r="AM204" s="45" t="n">
        <v>8</v>
      </c>
      <c r="AN204" s="42" t="n">
        <v>11</v>
      </c>
    </row>
  </sheetData>
  <mergeCells count="7">
    <mergeCell ref="I6:M6"/>
    <mergeCell ref="I7:M7"/>
    <mergeCell ref="J10:K10"/>
    <mergeCell ref="R10:R14"/>
    <mergeCell ref="J11:K11"/>
    <mergeCell ref="J12:K12"/>
    <mergeCell ref="I13:K13"/>
  </mergeCells>
  <dataValidations count="4">
    <dataValidation allowBlank="true" error="Допускается ввод только неотрицательных чисел!" errorStyle="stop" errorTitle="Ошибка" operator="between" showDropDown="false" showErrorMessage="true" showInputMessage="false" sqref="L2:P2 L16:P16 L19:P29 L32:P33" type="decimal">
      <formula1>0</formula1>
      <formula2>9.99999999999999E+023</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L17:P1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L30:P31" type="whole">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15:P15 L34:P34"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4" min="1" style="42" width="10.57"/>
    <col collapsed="false" customWidth="true" hidden="true" outlineLevel="0" max="5" min="5" style="50" width="9.14"/>
    <col collapsed="false" customWidth="true" hidden="true" outlineLevel="0" max="7" min="6" style="45" width="9.14"/>
    <col collapsed="false" customWidth="true" hidden="false" outlineLevel="0" max="8" min="8" style="411" width="3"/>
    <col collapsed="false" customWidth="true" hidden="false" outlineLevel="0" max="9" min="9" style="42" width="6"/>
    <col collapsed="false" customWidth="true" hidden="false" outlineLevel="0" max="10" min="10" style="42" width="63"/>
    <col collapsed="false" customWidth="true" hidden="false" outlineLevel="0" max="11" min="11" style="42" width="9"/>
    <col collapsed="false" customWidth="true" hidden="false" outlineLevel="0" max="12" min="12" style="42" width="39"/>
    <col collapsed="false" customWidth="true" hidden="false" outlineLevel="0" max="13" min="13" style="42" width="89"/>
    <col collapsed="false" customWidth="true" hidden="false" outlineLevel="0" max="14" min="14" style="42" width="10"/>
    <col collapsed="false" customWidth="true" hidden="false" outlineLevel="0" max="16" min="15" style="118" width="10"/>
    <col collapsed="false" customWidth="true" hidden="false" outlineLevel="0" max="22" min="17" style="42" width="10"/>
    <col collapsed="false" customWidth="false" hidden="true" outlineLevel="0" max="23" min="23" style="42" width="10.57"/>
  </cols>
  <sheetData>
    <row r="1" customFormat="false" ht="22.5" hidden="true" customHeight="true" outlineLevel="0" collapsed="false">
      <c r="S1" s="720"/>
      <c r="T1" s="720"/>
      <c r="V1" s="720"/>
      <c r="W1" s="42" t="s">
        <v>14</v>
      </c>
    </row>
    <row r="2" customFormat="false" ht="22.5" hidden="true" customHeight="true" outlineLevel="0" collapsed="false">
      <c r="B2" s="701" t="s">
        <v>718</v>
      </c>
      <c r="C2" s="701" t="s">
        <v>719</v>
      </c>
      <c r="D2" s="702" t="s">
        <v>658</v>
      </c>
      <c r="E2" s="703" t="n">
        <f aca="false">I2-3</f>
        <v>-3</v>
      </c>
      <c r="F2" s="703" t="n">
        <f aca="false">J2</f>
        <v>0</v>
      </c>
      <c r="H2" s="721" t="s">
        <v>103</v>
      </c>
      <c r="I2" s="295"/>
      <c r="J2" s="330"/>
      <c r="K2" s="716" t="s">
        <v>319</v>
      </c>
      <c r="L2" s="403"/>
      <c r="M2" s="722"/>
      <c r="N2" s="118"/>
      <c r="P2" s="42"/>
      <c r="W2" s="42" t="n">
        <v>0</v>
      </c>
    </row>
    <row r="3" customFormat="false" ht="14.25" hidden="true" customHeight="true" outlineLevel="0" collapsed="false">
      <c r="W3" s="42" t="n">
        <v>0</v>
      </c>
    </row>
    <row r="4" customFormat="false" ht="6" hidden="false" customHeight="true" outlineLevel="0" collapsed="false">
      <c r="H4" s="464"/>
      <c r="I4" s="80"/>
      <c r="J4" s="80"/>
      <c r="K4" s="80"/>
      <c r="L4" s="723"/>
      <c r="M4" s="723"/>
      <c r="W4" s="42" t="n">
        <v>6</v>
      </c>
    </row>
    <row r="5" customFormat="false" ht="50.25" hidden="false" customHeight="true" outlineLevel="0" collapsed="false">
      <c r="H5" s="464"/>
      <c r="I5" s="386" t="s">
        <v>720</v>
      </c>
      <c r="J5" s="386"/>
      <c r="K5" s="386"/>
      <c r="L5" s="386"/>
      <c r="M5" s="221"/>
      <c r="W5" s="42" t="n">
        <v>48</v>
      </c>
    </row>
    <row r="6" customFormat="false" ht="18" hidden="false" customHeight="true" outlineLevel="0" collapsed="false">
      <c r="H6" s="464"/>
      <c r="I6" s="261" t="str">
        <f aca="false">IF(org=0,"Не определено",org)</f>
        <v>ООО "Газпром теплоэнерго Ярославль"</v>
      </c>
      <c r="J6" s="261"/>
      <c r="K6" s="261"/>
      <c r="L6" s="261"/>
      <c r="M6" s="221"/>
      <c r="W6" s="42" t="n">
        <v>17</v>
      </c>
    </row>
    <row r="7" customFormat="false" ht="14.25" hidden="false" customHeight="true" outlineLevel="0" collapsed="false">
      <c r="H7" s="464"/>
      <c r="I7" s="80"/>
      <c r="J7" s="72"/>
      <c r="K7" s="72"/>
      <c r="L7" s="292"/>
      <c r="M7" s="724"/>
      <c r="W7" s="42" t="n">
        <v>14</v>
      </c>
    </row>
    <row r="8" customFormat="false" ht="14.25" hidden="false" customHeight="true" outlineLevel="0" collapsed="false">
      <c r="H8" s="464"/>
      <c r="I8" s="391" t="s">
        <v>313</v>
      </c>
      <c r="J8" s="391"/>
      <c r="K8" s="391"/>
      <c r="L8" s="391"/>
      <c r="M8" s="725" t="s">
        <v>314</v>
      </c>
      <c r="W8" s="42" t="n">
        <v>14</v>
      </c>
    </row>
    <row r="9" customFormat="false" ht="35.25" hidden="false" customHeight="true" outlineLevel="0" collapsed="false">
      <c r="E9" s="704" t="s">
        <v>649</v>
      </c>
      <c r="F9" s="704" t="s">
        <v>655</v>
      </c>
      <c r="H9" s="464"/>
      <c r="I9" s="391" t="s">
        <v>87</v>
      </c>
      <c r="J9" s="185" t="s">
        <v>315</v>
      </c>
      <c r="K9" s="357" t="s">
        <v>579</v>
      </c>
      <c r="L9" s="185" t="s">
        <v>316</v>
      </c>
      <c r="M9" s="725"/>
      <c r="W9" s="42" t="n">
        <v>34</v>
      </c>
    </row>
    <row r="10" customFormat="false" ht="35.25" hidden="false" customHeight="true" outlineLevel="0" collapsed="false">
      <c r="B10" s="701" t="s">
        <v>721</v>
      </c>
      <c r="C10" s="701" t="s">
        <v>722</v>
      </c>
      <c r="D10" s="702" t="s">
        <v>658</v>
      </c>
      <c r="E10" s="703" t="s">
        <v>659</v>
      </c>
      <c r="F10" s="703" t="s">
        <v>659</v>
      </c>
      <c r="H10" s="464"/>
      <c r="I10" s="295" t="s">
        <v>120</v>
      </c>
      <c r="J10" s="376" t="s">
        <v>723</v>
      </c>
      <c r="K10" s="716" t="s">
        <v>319</v>
      </c>
      <c r="L10" s="668"/>
      <c r="M10" s="722" t="s">
        <v>724</v>
      </c>
      <c r="W10" s="42" t="n">
        <v>34</v>
      </c>
    </row>
    <row r="11" customFormat="false" ht="50.25" hidden="false" customHeight="true" outlineLevel="0" collapsed="false">
      <c r="B11" s="701" t="s">
        <v>725</v>
      </c>
      <c r="C11" s="701" t="s">
        <v>726</v>
      </c>
      <c r="D11" s="702" t="s">
        <v>658</v>
      </c>
      <c r="E11" s="703" t="s">
        <v>659</v>
      </c>
      <c r="F11" s="703" t="s">
        <v>659</v>
      </c>
      <c r="H11" s="464"/>
      <c r="I11" s="295" t="s">
        <v>102</v>
      </c>
      <c r="J11" s="376" t="s">
        <v>727</v>
      </c>
      <c r="K11" s="716" t="s">
        <v>319</v>
      </c>
      <c r="L11" s="668"/>
      <c r="M11" s="722" t="s">
        <v>724</v>
      </c>
      <c r="W11" s="42" t="n">
        <v>48</v>
      </c>
    </row>
    <row r="12" customFormat="false" ht="48" hidden="false" customHeight="true" outlineLevel="0" collapsed="false">
      <c r="B12" s="701" t="s">
        <v>728</v>
      </c>
      <c r="C12" s="701" t="s">
        <v>729</v>
      </c>
      <c r="D12" s="702" t="s">
        <v>658</v>
      </c>
      <c r="E12" s="703" t="s">
        <v>659</v>
      </c>
      <c r="F12" s="703" t="s">
        <v>659</v>
      </c>
      <c r="H12" s="329"/>
      <c r="I12" s="295" t="s">
        <v>89</v>
      </c>
      <c r="J12" s="726" t="s">
        <v>730</v>
      </c>
      <c r="K12" s="716" t="s">
        <v>319</v>
      </c>
      <c r="L12" s="668"/>
      <c r="M12" s="722" t="s">
        <v>731</v>
      </c>
      <c r="N12" s="118"/>
      <c r="P12" s="42"/>
      <c r="W12" s="42" t="n">
        <v>46</v>
      </c>
    </row>
    <row r="13" customFormat="false" ht="14.25" hidden="false" customHeight="true" outlineLevel="0" collapsed="false">
      <c r="E13" s="132"/>
      <c r="H13" s="464"/>
      <c r="I13" s="727"/>
      <c r="J13" s="168" t="s">
        <v>732</v>
      </c>
      <c r="K13" s="219"/>
      <c r="L13" s="728"/>
      <c r="M13" s="722"/>
      <c r="W13" s="42" t="n">
        <v>14</v>
      </c>
    </row>
    <row r="14" customFormat="false" ht="14.25" hidden="false" customHeight="true" outlineLevel="0" collapsed="false">
      <c r="E14" s="132"/>
      <c r="H14" s="464"/>
      <c r="I14" s="670"/>
      <c r="J14" s="729"/>
      <c r="K14" s="730"/>
      <c r="L14" s="731"/>
      <c r="M14" s="488"/>
      <c r="W14" s="42" t="n">
        <v>14</v>
      </c>
    </row>
    <row r="15" customFormat="false" ht="14.25" hidden="false" customHeight="true" outlineLevel="0" collapsed="false">
      <c r="I15" s="409"/>
      <c r="J15" s="488"/>
      <c r="K15" s="488"/>
      <c r="L15" s="488"/>
      <c r="M15" s="488"/>
      <c r="W15" s="42" t="n">
        <v>14</v>
      </c>
    </row>
    <row r="16" customFormat="false" ht="21" hidden="true" customHeight="true" outlineLevel="0" collapsed="false">
      <c r="A16" s="50" t="s">
        <v>81</v>
      </c>
      <c r="B16" s="42" t="n">
        <v>9</v>
      </c>
      <c r="C16" s="42" t="n">
        <v>9</v>
      </c>
      <c r="D16" s="42" t="n">
        <v>9</v>
      </c>
      <c r="E16" s="50" t="s">
        <v>163</v>
      </c>
      <c r="F16" s="50" t="s">
        <v>163</v>
      </c>
      <c r="G16" s="50"/>
      <c r="H16" s="411" t="n">
        <v>3</v>
      </c>
      <c r="I16" s="42" t="n">
        <v>6</v>
      </c>
      <c r="J16" s="42" t="n">
        <v>63</v>
      </c>
      <c r="K16" s="42" t="n">
        <v>9</v>
      </c>
      <c r="L16" s="42" t="n">
        <v>39</v>
      </c>
      <c r="M16" s="42" t="n">
        <v>89</v>
      </c>
      <c r="N16" s="42" t="n">
        <v>10</v>
      </c>
      <c r="O16" s="118" t="n">
        <v>10</v>
      </c>
      <c r="P16" s="118" t="n">
        <v>10</v>
      </c>
      <c r="Q16" s="42" t="n">
        <v>10</v>
      </c>
      <c r="R16" s="42" t="n">
        <v>10</v>
      </c>
      <c r="S16" s="42" t="n">
        <v>10</v>
      </c>
      <c r="T16" s="42" t="n">
        <v>10</v>
      </c>
      <c r="U16" s="42" t="n">
        <v>10</v>
      </c>
      <c r="V16" s="42" t="n">
        <v>10</v>
      </c>
      <c r="W16" s="42" t="n">
        <v>23</v>
      </c>
    </row>
  </sheetData>
  <mergeCells count="5">
    <mergeCell ref="I5:L5"/>
    <mergeCell ref="I6:L6"/>
    <mergeCell ref="I8:L8"/>
    <mergeCell ref="M8:M9"/>
    <mergeCell ref="J15:M15"/>
  </mergeCells>
  <dataValidations count="2">
    <dataValidation allowBlank="true" error="Допускается ввод не более 900 символов!" errorStyle="stop" errorTitle="Ошибка" operator="lessThanOrEqual" showDropDown="false" showErrorMessage="true" showInputMessage="true" sqref="J2 M10"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false" showErrorMessage="true" showInputMessage="true" sqref="L2 L10:L12"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I2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L9" activeCellId="0" sqref="L9"/>
    </sheetView>
  </sheetViews>
  <sheetFormatPr defaultColWidth="9.14453125" defaultRowHeight="11.25" zeroHeight="false" outlineLevelRow="0" outlineLevelCol="0"/>
  <cols>
    <col collapsed="false" customWidth="true" hidden="true" outlineLevel="0" max="1" min="1" style="598" width="10.71"/>
    <col collapsed="false" customWidth="true" hidden="true" outlineLevel="0" max="2" min="2" style="45" width="16.85"/>
    <col collapsed="false" customWidth="true" hidden="true" outlineLevel="0" max="3" min="3" style="47" width="5.57"/>
    <col collapsed="false" customWidth="true" hidden="false" outlineLevel="0" max="4" min="4" style="42" width="3"/>
    <col collapsed="false" customWidth="true" hidden="false" outlineLevel="0" max="5" min="5" style="42" width="7"/>
    <col collapsed="false" customWidth="true" hidden="false" outlineLevel="0" max="6" min="6" style="42" width="56"/>
    <col collapsed="false" customWidth="true" hidden="false" outlineLevel="0" max="7" min="7" style="42" width="10"/>
    <col collapsed="false" customWidth="true" hidden="true" outlineLevel="0" max="8" min="8" style="42" width="40.71"/>
    <col collapsed="false" customWidth="true" hidden="false" outlineLevel="0" max="9" min="9" style="42" width="40"/>
    <col collapsed="false" customWidth="true" hidden="false" outlineLevel="0" max="12" min="10" style="42" width="40.71"/>
    <col collapsed="false" customWidth="true" hidden="false" outlineLevel="0" max="13" min="13" style="42" width="102"/>
    <col collapsed="false" customWidth="true" hidden="false" outlineLevel="0" max="14" min="14" style="45" width="9"/>
    <col collapsed="false" customWidth="true" hidden="false" outlineLevel="0" max="15" min="15" style="47" width="5"/>
    <col collapsed="false" customWidth="true" hidden="false" outlineLevel="0" max="16" min="16" style="47" width="3"/>
    <col collapsed="false" customWidth="true" hidden="false" outlineLevel="0" max="20" min="17" style="45" width="3"/>
    <col collapsed="false" customWidth="true" hidden="false" outlineLevel="0" max="21" min="21" style="47" width="10"/>
    <col collapsed="false" customWidth="true" hidden="false" outlineLevel="0" max="22" min="22" style="45" width="34"/>
    <col collapsed="false" customWidth="true" hidden="false" outlineLevel="0" max="23" min="23" style="45" width="9"/>
    <col collapsed="false" customWidth="true" hidden="false" outlineLevel="0" max="24" min="24" style="599" width="8"/>
    <col collapsed="false" customWidth="true" hidden="false" outlineLevel="0" max="34" min="25" style="45" width="8"/>
    <col collapsed="false" customWidth="true" hidden="true" outlineLevel="0" max="35" min="35" style="42" width="10.42"/>
  </cols>
  <sheetData>
    <row r="1" s="45" customFormat="true" ht="22.5" hidden="true" customHeight="true" outlineLevel="0" collapsed="false">
      <c r="A1" s="598"/>
      <c r="C1" s="47"/>
      <c r="H1" s="45" t="n">
        <v>4</v>
      </c>
      <c r="I1" s="45" t="n">
        <v>4</v>
      </c>
      <c r="J1" s="45" t="n">
        <v>4</v>
      </c>
      <c r="K1" s="45" t="n">
        <v>4</v>
      </c>
      <c r="L1" s="45" t="n">
        <v>4</v>
      </c>
      <c r="O1" s="47"/>
      <c r="P1" s="47"/>
      <c r="U1" s="47"/>
      <c r="AI1" s="45" t="s">
        <v>14</v>
      </c>
    </row>
    <row r="2" s="45" customFormat="true" ht="22.5" hidden="true" customHeight="true" outlineLevel="0" collapsed="false">
      <c r="A2" s="598"/>
      <c r="C2" s="47"/>
      <c r="D2" s="607"/>
      <c r="E2" s="146"/>
      <c r="F2" s="148"/>
      <c r="G2" s="146" t="s">
        <v>565</v>
      </c>
      <c r="H2" s="435"/>
      <c r="I2" s="435"/>
      <c r="J2" s="435"/>
      <c r="K2" s="435"/>
      <c r="L2" s="435"/>
      <c r="M2" s="608" t="s">
        <v>733</v>
      </c>
      <c r="N2" s="602"/>
      <c r="O2" s="47"/>
      <c r="P2" s="47"/>
      <c r="U2" s="47"/>
      <c r="X2" s="599"/>
      <c r="AI2" s="45" t="n">
        <v>0</v>
      </c>
    </row>
    <row r="3" customFormat="false" ht="11.25" hidden="true" customHeight="true" outlineLevel="0" collapsed="false">
      <c r="AI3" s="42" t="n">
        <v>0</v>
      </c>
    </row>
    <row r="4" s="45" customFormat="true" ht="11.25" hidden="true" customHeight="true" outlineLevel="0" collapsed="false">
      <c r="A4" s="598"/>
      <c r="C4" s="47"/>
      <c r="M4" s="45" t="n">
        <v>4</v>
      </c>
      <c r="O4" s="47"/>
      <c r="P4" s="47"/>
      <c r="U4" s="47"/>
      <c r="X4" s="599"/>
      <c r="AI4" s="45" t="n">
        <v>0</v>
      </c>
    </row>
    <row r="5" customFormat="false" ht="11.25" hidden="false" customHeight="true" outlineLevel="0" collapsed="false">
      <c r="AI5" s="42" t="n">
        <v>11</v>
      </c>
    </row>
    <row r="6" customFormat="false" ht="31.5" hidden="false" customHeight="true" outlineLevel="0" collapsed="false">
      <c r="E6" s="256" t="s">
        <v>734</v>
      </c>
      <c r="F6" s="256"/>
      <c r="G6" s="256"/>
      <c r="H6" s="256"/>
      <c r="I6" s="256"/>
      <c r="J6" s="256"/>
      <c r="K6" s="256"/>
      <c r="L6" s="256"/>
      <c r="M6" s="222"/>
      <c r="AI6" s="42" t="n">
        <v>30</v>
      </c>
    </row>
    <row r="7" customFormat="false" ht="11.25" hidden="false" customHeight="true" outlineLevel="0" collapsed="false">
      <c r="E7" s="261" t="str">
        <f aca="false">IF(org=0,"Не определено",org)</f>
        <v>ООО "Газпром теплоэнерго Ярославль"</v>
      </c>
      <c r="F7" s="261"/>
      <c r="G7" s="261"/>
      <c r="H7" s="261"/>
      <c r="I7" s="261"/>
      <c r="J7" s="611"/>
      <c r="K7" s="611"/>
      <c r="L7" s="611"/>
      <c r="AI7" s="42" t="n">
        <v>11</v>
      </c>
    </row>
    <row r="8" customFormat="false" ht="11.25" hidden="false" customHeight="true" outlineLevel="0" collapsed="false">
      <c r="E8" s="612"/>
      <c r="F8" s="612"/>
      <c r="G8" s="612"/>
      <c r="H8" s="612"/>
      <c r="I8" s="612"/>
      <c r="J8" s="612"/>
      <c r="K8" s="612"/>
      <c r="L8" s="612"/>
      <c r="AI8" s="42" t="n">
        <v>11</v>
      </c>
    </row>
    <row r="9" s="47" customFormat="true" ht="3.75" hidden="false" customHeight="true" outlineLevel="0" collapsed="false">
      <c r="A9" s="456"/>
      <c r="H9" s="613"/>
      <c r="I9" s="613" t="s">
        <v>127</v>
      </c>
      <c r="J9" s="613" t="s">
        <v>131</v>
      </c>
      <c r="K9" s="613" t="s">
        <v>132</v>
      </c>
      <c r="L9" s="613" t="s">
        <v>134</v>
      </c>
      <c r="AI9" s="47" t="n">
        <v>4</v>
      </c>
    </row>
    <row r="10" customFormat="false" ht="11.25" hidden="false" customHeight="true" outlineLevel="0" collapsed="false">
      <c r="E10" s="614"/>
      <c r="F10" s="615" t="s">
        <v>116</v>
      </c>
      <c r="G10" s="615"/>
      <c r="H10" s="616" t="str">
        <f aca="false">IF(H9="","",INDEX(DIFFERENTIATION_UNMERGE_VD,MATCH(H9,DIFFERENTIATION_ID_DIFF,0)))</f>
        <v/>
      </c>
      <c r="I10" s="616" t="str">
        <f aca="false">IF(I9="","",INDEX(DIFFERENTIATION_UNMERGE_VD,MATCH(I9,DIFFERENTIATION_ID_DIFF,0)))</f>
        <v>Производство тепловой энергии. Некомбинированная выработка</v>
      </c>
      <c r="J10" s="616" t="str">
        <f aca="false">IF(J9="","",INDEX(DIFFERENTIATION_UNMERGE_VD,MATCH(J9,DIFFERENTIATION_ID_DIFF,0)))</f>
        <v>Производство тепловой энергии. Некомбинированная выработка</v>
      </c>
      <c r="K10" s="616" t="str">
        <f aca="false">IF(K9="","",INDEX(DIFFERENTIATION_UNMERGE_VD,MATCH(K9,DIFFERENTIATION_ID_DIFF,0)))</f>
        <v>Производство тепловой энергии. Некомбинированная выработка</v>
      </c>
      <c r="L10" s="616" t="str">
        <f aca="false">IF(L9="","",INDEX(DIFFERENTIATION_UNMERGE_VD,MATCH(L9,DIFFERENTIATION_ID_DIFF,0)))</f>
        <v>Производство. Теплоноситель</v>
      </c>
      <c r="M10" s="134"/>
      <c r="AI10" s="42" t="n">
        <v>11</v>
      </c>
    </row>
    <row r="11" customFormat="false" ht="11.25" hidden="false" customHeight="true" outlineLevel="0" collapsed="false">
      <c r="E11" s="614"/>
      <c r="F11" s="615" t="s">
        <v>577</v>
      </c>
      <c r="G11" s="615"/>
      <c r="H11" s="616" t="str">
        <f aca="false">IF(H9="","",INDEX(DIFFERENTIATION_UNMERGE_AREA,MATCH(H9,DIFFERENTIATION_ID_DIFF,0)))</f>
        <v/>
      </c>
      <c r="I11" s="616" t="str">
        <f aca="false">IF(I9="","",INDEX(DIFFERENTIATION_UNMERGE_AREA,MATCH(I9,DIFFERENTIATION_ID_DIFF,0)))</f>
        <v>Территория 1</v>
      </c>
      <c r="J11" s="616" t="str">
        <f aca="false">IF(J9="","",INDEX(DIFFERENTIATION_UNMERGE_AREA,MATCH(J9,DIFFERENTIATION_ID_DIFF,0)))</f>
        <v>Территория 2</v>
      </c>
      <c r="K11" s="616" t="str">
        <f aca="false">IF(K9="","",INDEX(DIFFERENTIATION_UNMERGE_AREA,MATCH(K9,DIFFERENTIATION_ID_DIFF,0)))</f>
        <v>Территория 3</v>
      </c>
      <c r="L11" s="616" t="str">
        <f aca="false">IF(L9="","",INDEX(DIFFERENTIATION_UNMERGE_AREA,MATCH(L9,DIFFERENTIATION_ID_DIFF,0)))</f>
        <v>Территория 1</v>
      </c>
      <c r="M11" s="134"/>
      <c r="AI11" s="42" t="n">
        <v>11</v>
      </c>
    </row>
    <row r="12" customFormat="false" ht="0.75" hidden="false" customHeight="true" outlineLevel="0" collapsed="false">
      <c r="E12" s="706"/>
      <c r="F12" s="732" t="s">
        <v>578</v>
      </c>
      <c r="G12" s="732"/>
      <c r="H12" s="733" t="str">
        <f aca="false">IF(H9="","",INDEX(DIFFERENTIATION_UNMERGE_SYSTEM,MATCH(H9,DIFFERENTIATION_ID_DIFF,0)))</f>
        <v/>
      </c>
      <c r="I12" s="733" t="str">
        <f aca="false">IF(I9="","",INDEX(DIFFERENTIATION_UNMERGE_SYSTEM,MATCH(I9,DIFFERENTIATION_ID_DIFF,0)))</f>
        <v>без дифференциации</v>
      </c>
      <c r="J12" s="733" t="str">
        <f aca="false">IF(J9="","",INDEX(DIFFERENTIATION_UNMERGE_SYSTEM,MATCH(J9,DIFFERENTIATION_ID_DIFF,0)))</f>
        <v>без дифференциации</v>
      </c>
      <c r="K12" s="733" t="str">
        <f aca="false">IF(K9="","",INDEX(DIFFERENTIATION_UNMERGE_SYSTEM,MATCH(K9,DIFFERENTIATION_ID_DIFF,0)))</f>
        <v>без дифференциации</v>
      </c>
      <c r="L12" s="733" t="str">
        <f aca="false">IF(L9="","",INDEX(DIFFERENTIATION_UNMERGE_SYSTEM,MATCH(L9,DIFFERENTIATION_ID_DIFF,0)))</f>
        <v>без дифференциации</v>
      </c>
      <c r="M12" s="134"/>
      <c r="AI12" s="42" t="n">
        <v>1</v>
      </c>
    </row>
    <row r="13" customFormat="false" ht="11.25" hidden="false" customHeight="true" outlineLevel="0" collapsed="false">
      <c r="E13" s="617" t="s">
        <v>313</v>
      </c>
      <c r="F13" s="617"/>
      <c r="G13" s="617"/>
      <c r="H13" s="618"/>
      <c r="I13" s="618"/>
      <c r="J13" s="618"/>
      <c r="K13" s="618"/>
      <c r="L13" s="618"/>
      <c r="M13" s="134"/>
      <c r="AI13" s="42" t="n">
        <v>11</v>
      </c>
    </row>
    <row r="14" customFormat="false" ht="24" hidden="false" customHeight="true" outlineLevel="0" collapsed="false">
      <c r="E14" s="146" t="s">
        <v>87</v>
      </c>
      <c r="F14" s="146" t="s">
        <v>315</v>
      </c>
      <c r="G14" s="146" t="s">
        <v>579</v>
      </c>
      <c r="H14" s="146" t="s">
        <v>316</v>
      </c>
      <c r="I14" s="146" t="s">
        <v>316</v>
      </c>
      <c r="J14" s="146" t="s">
        <v>316</v>
      </c>
      <c r="K14" s="146" t="s">
        <v>316</v>
      </c>
      <c r="L14" s="146" t="s">
        <v>316</v>
      </c>
      <c r="M14" s="134"/>
      <c r="AI14" s="42" t="n">
        <v>23</v>
      </c>
    </row>
    <row r="15" customFormat="false" ht="19.5" hidden="false" customHeight="true" outlineLevel="0" collapsed="false">
      <c r="D15" s="114"/>
      <c r="E15" s="709" t="s">
        <v>120</v>
      </c>
      <c r="F15" s="619" t="s">
        <v>735</v>
      </c>
      <c r="G15" s="146" t="s">
        <v>565</v>
      </c>
      <c r="H15" s="620"/>
      <c r="I15" s="620"/>
      <c r="J15" s="620"/>
      <c r="K15" s="620"/>
      <c r="L15" s="620"/>
      <c r="M15" s="417" t="s">
        <v>736</v>
      </c>
      <c r="N15" s="602" t="s">
        <v>661</v>
      </c>
      <c r="AI15" s="42" t="n">
        <v>19</v>
      </c>
    </row>
    <row r="16" customFormat="false" ht="35.25" hidden="false" customHeight="true" outlineLevel="0" collapsed="false">
      <c r="D16" s="114"/>
      <c r="E16" s="709" t="s">
        <v>102</v>
      </c>
      <c r="F16" s="619" t="s">
        <v>737</v>
      </c>
      <c r="G16" s="146" t="s">
        <v>565</v>
      </c>
      <c r="H16" s="621" t="n">
        <f aca="false">SUM(H17,H20,H23,H26,H29:H32,H35)</f>
        <v>0</v>
      </c>
      <c r="I16" s="621" t="n">
        <f aca="false">SUM(I17,I20,I23,I26,I29:I32,I35)</f>
        <v>0</v>
      </c>
      <c r="J16" s="621" t="n">
        <f aca="false">SUM(J17,J20,J23,J26,J29:J32,J35)</f>
        <v>0</v>
      </c>
      <c r="K16" s="621" t="n">
        <f aca="false">SUM(K17,K20,K23,K26,K29:K32,K35)</f>
        <v>0</v>
      </c>
      <c r="L16" s="621" t="n">
        <f aca="false">SUM(L17,L20,L23,L26,L29:L32,L35)</f>
        <v>0</v>
      </c>
      <c r="M16" s="417" t="s">
        <v>738</v>
      </c>
      <c r="N16" s="602" t="s">
        <v>661</v>
      </c>
      <c r="AI16" s="42" t="n">
        <v>34</v>
      </c>
    </row>
    <row r="17" customFormat="false" ht="19.5" hidden="false" customHeight="true" outlineLevel="0" collapsed="false">
      <c r="D17" s="114"/>
      <c r="E17" s="715" t="s">
        <v>739</v>
      </c>
      <c r="F17" s="568" t="s">
        <v>740</v>
      </c>
      <c r="G17" s="209" t="s">
        <v>565</v>
      </c>
      <c r="H17" s="620"/>
      <c r="I17" s="620"/>
      <c r="J17" s="620"/>
      <c r="K17" s="620"/>
      <c r="L17" s="620"/>
      <c r="M17" s="417" t="s">
        <v>741</v>
      </c>
      <c r="N17" s="602"/>
      <c r="AI17" s="42" t="n">
        <v>19</v>
      </c>
    </row>
    <row r="18" customFormat="false" ht="24" hidden="false" customHeight="true" outlineLevel="0" collapsed="false">
      <c r="D18" s="114"/>
      <c r="E18" s="715" t="s">
        <v>742</v>
      </c>
      <c r="F18" s="636" t="s">
        <v>743</v>
      </c>
      <c r="G18" s="209" t="s">
        <v>565</v>
      </c>
      <c r="H18" s="620"/>
      <c r="I18" s="620"/>
      <c r="J18" s="620"/>
      <c r="K18" s="620"/>
      <c r="L18" s="620"/>
      <c r="M18" s="417" t="s">
        <v>744</v>
      </c>
      <c r="N18" s="602"/>
      <c r="AI18" s="42" t="n">
        <v>23</v>
      </c>
    </row>
    <row r="19" customFormat="false" ht="35.25" hidden="false" customHeight="true" outlineLevel="0" collapsed="false">
      <c r="D19" s="114"/>
      <c r="E19" s="715" t="s">
        <v>745</v>
      </c>
      <c r="F19" s="636" t="s">
        <v>746</v>
      </c>
      <c r="G19" s="209" t="s">
        <v>565</v>
      </c>
      <c r="H19" s="620"/>
      <c r="I19" s="620"/>
      <c r="J19" s="620"/>
      <c r="K19" s="620"/>
      <c r="L19" s="620"/>
      <c r="M19" s="417"/>
      <c r="N19" s="602"/>
      <c r="AI19" s="42" t="n">
        <v>34</v>
      </c>
    </row>
    <row r="20" customFormat="false" ht="19.5" hidden="false" customHeight="true" outlineLevel="0" collapsed="false">
      <c r="D20" s="114"/>
      <c r="E20" s="715" t="s">
        <v>320</v>
      </c>
      <c r="F20" s="568" t="s">
        <v>747</v>
      </c>
      <c r="G20" s="209" t="s">
        <v>565</v>
      </c>
      <c r="H20" s="620"/>
      <c r="I20" s="620"/>
      <c r="J20" s="620"/>
      <c r="K20" s="620"/>
      <c r="L20" s="620"/>
      <c r="M20" s="417" t="s">
        <v>748</v>
      </c>
      <c r="N20" s="602"/>
      <c r="AI20" s="42" t="n">
        <v>19</v>
      </c>
    </row>
    <row r="21" customFormat="false" ht="19.5" hidden="false" customHeight="true" outlineLevel="0" collapsed="false">
      <c r="D21" s="114"/>
      <c r="E21" s="715" t="s">
        <v>749</v>
      </c>
      <c r="F21" s="636" t="s">
        <v>750</v>
      </c>
      <c r="G21" s="209" t="s">
        <v>565</v>
      </c>
      <c r="H21" s="620"/>
      <c r="I21" s="620"/>
      <c r="J21" s="620"/>
      <c r="K21" s="620"/>
      <c r="L21" s="620"/>
      <c r="M21" s="417"/>
      <c r="N21" s="602"/>
      <c r="AI21" s="42" t="n">
        <v>19</v>
      </c>
    </row>
    <row r="22" customFormat="false" ht="19.5" hidden="false" customHeight="true" outlineLevel="0" collapsed="false">
      <c r="D22" s="114"/>
      <c r="E22" s="715" t="s">
        <v>751</v>
      </c>
      <c r="F22" s="636" t="s">
        <v>752</v>
      </c>
      <c r="G22" s="209" t="s">
        <v>565</v>
      </c>
      <c r="H22" s="620"/>
      <c r="I22" s="620"/>
      <c r="J22" s="620"/>
      <c r="K22" s="620"/>
      <c r="L22" s="620"/>
      <c r="M22" s="417"/>
      <c r="N22" s="602"/>
      <c r="AI22" s="42" t="n">
        <v>19</v>
      </c>
    </row>
    <row r="23" customFormat="false" ht="24" hidden="false" customHeight="true" outlineLevel="0" collapsed="false">
      <c r="D23" s="114"/>
      <c r="E23" s="715" t="s">
        <v>323</v>
      </c>
      <c r="F23" s="568" t="s">
        <v>753</v>
      </c>
      <c r="G23" s="209" t="s">
        <v>565</v>
      </c>
      <c r="H23" s="620"/>
      <c r="I23" s="620"/>
      <c r="J23" s="620"/>
      <c r="K23" s="620"/>
      <c r="L23" s="620"/>
      <c r="M23" s="417" t="s">
        <v>754</v>
      </c>
      <c r="N23" s="602"/>
      <c r="AI23" s="42" t="n">
        <v>23</v>
      </c>
    </row>
    <row r="24" customFormat="false" ht="19.5" hidden="false" customHeight="true" outlineLevel="0" collapsed="false">
      <c r="D24" s="114"/>
      <c r="E24" s="715" t="s">
        <v>755</v>
      </c>
      <c r="F24" s="636" t="s">
        <v>756</v>
      </c>
      <c r="G24" s="209" t="s">
        <v>565</v>
      </c>
      <c r="H24" s="620"/>
      <c r="I24" s="620"/>
      <c r="J24" s="620"/>
      <c r="K24" s="620"/>
      <c r="L24" s="620"/>
      <c r="M24" s="417"/>
      <c r="N24" s="602"/>
      <c r="AI24" s="42" t="n">
        <v>19</v>
      </c>
    </row>
    <row r="25" customFormat="false" ht="35.25" hidden="false" customHeight="true" outlineLevel="0" collapsed="false">
      <c r="D25" s="114"/>
      <c r="E25" s="715" t="s">
        <v>757</v>
      </c>
      <c r="F25" s="636" t="s">
        <v>758</v>
      </c>
      <c r="G25" s="209" t="s">
        <v>565</v>
      </c>
      <c r="H25" s="620"/>
      <c r="I25" s="620"/>
      <c r="J25" s="620"/>
      <c r="K25" s="620"/>
      <c r="L25" s="620"/>
      <c r="M25" s="417"/>
      <c r="N25" s="602"/>
      <c r="AI25" s="42" t="n">
        <v>34</v>
      </c>
    </row>
    <row r="26" customFormat="false" ht="24" hidden="false" customHeight="true" outlineLevel="0" collapsed="false">
      <c r="D26" s="114"/>
      <c r="E26" s="715" t="s">
        <v>759</v>
      </c>
      <c r="F26" s="568" t="s">
        <v>760</v>
      </c>
      <c r="G26" s="209" t="s">
        <v>565</v>
      </c>
      <c r="H26" s="620"/>
      <c r="I26" s="620"/>
      <c r="J26" s="620"/>
      <c r="K26" s="620"/>
      <c r="L26" s="620"/>
      <c r="M26" s="417" t="s">
        <v>761</v>
      </c>
      <c r="N26" s="602"/>
      <c r="AI26" s="42" t="n">
        <v>23</v>
      </c>
    </row>
    <row r="27" customFormat="false" ht="19.5" hidden="false" customHeight="true" outlineLevel="0" collapsed="false">
      <c r="D27" s="114"/>
      <c r="E27" s="718" t="s">
        <v>762</v>
      </c>
      <c r="F27" s="636" t="s">
        <v>763</v>
      </c>
      <c r="G27" s="209" t="s">
        <v>565</v>
      </c>
      <c r="H27" s="713"/>
      <c r="I27" s="713"/>
      <c r="J27" s="713"/>
      <c r="K27" s="713"/>
      <c r="L27" s="713"/>
      <c r="M27" s="417"/>
      <c r="N27" s="602"/>
      <c r="AI27" s="42" t="n">
        <v>19</v>
      </c>
    </row>
    <row r="28" customFormat="false" ht="19.5" hidden="false" customHeight="true" outlineLevel="0" collapsed="false">
      <c r="D28" s="114"/>
      <c r="E28" s="718" t="s">
        <v>764</v>
      </c>
      <c r="F28" s="636" t="s">
        <v>765</v>
      </c>
      <c r="G28" s="209" t="s">
        <v>565</v>
      </c>
      <c r="H28" s="713"/>
      <c r="I28" s="713"/>
      <c r="J28" s="713"/>
      <c r="K28" s="713"/>
      <c r="L28" s="713"/>
      <c r="M28" s="417"/>
      <c r="N28" s="602"/>
      <c r="AI28" s="42" t="n">
        <v>19</v>
      </c>
    </row>
    <row r="29" customFormat="false" ht="19.5" hidden="false" customHeight="true" outlineLevel="0" collapsed="false">
      <c r="D29" s="114"/>
      <c r="E29" s="718" t="s">
        <v>766</v>
      </c>
      <c r="F29" s="568" t="s">
        <v>767</v>
      </c>
      <c r="G29" s="209" t="s">
        <v>565</v>
      </c>
      <c r="H29" s="713"/>
      <c r="I29" s="713"/>
      <c r="J29" s="713"/>
      <c r="K29" s="713"/>
      <c r="L29" s="713"/>
      <c r="M29" s="417"/>
      <c r="N29" s="602"/>
      <c r="AI29" s="42" t="n">
        <v>19</v>
      </c>
    </row>
    <row r="30" customFormat="false" ht="19.5" hidden="false" customHeight="true" outlineLevel="0" collapsed="false">
      <c r="D30" s="114"/>
      <c r="E30" s="718" t="s">
        <v>768</v>
      </c>
      <c r="F30" s="568" t="s">
        <v>769</v>
      </c>
      <c r="G30" s="209" t="s">
        <v>565</v>
      </c>
      <c r="H30" s="713"/>
      <c r="I30" s="713"/>
      <c r="J30" s="713"/>
      <c r="K30" s="713"/>
      <c r="L30" s="713"/>
      <c r="M30" s="417"/>
      <c r="N30" s="602"/>
      <c r="AI30" s="42" t="n">
        <v>19</v>
      </c>
    </row>
    <row r="31" customFormat="false" ht="19.5" hidden="false" customHeight="true" outlineLevel="0" collapsed="false">
      <c r="D31" s="114"/>
      <c r="E31" s="718" t="s">
        <v>770</v>
      </c>
      <c r="F31" s="568" t="s">
        <v>771</v>
      </c>
      <c r="G31" s="209" t="s">
        <v>565</v>
      </c>
      <c r="H31" s="713"/>
      <c r="I31" s="713"/>
      <c r="J31" s="713"/>
      <c r="K31" s="713"/>
      <c r="L31" s="713"/>
      <c r="M31" s="417"/>
      <c r="N31" s="602"/>
      <c r="AI31" s="42" t="n">
        <v>19</v>
      </c>
    </row>
    <row r="32" s="45" customFormat="true" ht="35.25" hidden="false" customHeight="true" outlineLevel="0" collapsed="false">
      <c r="A32" s="598"/>
      <c r="C32" s="47"/>
      <c r="D32" s="114"/>
      <c r="E32" s="718" t="s">
        <v>772</v>
      </c>
      <c r="F32" s="568" t="s">
        <v>773</v>
      </c>
      <c r="G32" s="262" t="s">
        <v>565</v>
      </c>
      <c r="H32" s="643" t="n">
        <f aca="false">SUM(H33:H34)</f>
        <v>0</v>
      </c>
      <c r="I32" s="643" t="n">
        <f aca="false">SUM(I33:I34)</f>
        <v>0</v>
      </c>
      <c r="J32" s="643" t="n">
        <f aca="false">SUM(J33:J34)</f>
        <v>0</v>
      </c>
      <c r="K32" s="643" t="n">
        <f aca="false">SUM(K33:K34)</f>
        <v>0</v>
      </c>
      <c r="L32" s="643" t="n">
        <f aca="false">SUM(L33:L34)</f>
        <v>0</v>
      </c>
      <c r="M32" s="417" t="s">
        <v>774</v>
      </c>
      <c r="N32" s="602"/>
      <c r="O32" s="47"/>
      <c r="P32" s="47"/>
      <c r="U32" s="47"/>
      <c r="X32" s="599"/>
      <c r="AI32" s="45" t="n">
        <v>34</v>
      </c>
    </row>
    <row r="33" s="47" customFormat="true" ht="0.75" hidden="false" customHeight="true" outlineLevel="0" collapsed="false">
      <c r="A33" s="456"/>
      <c r="D33" s="456"/>
      <c r="E33" s="147" t="str">
        <f aca="false">E32&amp;".0"</f>
        <v>2.8.0</v>
      </c>
      <c r="F33" s="644"/>
      <c r="G33" s="147"/>
      <c r="H33" s="645"/>
      <c r="I33" s="645"/>
      <c r="J33" s="645"/>
      <c r="K33" s="645"/>
      <c r="L33" s="645"/>
      <c r="M33" s="646"/>
      <c r="AI33" s="47" t="n">
        <v>1</v>
      </c>
    </row>
    <row r="34" s="45" customFormat="true" ht="19.5" hidden="false" customHeight="true" outlineLevel="0" collapsed="false">
      <c r="A34" s="598"/>
      <c r="C34" s="47"/>
      <c r="D34" s="117"/>
      <c r="E34" s="633"/>
      <c r="F34" s="734" t="s">
        <v>604</v>
      </c>
      <c r="G34" s="634"/>
      <c r="H34" s="635"/>
      <c r="I34" s="635"/>
      <c r="J34" s="635"/>
      <c r="K34" s="635"/>
      <c r="L34" s="635"/>
      <c r="M34" s="475" t="s">
        <v>775</v>
      </c>
      <c r="N34" s="602"/>
      <c r="O34" s="47"/>
      <c r="P34" s="47"/>
      <c r="U34" s="47"/>
      <c r="X34" s="599"/>
      <c r="AI34" s="45" t="n">
        <v>19</v>
      </c>
    </row>
    <row r="35" customFormat="false" ht="60" hidden="false" customHeight="true" outlineLevel="0" collapsed="false">
      <c r="D35" s="114"/>
      <c r="E35" s="718" t="s">
        <v>776</v>
      </c>
      <c r="F35" s="568" t="s">
        <v>777</v>
      </c>
      <c r="G35" s="209" t="s">
        <v>565</v>
      </c>
      <c r="H35" s="713"/>
      <c r="I35" s="713"/>
      <c r="J35" s="713"/>
      <c r="K35" s="713"/>
      <c r="L35" s="713"/>
      <c r="M35" s="417" t="s">
        <v>778</v>
      </c>
      <c r="N35" s="602"/>
      <c r="AI35" s="42" t="n">
        <v>57</v>
      </c>
    </row>
    <row r="36" s="45" customFormat="true" ht="24" hidden="false" customHeight="true" outlineLevel="0" collapsed="false">
      <c r="A36" s="638" t="s">
        <v>605</v>
      </c>
      <c r="C36" s="47"/>
      <c r="D36" s="114"/>
      <c r="E36" s="715" t="s">
        <v>89</v>
      </c>
      <c r="F36" s="619" t="s">
        <v>779</v>
      </c>
      <c r="G36" s="209" t="s">
        <v>565</v>
      </c>
      <c r="H36" s="620"/>
      <c r="I36" s="620"/>
      <c r="J36" s="620"/>
      <c r="K36" s="620"/>
      <c r="L36" s="620"/>
      <c r="M36" s="417" t="s">
        <v>780</v>
      </c>
      <c r="N36" s="602"/>
      <c r="O36" s="47"/>
      <c r="P36" s="47"/>
      <c r="U36" s="47"/>
      <c r="X36" s="599"/>
      <c r="AI36" s="45" t="n">
        <v>23</v>
      </c>
    </row>
    <row r="37" s="45" customFormat="true" ht="35.25" hidden="false" customHeight="true" outlineLevel="0" collapsed="false">
      <c r="A37" s="638"/>
      <c r="C37" s="47"/>
      <c r="D37" s="114"/>
      <c r="E37" s="715" t="s">
        <v>337</v>
      </c>
      <c r="F37" s="568" t="s">
        <v>781</v>
      </c>
      <c r="G37" s="209"/>
      <c r="H37" s="620"/>
      <c r="I37" s="620"/>
      <c r="J37" s="620"/>
      <c r="K37" s="620"/>
      <c r="L37" s="620"/>
      <c r="M37" s="417"/>
      <c r="N37" s="602"/>
      <c r="O37" s="47"/>
      <c r="P37" s="47"/>
      <c r="U37" s="47"/>
      <c r="X37" s="599"/>
      <c r="AI37" s="45" t="n">
        <v>34</v>
      </c>
    </row>
    <row r="38" s="45" customFormat="true" ht="19.5" hidden="false" customHeight="true" outlineLevel="0" collapsed="false">
      <c r="A38" s="598"/>
      <c r="C38" s="47"/>
      <c r="D38" s="639"/>
      <c r="E38" s="715" t="s">
        <v>90</v>
      </c>
      <c r="F38" s="619" t="s">
        <v>782</v>
      </c>
      <c r="G38" s="209" t="s">
        <v>565</v>
      </c>
      <c r="H38" s="620"/>
      <c r="I38" s="620"/>
      <c r="J38" s="620"/>
      <c r="K38" s="620"/>
      <c r="L38" s="620"/>
      <c r="M38" s="417" t="s">
        <v>783</v>
      </c>
      <c r="N38" s="602"/>
      <c r="O38" s="47"/>
      <c r="P38" s="47"/>
      <c r="U38" s="47"/>
      <c r="X38" s="599"/>
      <c r="AI38" s="45" t="n">
        <v>19</v>
      </c>
    </row>
    <row r="39" s="45" customFormat="true" ht="24" hidden="false" customHeight="true" outlineLevel="0" collapsed="false">
      <c r="A39" s="598"/>
      <c r="C39" s="47"/>
      <c r="D39" s="639"/>
      <c r="E39" s="715" t="s">
        <v>784</v>
      </c>
      <c r="F39" s="568" t="s">
        <v>785</v>
      </c>
      <c r="G39" s="209" t="s">
        <v>565</v>
      </c>
      <c r="H39" s="620"/>
      <c r="I39" s="620"/>
      <c r="J39" s="620"/>
      <c r="K39" s="620"/>
      <c r="L39" s="620"/>
      <c r="M39" s="417" t="s">
        <v>786</v>
      </c>
      <c r="N39" s="602"/>
      <c r="O39" s="47"/>
      <c r="P39" s="47"/>
      <c r="U39" s="47"/>
      <c r="X39" s="599"/>
      <c r="AI39" s="45" t="n">
        <v>23</v>
      </c>
    </row>
    <row r="40" s="45" customFormat="true" ht="24" hidden="false" customHeight="true" outlineLevel="0" collapsed="false">
      <c r="A40" s="598"/>
      <c r="C40" s="47"/>
      <c r="D40" s="114"/>
      <c r="E40" s="715" t="s">
        <v>787</v>
      </c>
      <c r="F40" s="636" t="s">
        <v>788</v>
      </c>
      <c r="G40" s="209" t="s">
        <v>565</v>
      </c>
      <c r="H40" s="620"/>
      <c r="I40" s="620"/>
      <c r="J40" s="620"/>
      <c r="K40" s="620"/>
      <c r="L40" s="620"/>
      <c r="M40" s="417" t="s">
        <v>789</v>
      </c>
      <c r="N40" s="602"/>
      <c r="O40" s="47"/>
      <c r="P40" s="47"/>
      <c r="U40" s="47"/>
      <c r="X40" s="599"/>
      <c r="AI40" s="45" t="n">
        <v>23</v>
      </c>
    </row>
    <row r="41" s="45" customFormat="true" ht="24" hidden="false" customHeight="true" outlineLevel="0" collapsed="false">
      <c r="A41" s="598"/>
      <c r="C41" s="47"/>
      <c r="D41" s="114"/>
      <c r="E41" s="715" t="s">
        <v>790</v>
      </c>
      <c r="F41" s="636" t="s">
        <v>791</v>
      </c>
      <c r="G41" s="209" t="s">
        <v>565</v>
      </c>
      <c r="H41" s="620"/>
      <c r="I41" s="620"/>
      <c r="J41" s="620"/>
      <c r="K41" s="620"/>
      <c r="L41" s="620"/>
      <c r="M41" s="417" t="s">
        <v>792</v>
      </c>
      <c r="N41" s="602"/>
      <c r="O41" s="47"/>
      <c r="P41" s="47"/>
      <c r="U41" s="47"/>
      <c r="X41" s="599"/>
      <c r="AI41" s="45" t="n">
        <v>23</v>
      </c>
    </row>
    <row r="42" s="45" customFormat="true" ht="24" hidden="false" customHeight="true" outlineLevel="0" collapsed="false">
      <c r="A42" s="598"/>
      <c r="C42" s="47"/>
      <c r="D42" s="114"/>
      <c r="E42" s="715" t="s">
        <v>793</v>
      </c>
      <c r="F42" s="636" t="s">
        <v>794</v>
      </c>
      <c r="G42" s="209" t="s">
        <v>565</v>
      </c>
      <c r="H42" s="620"/>
      <c r="I42" s="620"/>
      <c r="J42" s="620"/>
      <c r="K42" s="620"/>
      <c r="L42" s="620"/>
      <c r="M42" s="417" t="s">
        <v>795</v>
      </c>
      <c r="N42" s="602"/>
      <c r="O42" s="47"/>
      <c r="P42" s="47"/>
      <c r="U42" s="47"/>
      <c r="X42" s="599"/>
      <c r="AI42" s="45" t="n">
        <v>23</v>
      </c>
    </row>
    <row r="43" s="45" customFormat="true" ht="35.25" hidden="false" customHeight="true" outlineLevel="0" collapsed="false">
      <c r="A43" s="598"/>
      <c r="C43" s="47" t="s">
        <v>616</v>
      </c>
      <c r="D43" s="114"/>
      <c r="E43" s="715" t="s">
        <v>121</v>
      </c>
      <c r="F43" s="619" t="s">
        <v>660</v>
      </c>
      <c r="G43" s="146" t="s">
        <v>796</v>
      </c>
      <c r="H43" s="403"/>
      <c r="I43" s="403"/>
      <c r="J43" s="403"/>
      <c r="K43" s="403"/>
      <c r="L43" s="403"/>
      <c r="M43" s="417" t="s">
        <v>797</v>
      </c>
      <c r="N43" s="602"/>
      <c r="O43" s="47"/>
      <c r="P43" s="47"/>
      <c r="U43" s="47"/>
      <c r="X43" s="599"/>
      <c r="AI43" s="45" t="n">
        <v>34</v>
      </c>
    </row>
    <row r="44" s="45" customFormat="true" ht="35.25" hidden="false" customHeight="true" outlineLevel="0" collapsed="false">
      <c r="A44" s="598"/>
      <c r="C44" s="47"/>
      <c r="D44" s="114"/>
      <c r="E44" s="715" t="s">
        <v>91</v>
      </c>
      <c r="F44" s="619" t="s">
        <v>798</v>
      </c>
      <c r="G44" s="209" t="s">
        <v>799</v>
      </c>
      <c r="H44" s="609"/>
      <c r="I44" s="609"/>
      <c r="J44" s="609"/>
      <c r="K44" s="609"/>
      <c r="L44" s="609"/>
      <c r="M44" s="417" t="s">
        <v>800</v>
      </c>
      <c r="N44" s="602"/>
      <c r="O44" s="47"/>
      <c r="P44" s="47"/>
      <c r="U44" s="47"/>
      <c r="X44" s="599"/>
      <c r="AI44" s="45" t="n">
        <v>34</v>
      </c>
    </row>
    <row r="45" s="45" customFormat="true" ht="24" hidden="false" customHeight="true" outlineLevel="0" collapsed="false">
      <c r="A45" s="598"/>
      <c r="C45" s="47"/>
      <c r="D45" s="114"/>
      <c r="E45" s="715" t="s">
        <v>92</v>
      </c>
      <c r="F45" s="619" t="s">
        <v>801</v>
      </c>
      <c r="G45" s="209" t="s">
        <v>802</v>
      </c>
      <c r="H45" s="609"/>
      <c r="I45" s="609"/>
      <c r="J45" s="609"/>
      <c r="K45" s="609"/>
      <c r="L45" s="609"/>
      <c r="M45" s="417" t="s">
        <v>803</v>
      </c>
      <c r="N45" s="602"/>
      <c r="O45" s="47"/>
      <c r="P45" s="47"/>
      <c r="U45" s="47"/>
      <c r="X45" s="599"/>
      <c r="AI45" s="45" t="n">
        <v>23</v>
      </c>
    </row>
    <row r="46" s="45" customFormat="true" ht="19.5" hidden="false" customHeight="true" outlineLevel="0" collapsed="false">
      <c r="A46" s="598"/>
      <c r="C46" s="47"/>
      <c r="D46" s="114"/>
      <c r="E46" s="715" t="s">
        <v>122</v>
      </c>
      <c r="F46" s="619" t="s">
        <v>804</v>
      </c>
      <c r="G46" s="209" t="s">
        <v>618</v>
      </c>
      <c r="H46" s="640"/>
      <c r="I46" s="640"/>
      <c r="J46" s="640"/>
      <c r="K46" s="640"/>
      <c r="L46" s="640"/>
      <c r="M46" s="417"/>
      <c r="N46" s="602"/>
      <c r="O46" s="47"/>
      <c r="P46" s="47"/>
      <c r="U46" s="47"/>
      <c r="X46" s="599"/>
      <c r="AI46" s="45" t="n">
        <v>19</v>
      </c>
    </row>
    <row r="47" customFormat="false" ht="11.25" hidden="false" customHeight="true" outlineLevel="0" collapsed="false">
      <c r="D47" s="114"/>
      <c r="AI47" s="42" t="n">
        <v>11</v>
      </c>
    </row>
    <row r="48" s="120" customFormat="true" ht="11.25" hidden="false" customHeight="true" outlineLevel="0" collapsed="false">
      <c r="A48" s="598"/>
      <c r="B48" s="47"/>
      <c r="C48" s="47"/>
      <c r="N48" s="45"/>
      <c r="O48" s="47"/>
      <c r="P48" s="47"/>
      <c r="Q48" s="45"/>
      <c r="R48" s="45"/>
      <c r="S48" s="45"/>
      <c r="T48" s="45"/>
      <c r="U48" s="47"/>
      <c r="V48" s="45"/>
      <c r="W48" s="45"/>
      <c r="X48" s="599"/>
      <c r="Y48" s="45"/>
      <c r="Z48" s="45"/>
      <c r="AA48" s="45"/>
      <c r="AB48" s="45"/>
      <c r="AC48" s="45"/>
      <c r="AD48" s="45"/>
      <c r="AE48" s="47"/>
      <c r="AF48" s="47"/>
      <c r="AG48" s="47"/>
      <c r="AH48" s="47"/>
      <c r="AI48" s="120" t="n">
        <v>11</v>
      </c>
    </row>
    <row r="49" s="120" customFormat="true" ht="11.25" hidden="false" customHeight="true" outlineLevel="0" collapsed="false">
      <c r="A49" s="598"/>
      <c r="B49" s="47"/>
      <c r="C49" s="47"/>
      <c r="N49" s="45"/>
      <c r="O49" s="47"/>
      <c r="P49" s="47"/>
      <c r="Q49" s="45"/>
      <c r="R49" s="45"/>
      <c r="S49" s="45"/>
      <c r="T49" s="45"/>
      <c r="U49" s="47"/>
      <c r="V49" s="45"/>
      <c r="W49" s="45"/>
      <c r="X49" s="599"/>
      <c r="Y49" s="45"/>
      <c r="Z49" s="45"/>
      <c r="AA49" s="45"/>
      <c r="AB49" s="45"/>
      <c r="AC49" s="45"/>
      <c r="AD49" s="45"/>
      <c r="AE49" s="47"/>
      <c r="AF49" s="47"/>
      <c r="AG49" s="47"/>
      <c r="AH49" s="47"/>
      <c r="AI49" s="120" t="n">
        <v>11</v>
      </c>
    </row>
    <row r="50" s="120" customFormat="true" ht="11.25" hidden="false" customHeight="true" outlineLevel="0" collapsed="false">
      <c r="A50" s="598"/>
      <c r="B50" s="47"/>
      <c r="C50" s="47"/>
      <c r="H50" s="47"/>
      <c r="I50" s="47"/>
      <c r="J50" s="47"/>
      <c r="K50" s="47"/>
      <c r="L50" s="47"/>
      <c r="N50" s="45"/>
      <c r="O50" s="47"/>
      <c r="P50" s="47"/>
      <c r="Q50" s="45"/>
      <c r="R50" s="45"/>
      <c r="S50" s="45"/>
      <c r="T50" s="45"/>
      <c r="U50" s="47"/>
      <c r="V50" s="45"/>
      <c r="W50" s="45"/>
      <c r="X50" s="599"/>
      <c r="Y50" s="45"/>
      <c r="Z50" s="45"/>
      <c r="AA50" s="45"/>
      <c r="AB50" s="45"/>
      <c r="AC50" s="45"/>
      <c r="AD50" s="45"/>
      <c r="AE50" s="47"/>
      <c r="AF50" s="47"/>
      <c r="AG50" s="47"/>
      <c r="AH50" s="47"/>
      <c r="AI50" s="120" t="n">
        <v>11</v>
      </c>
    </row>
    <row r="51" s="120" customFormat="true" ht="11.25" hidden="false" customHeight="true" outlineLevel="0" collapsed="false">
      <c r="A51" s="598"/>
      <c r="B51" s="47"/>
      <c r="C51" s="47"/>
      <c r="N51" s="45"/>
      <c r="O51" s="47"/>
      <c r="P51" s="47"/>
      <c r="Q51" s="45"/>
      <c r="R51" s="45"/>
      <c r="S51" s="45"/>
      <c r="T51" s="45"/>
      <c r="U51" s="47"/>
      <c r="V51" s="45"/>
      <c r="W51" s="45"/>
      <c r="X51" s="599"/>
      <c r="Y51" s="45"/>
      <c r="Z51" s="45"/>
      <c r="AA51" s="45"/>
      <c r="AB51" s="45"/>
      <c r="AC51" s="45"/>
      <c r="AD51" s="45"/>
      <c r="AE51" s="47"/>
      <c r="AF51" s="47"/>
      <c r="AG51" s="47"/>
      <c r="AH51" s="47"/>
      <c r="AI51" s="120" t="n">
        <v>11</v>
      </c>
    </row>
    <row r="52" s="120" customFormat="true" ht="11.25" hidden="false" customHeight="true" outlineLevel="0" collapsed="false">
      <c r="A52" s="598"/>
      <c r="B52" s="47"/>
      <c r="C52" s="47"/>
      <c r="N52" s="45"/>
      <c r="O52" s="47"/>
      <c r="P52" s="47"/>
      <c r="Q52" s="45"/>
      <c r="R52" s="45"/>
      <c r="S52" s="45"/>
      <c r="T52" s="45"/>
      <c r="U52" s="47"/>
      <c r="V52" s="45"/>
      <c r="W52" s="45"/>
      <c r="X52" s="599"/>
      <c r="Y52" s="45"/>
      <c r="Z52" s="45"/>
      <c r="AA52" s="45"/>
      <c r="AB52" s="45"/>
      <c r="AC52" s="45"/>
      <c r="AD52" s="45"/>
      <c r="AE52" s="47"/>
      <c r="AF52" s="47"/>
      <c r="AG52" s="47"/>
      <c r="AH52" s="47"/>
      <c r="AI52" s="120" t="n">
        <v>11</v>
      </c>
    </row>
    <row r="53" s="120" customFormat="true" ht="11.25" hidden="false" customHeight="true" outlineLevel="0" collapsed="false">
      <c r="A53" s="598"/>
      <c r="B53" s="47"/>
      <c r="C53" s="47"/>
      <c r="N53" s="45"/>
      <c r="O53" s="47"/>
      <c r="P53" s="47"/>
      <c r="Q53" s="45"/>
      <c r="R53" s="45"/>
      <c r="S53" s="45"/>
      <c r="T53" s="45"/>
      <c r="U53" s="47"/>
      <c r="V53" s="45"/>
      <c r="W53" s="45"/>
      <c r="X53" s="599"/>
      <c r="Y53" s="45"/>
      <c r="Z53" s="45"/>
      <c r="AA53" s="45"/>
      <c r="AB53" s="45"/>
      <c r="AC53" s="45"/>
      <c r="AD53" s="45"/>
      <c r="AE53" s="47"/>
      <c r="AF53" s="47"/>
      <c r="AG53" s="47"/>
      <c r="AH53" s="47"/>
      <c r="AI53" s="120" t="n">
        <v>11</v>
      </c>
    </row>
    <row r="54" s="120" customFormat="true" ht="11.25" hidden="false" customHeight="true" outlineLevel="0" collapsed="false">
      <c r="A54" s="598"/>
      <c r="B54" s="47"/>
      <c r="C54" s="47"/>
      <c r="N54" s="45"/>
      <c r="O54" s="47"/>
      <c r="P54" s="47"/>
      <c r="Q54" s="45"/>
      <c r="R54" s="45"/>
      <c r="S54" s="45"/>
      <c r="T54" s="45"/>
      <c r="U54" s="47"/>
      <c r="V54" s="45"/>
      <c r="W54" s="45"/>
      <c r="X54" s="599"/>
      <c r="Y54" s="45"/>
      <c r="Z54" s="45"/>
      <c r="AA54" s="45"/>
      <c r="AB54" s="45"/>
      <c r="AC54" s="45"/>
      <c r="AD54" s="45"/>
      <c r="AE54" s="47"/>
      <c r="AF54" s="47"/>
      <c r="AG54" s="47"/>
      <c r="AH54" s="47"/>
      <c r="AI54" s="120" t="n">
        <v>11</v>
      </c>
    </row>
    <row r="55" s="120" customFormat="true" ht="11.25" hidden="false" customHeight="true" outlineLevel="0" collapsed="false">
      <c r="A55" s="598"/>
      <c r="B55" s="47"/>
      <c r="C55" s="47"/>
      <c r="N55" s="45"/>
      <c r="O55" s="47"/>
      <c r="P55" s="47"/>
      <c r="Q55" s="45"/>
      <c r="R55" s="45"/>
      <c r="S55" s="45"/>
      <c r="T55" s="45"/>
      <c r="U55" s="47"/>
      <c r="V55" s="45"/>
      <c r="W55" s="45"/>
      <c r="X55" s="599"/>
      <c r="Y55" s="45"/>
      <c r="Z55" s="45"/>
      <c r="AA55" s="45"/>
      <c r="AB55" s="45"/>
      <c r="AC55" s="45"/>
      <c r="AD55" s="45"/>
      <c r="AE55" s="47"/>
      <c r="AF55" s="47"/>
      <c r="AG55" s="47"/>
      <c r="AH55" s="47"/>
      <c r="AI55" s="120" t="n">
        <v>11</v>
      </c>
    </row>
    <row r="56" s="120" customFormat="true" ht="11.25" hidden="false" customHeight="true" outlineLevel="0" collapsed="false">
      <c r="A56" s="598"/>
      <c r="B56" s="47"/>
      <c r="C56" s="47"/>
      <c r="N56" s="45"/>
      <c r="O56" s="47"/>
      <c r="P56" s="47"/>
      <c r="Q56" s="45"/>
      <c r="R56" s="45"/>
      <c r="S56" s="45"/>
      <c r="T56" s="45"/>
      <c r="U56" s="47"/>
      <c r="V56" s="45"/>
      <c r="W56" s="45"/>
      <c r="X56" s="599"/>
      <c r="Y56" s="45"/>
      <c r="Z56" s="45"/>
      <c r="AA56" s="45"/>
      <c r="AB56" s="45"/>
      <c r="AC56" s="45"/>
      <c r="AD56" s="45"/>
      <c r="AE56" s="47"/>
      <c r="AF56" s="47"/>
      <c r="AG56" s="47"/>
      <c r="AH56" s="47"/>
      <c r="AI56" s="120" t="n">
        <v>11</v>
      </c>
    </row>
    <row r="57" s="120" customFormat="true" ht="11.25" hidden="false" customHeight="true" outlineLevel="0" collapsed="false">
      <c r="A57" s="598"/>
      <c r="B57" s="47"/>
      <c r="C57" s="47"/>
      <c r="N57" s="45"/>
      <c r="O57" s="47"/>
      <c r="P57" s="47"/>
      <c r="Q57" s="45"/>
      <c r="R57" s="45"/>
      <c r="S57" s="45"/>
      <c r="T57" s="45"/>
      <c r="U57" s="47"/>
      <c r="V57" s="45"/>
      <c r="W57" s="45"/>
      <c r="X57" s="599"/>
      <c r="Y57" s="45"/>
      <c r="Z57" s="45"/>
      <c r="AA57" s="45"/>
      <c r="AB57" s="45"/>
      <c r="AC57" s="45"/>
      <c r="AD57" s="45"/>
      <c r="AE57" s="47"/>
      <c r="AF57" s="47"/>
      <c r="AG57" s="47"/>
      <c r="AH57" s="47"/>
      <c r="AI57" s="120" t="n">
        <v>11</v>
      </c>
    </row>
    <row r="58" s="120" customFormat="true" ht="11.25" hidden="false" customHeight="true" outlineLevel="0" collapsed="false">
      <c r="A58" s="598"/>
      <c r="B58" s="47"/>
      <c r="C58" s="47"/>
      <c r="N58" s="45"/>
      <c r="O58" s="47"/>
      <c r="P58" s="47"/>
      <c r="Q58" s="45"/>
      <c r="R58" s="45"/>
      <c r="S58" s="45"/>
      <c r="T58" s="45"/>
      <c r="U58" s="47"/>
      <c r="V58" s="45"/>
      <c r="W58" s="45"/>
      <c r="X58" s="599"/>
      <c r="Y58" s="45"/>
      <c r="Z58" s="45"/>
      <c r="AA58" s="45"/>
      <c r="AB58" s="45"/>
      <c r="AC58" s="45"/>
      <c r="AD58" s="45"/>
      <c r="AE58" s="47"/>
      <c r="AF58" s="47"/>
      <c r="AG58" s="47"/>
      <c r="AH58" s="47"/>
      <c r="AI58" s="120" t="n">
        <v>11</v>
      </c>
    </row>
    <row r="59" s="120" customFormat="true" ht="11.25" hidden="false" customHeight="true" outlineLevel="0" collapsed="false">
      <c r="A59" s="598"/>
      <c r="B59" s="47"/>
      <c r="C59" s="47"/>
      <c r="N59" s="45"/>
      <c r="O59" s="47"/>
      <c r="P59" s="47"/>
      <c r="Q59" s="45"/>
      <c r="R59" s="45"/>
      <c r="S59" s="45"/>
      <c r="T59" s="45"/>
      <c r="U59" s="47"/>
      <c r="V59" s="45"/>
      <c r="W59" s="45"/>
      <c r="X59" s="599"/>
      <c r="Y59" s="45"/>
      <c r="Z59" s="45"/>
      <c r="AA59" s="45"/>
      <c r="AB59" s="45"/>
      <c r="AC59" s="45"/>
      <c r="AD59" s="45"/>
      <c r="AE59" s="47"/>
      <c r="AF59" s="47"/>
      <c r="AG59" s="47"/>
      <c r="AH59" s="47"/>
      <c r="AI59" s="120" t="n">
        <v>11</v>
      </c>
    </row>
    <row r="60" s="120" customFormat="true" ht="11.25" hidden="false" customHeight="true" outlineLevel="0" collapsed="false">
      <c r="A60" s="598"/>
      <c r="B60" s="47"/>
      <c r="C60" s="47"/>
      <c r="N60" s="45"/>
      <c r="O60" s="47"/>
      <c r="P60" s="47"/>
      <c r="Q60" s="45"/>
      <c r="R60" s="45"/>
      <c r="S60" s="45"/>
      <c r="T60" s="45"/>
      <c r="U60" s="47"/>
      <c r="V60" s="45"/>
      <c r="W60" s="45"/>
      <c r="X60" s="599"/>
      <c r="Y60" s="45"/>
      <c r="Z60" s="45"/>
      <c r="AA60" s="45"/>
      <c r="AB60" s="45"/>
      <c r="AC60" s="45"/>
      <c r="AD60" s="45"/>
      <c r="AE60" s="47"/>
      <c r="AF60" s="47"/>
      <c r="AG60" s="47"/>
      <c r="AH60" s="47"/>
      <c r="AI60" s="120" t="n">
        <v>11</v>
      </c>
    </row>
    <row r="61" s="120" customFormat="true" ht="11.25" hidden="false" customHeight="true" outlineLevel="0" collapsed="false">
      <c r="A61" s="598"/>
      <c r="B61" s="47"/>
      <c r="C61" s="47"/>
      <c r="N61" s="45"/>
      <c r="O61" s="47"/>
      <c r="P61" s="47"/>
      <c r="Q61" s="45"/>
      <c r="R61" s="45"/>
      <c r="S61" s="45"/>
      <c r="T61" s="45"/>
      <c r="U61" s="47"/>
      <c r="V61" s="45"/>
      <c r="W61" s="45"/>
      <c r="X61" s="599"/>
      <c r="Y61" s="45"/>
      <c r="Z61" s="45"/>
      <c r="AA61" s="45"/>
      <c r="AB61" s="45"/>
      <c r="AC61" s="45"/>
      <c r="AD61" s="45"/>
      <c r="AE61" s="47"/>
      <c r="AF61" s="47"/>
      <c r="AG61" s="47"/>
      <c r="AH61" s="47"/>
      <c r="AI61" s="120" t="n">
        <v>11</v>
      </c>
    </row>
    <row r="62" s="120" customFormat="true" ht="11.25" hidden="false" customHeight="true" outlineLevel="0" collapsed="false">
      <c r="A62" s="598"/>
      <c r="B62" s="47"/>
      <c r="C62" s="47"/>
      <c r="N62" s="45"/>
      <c r="O62" s="47"/>
      <c r="P62" s="47"/>
      <c r="Q62" s="45"/>
      <c r="R62" s="45"/>
      <c r="S62" s="45"/>
      <c r="T62" s="45"/>
      <c r="U62" s="47"/>
      <c r="V62" s="45"/>
      <c r="W62" s="45"/>
      <c r="X62" s="599"/>
      <c r="Y62" s="45"/>
      <c r="Z62" s="45"/>
      <c r="AA62" s="45"/>
      <c r="AB62" s="45"/>
      <c r="AC62" s="45"/>
      <c r="AD62" s="45"/>
      <c r="AE62" s="47"/>
      <c r="AF62" s="47"/>
      <c r="AG62" s="47"/>
      <c r="AH62" s="47"/>
      <c r="AI62" s="120" t="n">
        <v>11</v>
      </c>
    </row>
    <row r="63" s="120" customFormat="true" ht="11.25" hidden="false" customHeight="true" outlineLevel="0" collapsed="false">
      <c r="A63" s="598"/>
      <c r="B63" s="47"/>
      <c r="C63" s="47"/>
      <c r="N63" s="45"/>
      <c r="O63" s="47"/>
      <c r="P63" s="47"/>
      <c r="Q63" s="45"/>
      <c r="R63" s="45"/>
      <c r="S63" s="45"/>
      <c r="T63" s="45"/>
      <c r="U63" s="47"/>
      <c r="V63" s="45"/>
      <c r="W63" s="45"/>
      <c r="X63" s="599"/>
      <c r="Y63" s="45"/>
      <c r="Z63" s="45"/>
      <c r="AA63" s="45"/>
      <c r="AB63" s="45"/>
      <c r="AC63" s="45"/>
      <c r="AD63" s="45"/>
      <c r="AE63" s="47"/>
      <c r="AF63" s="47"/>
      <c r="AG63" s="47"/>
      <c r="AH63" s="47"/>
      <c r="AI63" s="120" t="n">
        <v>11</v>
      </c>
    </row>
    <row r="64" s="120" customFormat="true" ht="11.25" hidden="false" customHeight="true" outlineLevel="0" collapsed="false">
      <c r="A64" s="598"/>
      <c r="B64" s="47"/>
      <c r="C64" s="47"/>
      <c r="N64" s="45"/>
      <c r="O64" s="47"/>
      <c r="P64" s="47"/>
      <c r="Q64" s="45"/>
      <c r="R64" s="45"/>
      <c r="S64" s="45"/>
      <c r="T64" s="45"/>
      <c r="U64" s="47"/>
      <c r="V64" s="45"/>
      <c r="W64" s="45"/>
      <c r="X64" s="599"/>
      <c r="Y64" s="45"/>
      <c r="Z64" s="45"/>
      <c r="AA64" s="45"/>
      <c r="AB64" s="45"/>
      <c r="AC64" s="45"/>
      <c r="AD64" s="45"/>
      <c r="AE64" s="47"/>
      <c r="AF64" s="47"/>
      <c r="AG64" s="47"/>
      <c r="AH64" s="47"/>
      <c r="AI64" s="120" t="n">
        <v>11</v>
      </c>
    </row>
    <row r="65" s="120" customFormat="true" ht="11.25" hidden="false" customHeight="true" outlineLevel="0" collapsed="false">
      <c r="A65" s="598"/>
      <c r="B65" s="47"/>
      <c r="C65" s="47"/>
      <c r="N65" s="45"/>
      <c r="O65" s="47"/>
      <c r="P65" s="47"/>
      <c r="Q65" s="45"/>
      <c r="R65" s="45"/>
      <c r="S65" s="45"/>
      <c r="T65" s="45"/>
      <c r="U65" s="47"/>
      <c r="V65" s="45"/>
      <c r="W65" s="45"/>
      <c r="X65" s="599"/>
      <c r="Y65" s="45"/>
      <c r="Z65" s="45"/>
      <c r="AA65" s="45"/>
      <c r="AB65" s="45"/>
      <c r="AC65" s="45"/>
      <c r="AD65" s="45"/>
      <c r="AE65" s="47"/>
      <c r="AF65" s="47"/>
      <c r="AG65" s="47"/>
      <c r="AH65" s="47"/>
      <c r="AI65" s="120" t="n">
        <v>11</v>
      </c>
    </row>
    <row r="66" s="120" customFormat="true" ht="11.25" hidden="false" customHeight="true" outlineLevel="0" collapsed="false">
      <c r="A66" s="598"/>
      <c r="B66" s="47"/>
      <c r="C66" s="47"/>
      <c r="N66" s="45"/>
      <c r="O66" s="47"/>
      <c r="P66" s="47"/>
      <c r="Q66" s="45"/>
      <c r="R66" s="45"/>
      <c r="S66" s="45"/>
      <c r="T66" s="45"/>
      <c r="U66" s="47"/>
      <c r="V66" s="45"/>
      <c r="W66" s="45"/>
      <c r="X66" s="599"/>
      <c r="Y66" s="45"/>
      <c r="Z66" s="45"/>
      <c r="AA66" s="45"/>
      <c r="AB66" s="45"/>
      <c r="AC66" s="45"/>
      <c r="AD66" s="45"/>
      <c r="AE66" s="47"/>
      <c r="AF66" s="47"/>
      <c r="AG66" s="47"/>
      <c r="AH66" s="47"/>
      <c r="AI66" s="120" t="n">
        <v>11</v>
      </c>
    </row>
    <row r="67" s="120" customFormat="true" ht="11.25" hidden="false" customHeight="true" outlineLevel="0" collapsed="false">
      <c r="A67" s="598"/>
      <c r="B67" s="47"/>
      <c r="C67" s="47"/>
      <c r="N67" s="45"/>
      <c r="O67" s="47"/>
      <c r="P67" s="47"/>
      <c r="Q67" s="45"/>
      <c r="R67" s="45"/>
      <c r="S67" s="45"/>
      <c r="T67" s="45"/>
      <c r="U67" s="47"/>
      <c r="V67" s="45"/>
      <c r="W67" s="45"/>
      <c r="X67" s="599"/>
      <c r="Y67" s="45"/>
      <c r="Z67" s="45"/>
      <c r="AA67" s="45"/>
      <c r="AB67" s="45"/>
      <c r="AC67" s="45"/>
      <c r="AD67" s="45"/>
      <c r="AE67" s="47"/>
      <c r="AF67" s="47"/>
      <c r="AG67" s="47"/>
      <c r="AH67" s="47"/>
      <c r="AI67" s="120" t="n">
        <v>11</v>
      </c>
    </row>
    <row r="68" s="120" customFormat="true" ht="11.25" hidden="false" customHeight="true" outlineLevel="0" collapsed="false">
      <c r="A68" s="598"/>
      <c r="B68" s="47"/>
      <c r="C68" s="47"/>
      <c r="N68" s="45"/>
      <c r="O68" s="47"/>
      <c r="P68" s="47"/>
      <c r="Q68" s="45"/>
      <c r="R68" s="45"/>
      <c r="S68" s="45"/>
      <c r="T68" s="45"/>
      <c r="U68" s="47"/>
      <c r="V68" s="45"/>
      <c r="W68" s="45"/>
      <c r="X68" s="599"/>
      <c r="Y68" s="45"/>
      <c r="Z68" s="45"/>
      <c r="AA68" s="45"/>
      <c r="AB68" s="45"/>
      <c r="AC68" s="45"/>
      <c r="AD68" s="45"/>
      <c r="AE68" s="47"/>
      <c r="AF68" s="47"/>
      <c r="AG68" s="47"/>
      <c r="AH68" s="47"/>
      <c r="AI68" s="120" t="n">
        <v>11</v>
      </c>
    </row>
    <row r="69" s="120" customFormat="true" ht="11.25" hidden="false" customHeight="true" outlineLevel="0" collapsed="false">
      <c r="A69" s="598"/>
      <c r="B69" s="47"/>
      <c r="C69" s="47"/>
      <c r="N69" s="45"/>
      <c r="O69" s="47"/>
      <c r="P69" s="47"/>
      <c r="Q69" s="45"/>
      <c r="R69" s="45"/>
      <c r="S69" s="45"/>
      <c r="T69" s="45"/>
      <c r="U69" s="47"/>
      <c r="V69" s="45"/>
      <c r="W69" s="45"/>
      <c r="X69" s="599"/>
      <c r="Y69" s="45"/>
      <c r="Z69" s="45"/>
      <c r="AA69" s="45"/>
      <c r="AB69" s="45"/>
      <c r="AC69" s="45"/>
      <c r="AD69" s="45"/>
      <c r="AE69" s="47"/>
      <c r="AF69" s="47"/>
      <c r="AG69" s="47"/>
      <c r="AH69" s="47"/>
      <c r="AI69" s="120" t="n">
        <v>11</v>
      </c>
    </row>
    <row r="70" s="120" customFormat="true" ht="11.25" hidden="false" customHeight="true" outlineLevel="0" collapsed="false">
      <c r="A70" s="598"/>
      <c r="B70" s="47"/>
      <c r="C70" s="47"/>
      <c r="N70" s="45"/>
      <c r="O70" s="47"/>
      <c r="P70" s="47"/>
      <c r="Q70" s="45"/>
      <c r="R70" s="45"/>
      <c r="S70" s="45"/>
      <c r="T70" s="45"/>
      <c r="U70" s="47"/>
      <c r="V70" s="45"/>
      <c r="W70" s="45"/>
      <c r="X70" s="599"/>
      <c r="Y70" s="45"/>
      <c r="Z70" s="45"/>
      <c r="AA70" s="45"/>
      <c r="AB70" s="45"/>
      <c r="AC70" s="45"/>
      <c r="AD70" s="45"/>
      <c r="AE70" s="47"/>
      <c r="AF70" s="47"/>
      <c r="AG70" s="47"/>
      <c r="AH70" s="47"/>
      <c r="AI70" s="120" t="n">
        <v>11</v>
      </c>
    </row>
    <row r="71" s="120" customFormat="true" ht="11.25" hidden="false" customHeight="true" outlineLevel="0" collapsed="false">
      <c r="A71" s="598"/>
      <c r="B71" s="47"/>
      <c r="C71" s="47"/>
      <c r="N71" s="45"/>
      <c r="O71" s="47"/>
      <c r="P71" s="47"/>
      <c r="Q71" s="45"/>
      <c r="R71" s="45"/>
      <c r="S71" s="45"/>
      <c r="T71" s="45"/>
      <c r="U71" s="47"/>
      <c r="V71" s="45"/>
      <c r="W71" s="45"/>
      <c r="X71" s="599"/>
      <c r="Y71" s="45"/>
      <c r="Z71" s="45"/>
      <c r="AA71" s="45"/>
      <c r="AB71" s="45"/>
      <c r="AC71" s="45"/>
      <c r="AD71" s="45"/>
      <c r="AE71" s="47"/>
      <c r="AF71" s="47"/>
      <c r="AG71" s="47"/>
      <c r="AH71" s="47"/>
      <c r="AI71" s="120" t="n">
        <v>11</v>
      </c>
    </row>
    <row r="72" s="120" customFormat="true" ht="11.25" hidden="false" customHeight="true" outlineLevel="0" collapsed="false">
      <c r="A72" s="598"/>
      <c r="B72" s="47"/>
      <c r="C72" s="47"/>
      <c r="N72" s="45"/>
      <c r="O72" s="47"/>
      <c r="P72" s="47"/>
      <c r="Q72" s="45"/>
      <c r="R72" s="45"/>
      <c r="S72" s="45"/>
      <c r="T72" s="45"/>
      <c r="U72" s="47"/>
      <c r="V72" s="45"/>
      <c r="W72" s="45"/>
      <c r="X72" s="599"/>
      <c r="Y72" s="45"/>
      <c r="Z72" s="45"/>
      <c r="AA72" s="45"/>
      <c r="AB72" s="45"/>
      <c r="AC72" s="45"/>
      <c r="AD72" s="45"/>
      <c r="AE72" s="47"/>
      <c r="AF72" s="47"/>
      <c r="AG72" s="47"/>
      <c r="AH72" s="47"/>
      <c r="AI72" s="120" t="n">
        <v>11</v>
      </c>
    </row>
    <row r="73" s="120" customFormat="true" ht="11.25" hidden="false" customHeight="true" outlineLevel="0" collapsed="false">
      <c r="A73" s="598"/>
      <c r="B73" s="47"/>
      <c r="C73" s="47"/>
      <c r="N73" s="45"/>
      <c r="O73" s="47"/>
      <c r="P73" s="47"/>
      <c r="Q73" s="45"/>
      <c r="R73" s="45"/>
      <c r="S73" s="45"/>
      <c r="T73" s="45"/>
      <c r="U73" s="47"/>
      <c r="V73" s="45"/>
      <c r="W73" s="45"/>
      <c r="X73" s="599"/>
      <c r="Y73" s="45"/>
      <c r="Z73" s="45"/>
      <c r="AA73" s="45"/>
      <c r="AB73" s="45"/>
      <c r="AC73" s="45"/>
      <c r="AD73" s="45"/>
      <c r="AE73" s="47"/>
      <c r="AF73" s="47"/>
      <c r="AG73" s="47"/>
      <c r="AH73" s="47"/>
      <c r="AI73" s="120" t="n">
        <v>11</v>
      </c>
    </row>
    <row r="74" s="120" customFormat="true" ht="11.25" hidden="false" customHeight="true" outlineLevel="0" collapsed="false">
      <c r="A74" s="598"/>
      <c r="B74" s="47"/>
      <c r="C74" s="47"/>
      <c r="N74" s="45"/>
      <c r="O74" s="47"/>
      <c r="P74" s="47"/>
      <c r="Q74" s="45"/>
      <c r="R74" s="45"/>
      <c r="S74" s="45"/>
      <c r="T74" s="45"/>
      <c r="U74" s="47"/>
      <c r="V74" s="45"/>
      <c r="W74" s="45"/>
      <c r="X74" s="599"/>
      <c r="Y74" s="45"/>
      <c r="Z74" s="45"/>
      <c r="AA74" s="45"/>
      <c r="AB74" s="45"/>
      <c r="AC74" s="45"/>
      <c r="AD74" s="45"/>
      <c r="AE74" s="47"/>
      <c r="AF74" s="47"/>
      <c r="AG74" s="47"/>
      <c r="AH74" s="47"/>
      <c r="AI74" s="120" t="n">
        <v>11</v>
      </c>
    </row>
    <row r="75" s="120" customFormat="true" ht="11.25" hidden="false" customHeight="true" outlineLevel="0" collapsed="false">
      <c r="A75" s="598"/>
      <c r="B75" s="47"/>
      <c r="C75" s="47"/>
      <c r="N75" s="45"/>
      <c r="O75" s="47"/>
      <c r="P75" s="47"/>
      <c r="Q75" s="45"/>
      <c r="R75" s="45"/>
      <c r="S75" s="45"/>
      <c r="T75" s="45"/>
      <c r="U75" s="47"/>
      <c r="V75" s="45"/>
      <c r="W75" s="45"/>
      <c r="X75" s="599"/>
      <c r="Y75" s="45"/>
      <c r="Z75" s="45"/>
      <c r="AA75" s="45"/>
      <c r="AB75" s="45"/>
      <c r="AC75" s="45"/>
      <c r="AD75" s="45"/>
      <c r="AE75" s="47"/>
      <c r="AF75" s="47"/>
      <c r="AG75" s="47"/>
      <c r="AH75" s="47"/>
      <c r="AI75" s="120" t="n">
        <v>11</v>
      </c>
    </row>
    <row r="76" s="120" customFormat="true" ht="11.25" hidden="false" customHeight="true" outlineLevel="0" collapsed="false">
      <c r="A76" s="598"/>
      <c r="B76" s="47"/>
      <c r="C76" s="47"/>
      <c r="N76" s="45"/>
      <c r="O76" s="47"/>
      <c r="P76" s="47"/>
      <c r="Q76" s="45"/>
      <c r="R76" s="45"/>
      <c r="S76" s="45"/>
      <c r="T76" s="45"/>
      <c r="U76" s="47"/>
      <c r="V76" s="45"/>
      <c r="W76" s="45"/>
      <c r="X76" s="599"/>
      <c r="Y76" s="45"/>
      <c r="Z76" s="45"/>
      <c r="AA76" s="45"/>
      <c r="AB76" s="45"/>
      <c r="AC76" s="45"/>
      <c r="AD76" s="45"/>
      <c r="AE76" s="47"/>
      <c r="AF76" s="47"/>
      <c r="AG76" s="47"/>
      <c r="AH76" s="47"/>
      <c r="AI76" s="120" t="n">
        <v>11</v>
      </c>
    </row>
    <row r="77" s="120" customFormat="true" ht="11.25" hidden="false" customHeight="true" outlineLevel="0" collapsed="false">
      <c r="A77" s="598"/>
      <c r="B77" s="47"/>
      <c r="C77" s="47"/>
      <c r="N77" s="45"/>
      <c r="O77" s="47"/>
      <c r="P77" s="47"/>
      <c r="Q77" s="45"/>
      <c r="R77" s="45"/>
      <c r="S77" s="45"/>
      <c r="T77" s="45"/>
      <c r="U77" s="47"/>
      <c r="V77" s="45"/>
      <c r="W77" s="45"/>
      <c r="X77" s="599"/>
      <c r="Y77" s="45"/>
      <c r="Z77" s="45"/>
      <c r="AA77" s="45"/>
      <c r="AB77" s="45"/>
      <c r="AC77" s="45"/>
      <c r="AD77" s="45"/>
      <c r="AE77" s="47"/>
      <c r="AF77" s="47"/>
      <c r="AG77" s="47"/>
      <c r="AH77" s="47"/>
      <c r="AI77" s="120" t="n">
        <v>11</v>
      </c>
    </row>
    <row r="78" s="120" customFormat="true" ht="11.25" hidden="false" customHeight="true" outlineLevel="0" collapsed="false">
      <c r="A78" s="598"/>
      <c r="B78" s="47"/>
      <c r="C78" s="47"/>
      <c r="N78" s="45"/>
      <c r="O78" s="47"/>
      <c r="P78" s="47"/>
      <c r="Q78" s="45"/>
      <c r="R78" s="45"/>
      <c r="S78" s="45"/>
      <c r="T78" s="45"/>
      <c r="U78" s="47"/>
      <c r="V78" s="45"/>
      <c r="W78" s="45"/>
      <c r="X78" s="599"/>
      <c r="Y78" s="45"/>
      <c r="Z78" s="45"/>
      <c r="AA78" s="45"/>
      <c r="AB78" s="45"/>
      <c r="AC78" s="45"/>
      <c r="AD78" s="45"/>
      <c r="AE78" s="47"/>
      <c r="AF78" s="47"/>
      <c r="AG78" s="47"/>
      <c r="AH78" s="47"/>
      <c r="AI78" s="120" t="n">
        <v>11</v>
      </c>
    </row>
    <row r="79" s="120" customFormat="true" ht="11.25" hidden="false" customHeight="true" outlineLevel="0" collapsed="false">
      <c r="A79" s="598"/>
      <c r="B79" s="47"/>
      <c r="C79" s="47"/>
      <c r="N79" s="45"/>
      <c r="O79" s="47"/>
      <c r="P79" s="47"/>
      <c r="Q79" s="45"/>
      <c r="R79" s="45"/>
      <c r="S79" s="45"/>
      <c r="T79" s="45"/>
      <c r="U79" s="47"/>
      <c r="V79" s="45"/>
      <c r="W79" s="45"/>
      <c r="X79" s="599"/>
      <c r="Y79" s="45"/>
      <c r="Z79" s="45"/>
      <c r="AA79" s="45"/>
      <c r="AB79" s="45"/>
      <c r="AC79" s="45"/>
      <c r="AD79" s="45"/>
      <c r="AE79" s="47"/>
      <c r="AF79" s="47"/>
      <c r="AG79" s="47"/>
      <c r="AH79" s="47"/>
      <c r="AI79" s="120" t="n">
        <v>11</v>
      </c>
    </row>
    <row r="80" s="120" customFormat="true" ht="11.25" hidden="false" customHeight="true" outlineLevel="0" collapsed="false">
      <c r="A80" s="598"/>
      <c r="B80" s="47"/>
      <c r="C80" s="47"/>
      <c r="N80" s="45"/>
      <c r="O80" s="47"/>
      <c r="P80" s="47"/>
      <c r="Q80" s="45"/>
      <c r="R80" s="45"/>
      <c r="S80" s="45"/>
      <c r="T80" s="45"/>
      <c r="U80" s="47"/>
      <c r="V80" s="45"/>
      <c r="W80" s="45"/>
      <c r="X80" s="599"/>
      <c r="Y80" s="45"/>
      <c r="Z80" s="45"/>
      <c r="AA80" s="45"/>
      <c r="AB80" s="45"/>
      <c r="AC80" s="45"/>
      <c r="AD80" s="45"/>
      <c r="AE80" s="47"/>
      <c r="AF80" s="47"/>
      <c r="AG80" s="47"/>
      <c r="AH80" s="47"/>
      <c r="AI80" s="120" t="n">
        <v>11</v>
      </c>
    </row>
    <row r="81" s="120" customFormat="true" ht="11.25" hidden="false" customHeight="true" outlineLevel="0" collapsed="false">
      <c r="A81" s="598"/>
      <c r="B81" s="47"/>
      <c r="C81" s="47"/>
      <c r="N81" s="45"/>
      <c r="O81" s="47"/>
      <c r="P81" s="47"/>
      <c r="Q81" s="45"/>
      <c r="R81" s="45"/>
      <c r="S81" s="45"/>
      <c r="T81" s="45"/>
      <c r="U81" s="47"/>
      <c r="V81" s="45"/>
      <c r="W81" s="45"/>
      <c r="X81" s="599"/>
      <c r="Y81" s="45"/>
      <c r="Z81" s="45"/>
      <c r="AA81" s="45"/>
      <c r="AB81" s="45"/>
      <c r="AC81" s="45"/>
      <c r="AD81" s="45"/>
      <c r="AE81" s="47"/>
      <c r="AF81" s="47"/>
      <c r="AG81" s="47"/>
      <c r="AH81" s="47"/>
      <c r="AI81" s="120" t="n">
        <v>11</v>
      </c>
    </row>
    <row r="82" s="120" customFormat="true" ht="11.25" hidden="false" customHeight="true" outlineLevel="0" collapsed="false">
      <c r="A82" s="598"/>
      <c r="B82" s="47"/>
      <c r="C82" s="47"/>
      <c r="N82" s="45"/>
      <c r="O82" s="47"/>
      <c r="P82" s="47"/>
      <c r="Q82" s="45"/>
      <c r="R82" s="45"/>
      <c r="S82" s="45"/>
      <c r="T82" s="45"/>
      <c r="U82" s="47"/>
      <c r="V82" s="45"/>
      <c r="W82" s="45"/>
      <c r="X82" s="599"/>
      <c r="Y82" s="45"/>
      <c r="Z82" s="45"/>
      <c r="AA82" s="45"/>
      <c r="AB82" s="45"/>
      <c r="AC82" s="45"/>
      <c r="AD82" s="45"/>
      <c r="AE82" s="47"/>
      <c r="AF82" s="47"/>
      <c r="AG82" s="47"/>
      <c r="AH82" s="47"/>
      <c r="AI82" s="120" t="n">
        <v>11</v>
      </c>
    </row>
    <row r="83" s="120" customFormat="true" ht="11.25" hidden="false" customHeight="true" outlineLevel="0" collapsed="false">
      <c r="A83" s="598"/>
      <c r="B83" s="47"/>
      <c r="C83" s="47"/>
      <c r="N83" s="45"/>
      <c r="O83" s="47"/>
      <c r="P83" s="47"/>
      <c r="Q83" s="45"/>
      <c r="R83" s="45"/>
      <c r="S83" s="45"/>
      <c r="T83" s="45"/>
      <c r="U83" s="47"/>
      <c r="V83" s="45"/>
      <c r="W83" s="45"/>
      <c r="X83" s="599"/>
      <c r="Y83" s="45"/>
      <c r="Z83" s="45"/>
      <c r="AA83" s="45"/>
      <c r="AB83" s="45"/>
      <c r="AC83" s="45"/>
      <c r="AD83" s="45"/>
      <c r="AE83" s="47"/>
      <c r="AF83" s="47"/>
      <c r="AG83" s="47"/>
      <c r="AH83" s="47"/>
      <c r="AI83" s="120" t="n">
        <v>11</v>
      </c>
    </row>
    <row r="84" s="120" customFormat="true" ht="11.25" hidden="false" customHeight="true" outlineLevel="0" collapsed="false">
      <c r="A84" s="598"/>
      <c r="B84" s="47"/>
      <c r="C84" s="47"/>
      <c r="N84" s="45"/>
      <c r="O84" s="47"/>
      <c r="P84" s="47"/>
      <c r="Q84" s="45"/>
      <c r="R84" s="45"/>
      <c r="S84" s="45"/>
      <c r="T84" s="45"/>
      <c r="U84" s="47"/>
      <c r="V84" s="45"/>
      <c r="W84" s="45"/>
      <c r="X84" s="599"/>
      <c r="Y84" s="45"/>
      <c r="Z84" s="45"/>
      <c r="AA84" s="45"/>
      <c r="AB84" s="45"/>
      <c r="AC84" s="45"/>
      <c r="AD84" s="45"/>
      <c r="AE84" s="47"/>
      <c r="AF84" s="47"/>
      <c r="AG84" s="47"/>
      <c r="AH84" s="47"/>
      <c r="AI84" s="120" t="n">
        <v>11</v>
      </c>
    </row>
    <row r="85" s="120" customFormat="true" ht="11.25" hidden="false" customHeight="true" outlineLevel="0" collapsed="false">
      <c r="A85" s="598"/>
      <c r="B85" s="47"/>
      <c r="C85" s="47"/>
      <c r="N85" s="45"/>
      <c r="O85" s="47"/>
      <c r="P85" s="47"/>
      <c r="Q85" s="45"/>
      <c r="R85" s="45"/>
      <c r="S85" s="45"/>
      <c r="T85" s="45"/>
      <c r="U85" s="47"/>
      <c r="V85" s="45"/>
      <c r="W85" s="45"/>
      <c r="X85" s="599"/>
      <c r="Y85" s="45"/>
      <c r="Z85" s="45"/>
      <c r="AA85" s="45"/>
      <c r="AB85" s="45"/>
      <c r="AC85" s="45"/>
      <c r="AD85" s="45"/>
      <c r="AE85" s="47"/>
      <c r="AF85" s="47"/>
      <c r="AG85" s="47"/>
      <c r="AH85" s="47"/>
      <c r="AI85" s="120" t="n">
        <v>11</v>
      </c>
    </row>
    <row r="86" s="120" customFormat="true" ht="11.25" hidden="false" customHeight="true" outlineLevel="0" collapsed="false">
      <c r="A86" s="598"/>
      <c r="B86" s="47"/>
      <c r="C86" s="47"/>
      <c r="N86" s="45"/>
      <c r="O86" s="47"/>
      <c r="P86" s="47"/>
      <c r="Q86" s="45"/>
      <c r="R86" s="45"/>
      <c r="S86" s="45"/>
      <c r="T86" s="45"/>
      <c r="U86" s="47"/>
      <c r="V86" s="45"/>
      <c r="W86" s="45"/>
      <c r="X86" s="599"/>
      <c r="Y86" s="45"/>
      <c r="Z86" s="45"/>
      <c r="AA86" s="45"/>
      <c r="AB86" s="45"/>
      <c r="AC86" s="45"/>
      <c r="AD86" s="45"/>
      <c r="AE86" s="47"/>
      <c r="AF86" s="47"/>
      <c r="AG86" s="47"/>
      <c r="AH86" s="47"/>
      <c r="AI86" s="120" t="n">
        <v>11</v>
      </c>
    </row>
    <row r="87" s="120" customFormat="true" ht="11.25" hidden="false" customHeight="true" outlineLevel="0" collapsed="false">
      <c r="A87" s="598"/>
      <c r="B87" s="47"/>
      <c r="C87" s="47"/>
      <c r="N87" s="45"/>
      <c r="O87" s="47"/>
      <c r="P87" s="47"/>
      <c r="Q87" s="45"/>
      <c r="R87" s="45"/>
      <c r="S87" s="45"/>
      <c r="T87" s="45"/>
      <c r="U87" s="47"/>
      <c r="V87" s="45"/>
      <c r="W87" s="45"/>
      <c r="X87" s="599"/>
      <c r="Y87" s="45"/>
      <c r="Z87" s="45"/>
      <c r="AA87" s="45"/>
      <c r="AB87" s="45"/>
      <c r="AC87" s="45"/>
      <c r="AD87" s="45"/>
      <c r="AE87" s="47"/>
      <c r="AF87" s="47"/>
      <c r="AG87" s="47"/>
      <c r="AH87" s="47"/>
      <c r="AI87" s="120" t="n">
        <v>11</v>
      </c>
    </row>
    <row r="88" s="120" customFormat="true" ht="11.25" hidden="false" customHeight="true" outlineLevel="0" collapsed="false">
      <c r="A88" s="598"/>
      <c r="B88" s="47"/>
      <c r="C88" s="47"/>
      <c r="N88" s="45"/>
      <c r="O88" s="47"/>
      <c r="P88" s="47"/>
      <c r="Q88" s="45"/>
      <c r="R88" s="45"/>
      <c r="S88" s="45"/>
      <c r="T88" s="45"/>
      <c r="U88" s="47"/>
      <c r="V88" s="45"/>
      <c r="W88" s="45"/>
      <c r="X88" s="599"/>
      <c r="Y88" s="45"/>
      <c r="Z88" s="45"/>
      <c r="AA88" s="45"/>
      <c r="AB88" s="45"/>
      <c r="AC88" s="45"/>
      <c r="AD88" s="45"/>
      <c r="AE88" s="47"/>
      <c r="AF88" s="47"/>
      <c r="AG88" s="47"/>
      <c r="AH88" s="47"/>
      <c r="AI88" s="120" t="n">
        <v>11</v>
      </c>
    </row>
    <row r="89" s="120" customFormat="true" ht="11.25" hidden="false" customHeight="true" outlineLevel="0" collapsed="false">
      <c r="A89" s="598"/>
      <c r="B89" s="47"/>
      <c r="C89" s="47"/>
      <c r="N89" s="45"/>
      <c r="O89" s="47"/>
      <c r="P89" s="47"/>
      <c r="Q89" s="45"/>
      <c r="R89" s="45"/>
      <c r="S89" s="45"/>
      <c r="T89" s="45"/>
      <c r="U89" s="47"/>
      <c r="V89" s="45"/>
      <c r="W89" s="45"/>
      <c r="X89" s="599"/>
      <c r="Y89" s="45"/>
      <c r="Z89" s="45"/>
      <c r="AA89" s="45"/>
      <c r="AB89" s="45"/>
      <c r="AC89" s="45"/>
      <c r="AD89" s="45"/>
      <c r="AE89" s="47"/>
      <c r="AF89" s="47"/>
      <c r="AG89" s="47"/>
      <c r="AH89" s="47"/>
      <c r="AI89" s="120" t="n">
        <v>11</v>
      </c>
    </row>
    <row r="90" s="120" customFormat="true" ht="11.25" hidden="false" customHeight="true" outlineLevel="0" collapsed="false">
      <c r="A90" s="598"/>
      <c r="B90" s="47"/>
      <c r="C90" s="47"/>
      <c r="N90" s="45"/>
      <c r="O90" s="47"/>
      <c r="P90" s="47"/>
      <c r="Q90" s="45"/>
      <c r="R90" s="45"/>
      <c r="S90" s="45"/>
      <c r="T90" s="45"/>
      <c r="U90" s="47"/>
      <c r="V90" s="45"/>
      <c r="W90" s="45"/>
      <c r="X90" s="599"/>
      <c r="Y90" s="45"/>
      <c r="Z90" s="45"/>
      <c r="AA90" s="45"/>
      <c r="AB90" s="45"/>
      <c r="AC90" s="45"/>
      <c r="AD90" s="45"/>
      <c r="AE90" s="47"/>
      <c r="AF90" s="47"/>
      <c r="AG90" s="47"/>
      <c r="AH90" s="47"/>
      <c r="AI90" s="120" t="n">
        <v>11</v>
      </c>
    </row>
    <row r="91" s="120" customFormat="true" ht="11.25" hidden="false" customHeight="true" outlineLevel="0" collapsed="false">
      <c r="A91" s="598"/>
      <c r="B91" s="47"/>
      <c r="C91" s="47"/>
      <c r="N91" s="45"/>
      <c r="O91" s="47"/>
      <c r="P91" s="47"/>
      <c r="Q91" s="45"/>
      <c r="R91" s="45"/>
      <c r="S91" s="45"/>
      <c r="T91" s="45"/>
      <c r="U91" s="47"/>
      <c r="V91" s="45"/>
      <c r="W91" s="45"/>
      <c r="X91" s="599"/>
      <c r="Y91" s="45"/>
      <c r="Z91" s="45"/>
      <c r="AA91" s="45"/>
      <c r="AB91" s="45"/>
      <c r="AC91" s="45"/>
      <c r="AD91" s="45"/>
      <c r="AE91" s="47"/>
      <c r="AF91" s="47"/>
      <c r="AG91" s="47"/>
      <c r="AH91" s="47"/>
      <c r="AI91" s="120" t="n">
        <v>11</v>
      </c>
    </row>
    <row r="92" s="120" customFormat="true" ht="11.25" hidden="false" customHeight="true" outlineLevel="0" collapsed="false">
      <c r="A92" s="598"/>
      <c r="B92" s="47"/>
      <c r="C92" s="47"/>
      <c r="N92" s="45"/>
      <c r="O92" s="47"/>
      <c r="P92" s="47"/>
      <c r="Q92" s="45"/>
      <c r="R92" s="45"/>
      <c r="S92" s="45"/>
      <c r="T92" s="45"/>
      <c r="U92" s="47"/>
      <c r="V92" s="45"/>
      <c r="W92" s="45"/>
      <c r="X92" s="599"/>
      <c r="Y92" s="45"/>
      <c r="Z92" s="45"/>
      <c r="AA92" s="45"/>
      <c r="AB92" s="45"/>
      <c r="AC92" s="45"/>
      <c r="AD92" s="45"/>
      <c r="AE92" s="47"/>
      <c r="AF92" s="47"/>
      <c r="AG92" s="47"/>
      <c r="AH92" s="47"/>
      <c r="AI92" s="120" t="n">
        <v>11</v>
      </c>
    </row>
    <row r="93" s="120" customFormat="true" ht="11.25" hidden="false" customHeight="true" outlineLevel="0" collapsed="false">
      <c r="A93" s="598"/>
      <c r="B93" s="47"/>
      <c r="C93" s="47"/>
      <c r="N93" s="45"/>
      <c r="O93" s="47"/>
      <c r="P93" s="47"/>
      <c r="Q93" s="45"/>
      <c r="R93" s="45"/>
      <c r="S93" s="45"/>
      <c r="T93" s="45"/>
      <c r="U93" s="47"/>
      <c r="V93" s="45"/>
      <c r="W93" s="45"/>
      <c r="X93" s="599"/>
      <c r="Y93" s="45"/>
      <c r="Z93" s="45"/>
      <c r="AA93" s="45"/>
      <c r="AB93" s="45"/>
      <c r="AC93" s="45"/>
      <c r="AD93" s="45"/>
      <c r="AE93" s="47"/>
      <c r="AF93" s="47"/>
      <c r="AG93" s="47"/>
      <c r="AH93" s="47"/>
      <c r="AI93" s="120" t="n">
        <v>11</v>
      </c>
    </row>
    <row r="94" s="120" customFormat="true" ht="11.25" hidden="false" customHeight="true" outlineLevel="0" collapsed="false">
      <c r="A94" s="598"/>
      <c r="B94" s="47"/>
      <c r="C94" s="47"/>
      <c r="N94" s="45"/>
      <c r="O94" s="47"/>
      <c r="P94" s="47"/>
      <c r="Q94" s="45"/>
      <c r="R94" s="45"/>
      <c r="S94" s="45"/>
      <c r="T94" s="45"/>
      <c r="U94" s="47"/>
      <c r="V94" s="45"/>
      <c r="W94" s="45"/>
      <c r="X94" s="599"/>
      <c r="Y94" s="45"/>
      <c r="Z94" s="45"/>
      <c r="AA94" s="45"/>
      <c r="AB94" s="45"/>
      <c r="AC94" s="45"/>
      <c r="AD94" s="45"/>
      <c r="AE94" s="47"/>
      <c r="AF94" s="47"/>
      <c r="AG94" s="47"/>
      <c r="AH94" s="47"/>
      <c r="AI94" s="120" t="n">
        <v>11</v>
      </c>
    </row>
    <row r="95" s="120" customFormat="true" ht="11.25" hidden="false" customHeight="true" outlineLevel="0" collapsed="false">
      <c r="A95" s="598"/>
      <c r="B95" s="47"/>
      <c r="C95" s="47"/>
      <c r="N95" s="45"/>
      <c r="O95" s="47"/>
      <c r="P95" s="47"/>
      <c r="Q95" s="45"/>
      <c r="R95" s="45"/>
      <c r="S95" s="45"/>
      <c r="T95" s="45"/>
      <c r="U95" s="47"/>
      <c r="V95" s="45"/>
      <c r="W95" s="45"/>
      <c r="X95" s="599"/>
      <c r="Y95" s="45"/>
      <c r="Z95" s="45"/>
      <c r="AA95" s="45"/>
      <c r="AB95" s="45"/>
      <c r="AC95" s="45"/>
      <c r="AD95" s="45"/>
      <c r="AE95" s="47"/>
      <c r="AF95" s="47"/>
      <c r="AG95" s="47"/>
      <c r="AH95" s="47"/>
      <c r="AI95" s="120" t="n">
        <v>11</v>
      </c>
    </row>
    <row r="96" s="120" customFormat="true" ht="11.25" hidden="false" customHeight="true" outlineLevel="0" collapsed="false">
      <c r="A96" s="598"/>
      <c r="B96" s="47"/>
      <c r="C96" s="47"/>
      <c r="N96" s="45"/>
      <c r="O96" s="47"/>
      <c r="P96" s="47"/>
      <c r="Q96" s="45"/>
      <c r="R96" s="45"/>
      <c r="S96" s="45"/>
      <c r="T96" s="45"/>
      <c r="U96" s="47"/>
      <c r="V96" s="45"/>
      <c r="W96" s="45"/>
      <c r="X96" s="599"/>
      <c r="Y96" s="45"/>
      <c r="Z96" s="45"/>
      <c r="AA96" s="45"/>
      <c r="AB96" s="45"/>
      <c r="AC96" s="45"/>
      <c r="AD96" s="45"/>
      <c r="AE96" s="47"/>
      <c r="AF96" s="47"/>
      <c r="AG96" s="47"/>
      <c r="AH96" s="47"/>
      <c r="AI96" s="120" t="n">
        <v>11</v>
      </c>
    </row>
    <row r="97" s="120" customFormat="true" ht="11.25" hidden="false" customHeight="true" outlineLevel="0" collapsed="false">
      <c r="A97" s="598"/>
      <c r="B97" s="47"/>
      <c r="C97" s="47"/>
      <c r="N97" s="45"/>
      <c r="O97" s="47"/>
      <c r="P97" s="47"/>
      <c r="Q97" s="45"/>
      <c r="R97" s="45"/>
      <c r="S97" s="45"/>
      <c r="T97" s="45"/>
      <c r="U97" s="47"/>
      <c r="V97" s="45"/>
      <c r="W97" s="45"/>
      <c r="X97" s="599"/>
      <c r="Y97" s="45"/>
      <c r="Z97" s="45"/>
      <c r="AA97" s="45"/>
      <c r="AB97" s="45"/>
      <c r="AC97" s="45"/>
      <c r="AD97" s="45"/>
      <c r="AE97" s="47"/>
      <c r="AF97" s="47"/>
      <c r="AG97" s="47"/>
      <c r="AH97" s="47"/>
      <c r="AI97" s="120" t="n">
        <v>11</v>
      </c>
    </row>
    <row r="98" s="120" customFormat="true" ht="11.25" hidden="false" customHeight="true" outlineLevel="0" collapsed="false">
      <c r="A98" s="598"/>
      <c r="B98" s="47"/>
      <c r="C98" s="47"/>
      <c r="N98" s="45"/>
      <c r="O98" s="47"/>
      <c r="P98" s="47"/>
      <c r="Q98" s="45"/>
      <c r="R98" s="45"/>
      <c r="S98" s="45"/>
      <c r="T98" s="45"/>
      <c r="U98" s="47"/>
      <c r="V98" s="45"/>
      <c r="W98" s="45"/>
      <c r="X98" s="599"/>
      <c r="Y98" s="45"/>
      <c r="Z98" s="45"/>
      <c r="AA98" s="45"/>
      <c r="AB98" s="45"/>
      <c r="AC98" s="45"/>
      <c r="AD98" s="45"/>
      <c r="AE98" s="47"/>
      <c r="AF98" s="47"/>
      <c r="AG98" s="47"/>
      <c r="AH98" s="47"/>
      <c r="AI98" s="120" t="n">
        <v>11</v>
      </c>
    </row>
    <row r="99" s="120" customFormat="true" ht="11.25" hidden="false" customHeight="true" outlineLevel="0" collapsed="false">
      <c r="A99" s="598"/>
      <c r="B99" s="47"/>
      <c r="C99" s="47"/>
      <c r="N99" s="45"/>
      <c r="O99" s="47"/>
      <c r="P99" s="47"/>
      <c r="Q99" s="45"/>
      <c r="R99" s="45"/>
      <c r="S99" s="45"/>
      <c r="T99" s="45"/>
      <c r="U99" s="47"/>
      <c r="V99" s="45"/>
      <c r="W99" s="45"/>
      <c r="X99" s="599"/>
      <c r="Y99" s="45"/>
      <c r="Z99" s="45"/>
      <c r="AA99" s="45"/>
      <c r="AB99" s="45"/>
      <c r="AC99" s="45"/>
      <c r="AD99" s="45"/>
      <c r="AE99" s="47"/>
      <c r="AF99" s="47"/>
      <c r="AG99" s="47"/>
      <c r="AH99" s="47"/>
      <c r="AI99" s="120" t="n">
        <v>11</v>
      </c>
    </row>
    <row r="100" s="120" customFormat="true" ht="11.25" hidden="false" customHeight="true" outlineLevel="0" collapsed="false">
      <c r="A100" s="598"/>
      <c r="B100" s="47"/>
      <c r="C100" s="47"/>
      <c r="N100" s="45"/>
      <c r="O100" s="47"/>
      <c r="P100" s="47"/>
      <c r="Q100" s="45"/>
      <c r="R100" s="45"/>
      <c r="S100" s="45"/>
      <c r="T100" s="45"/>
      <c r="U100" s="47"/>
      <c r="V100" s="45"/>
      <c r="W100" s="45"/>
      <c r="X100" s="599"/>
      <c r="Y100" s="45"/>
      <c r="Z100" s="45"/>
      <c r="AA100" s="45"/>
      <c r="AB100" s="45"/>
      <c r="AC100" s="45"/>
      <c r="AD100" s="45"/>
      <c r="AE100" s="47"/>
      <c r="AF100" s="47"/>
      <c r="AG100" s="47"/>
      <c r="AH100" s="47"/>
      <c r="AI100" s="120" t="n">
        <v>11</v>
      </c>
    </row>
    <row r="101" s="120" customFormat="true" ht="11.25" hidden="false" customHeight="true" outlineLevel="0" collapsed="false">
      <c r="A101" s="598"/>
      <c r="B101" s="47"/>
      <c r="C101" s="47"/>
      <c r="N101" s="45"/>
      <c r="O101" s="47"/>
      <c r="P101" s="47"/>
      <c r="Q101" s="45"/>
      <c r="R101" s="45"/>
      <c r="S101" s="45"/>
      <c r="T101" s="45"/>
      <c r="U101" s="47"/>
      <c r="V101" s="45"/>
      <c r="W101" s="45"/>
      <c r="X101" s="599"/>
      <c r="Y101" s="45"/>
      <c r="Z101" s="45"/>
      <c r="AA101" s="45"/>
      <c r="AB101" s="45"/>
      <c r="AC101" s="45"/>
      <c r="AD101" s="45"/>
      <c r="AE101" s="47"/>
      <c r="AF101" s="47"/>
      <c r="AG101" s="47"/>
      <c r="AH101" s="47"/>
      <c r="AI101" s="120" t="n">
        <v>11</v>
      </c>
    </row>
    <row r="102" s="120" customFormat="true" ht="11.25" hidden="false" customHeight="true" outlineLevel="0" collapsed="false">
      <c r="A102" s="598"/>
      <c r="B102" s="47"/>
      <c r="C102" s="47"/>
      <c r="N102" s="45"/>
      <c r="O102" s="47"/>
      <c r="P102" s="47"/>
      <c r="Q102" s="45"/>
      <c r="R102" s="45"/>
      <c r="S102" s="45"/>
      <c r="T102" s="45"/>
      <c r="U102" s="47"/>
      <c r="V102" s="45"/>
      <c r="W102" s="45"/>
      <c r="X102" s="599"/>
      <c r="Y102" s="45"/>
      <c r="Z102" s="45"/>
      <c r="AA102" s="45"/>
      <c r="AB102" s="45"/>
      <c r="AC102" s="45"/>
      <c r="AD102" s="45"/>
      <c r="AE102" s="47"/>
      <c r="AF102" s="47"/>
      <c r="AG102" s="47"/>
      <c r="AH102" s="47"/>
      <c r="AI102" s="120" t="n">
        <v>11</v>
      </c>
    </row>
    <row r="103" s="120" customFormat="true" ht="11.25" hidden="false" customHeight="true" outlineLevel="0" collapsed="false">
      <c r="A103" s="598"/>
      <c r="B103" s="47"/>
      <c r="C103" s="47"/>
      <c r="N103" s="45"/>
      <c r="O103" s="47"/>
      <c r="P103" s="47"/>
      <c r="Q103" s="45"/>
      <c r="R103" s="45"/>
      <c r="S103" s="45"/>
      <c r="T103" s="45"/>
      <c r="U103" s="47"/>
      <c r="V103" s="45"/>
      <c r="W103" s="45"/>
      <c r="X103" s="599"/>
      <c r="Y103" s="45"/>
      <c r="Z103" s="45"/>
      <c r="AA103" s="45"/>
      <c r="AB103" s="45"/>
      <c r="AC103" s="45"/>
      <c r="AD103" s="45"/>
      <c r="AE103" s="47"/>
      <c r="AF103" s="47"/>
      <c r="AG103" s="47"/>
      <c r="AH103" s="47"/>
      <c r="AI103" s="120" t="n">
        <v>11</v>
      </c>
    </row>
    <row r="104" s="120" customFormat="true" ht="11.25" hidden="false" customHeight="true" outlineLevel="0" collapsed="false">
      <c r="A104" s="598"/>
      <c r="B104" s="47"/>
      <c r="C104" s="47"/>
      <c r="N104" s="45"/>
      <c r="O104" s="47"/>
      <c r="P104" s="47"/>
      <c r="Q104" s="45"/>
      <c r="R104" s="45"/>
      <c r="S104" s="45"/>
      <c r="T104" s="45"/>
      <c r="U104" s="47"/>
      <c r="V104" s="45"/>
      <c r="W104" s="45"/>
      <c r="X104" s="599"/>
      <c r="Y104" s="45"/>
      <c r="Z104" s="45"/>
      <c r="AA104" s="45"/>
      <c r="AB104" s="45"/>
      <c r="AC104" s="45"/>
      <c r="AD104" s="45"/>
      <c r="AE104" s="47"/>
      <c r="AF104" s="47"/>
      <c r="AG104" s="47"/>
      <c r="AH104" s="47"/>
      <c r="AI104" s="120" t="n">
        <v>11</v>
      </c>
    </row>
    <row r="105" s="120" customFormat="true" ht="11.25" hidden="false" customHeight="true" outlineLevel="0" collapsed="false">
      <c r="A105" s="598"/>
      <c r="B105" s="47"/>
      <c r="C105" s="47"/>
      <c r="N105" s="45"/>
      <c r="O105" s="47"/>
      <c r="P105" s="47"/>
      <c r="Q105" s="45"/>
      <c r="R105" s="45"/>
      <c r="S105" s="45"/>
      <c r="T105" s="45"/>
      <c r="U105" s="47"/>
      <c r="V105" s="45"/>
      <c r="W105" s="45"/>
      <c r="X105" s="599"/>
      <c r="Y105" s="45"/>
      <c r="Z105" s="45"/>
      <c r="AA105" s="45"/>
      <c r="AB105" s="45"/>
      <c r="AC105" s="45"/>
      <c r="AD105" s="45"/>
      <c r="AE105" s="47"/>
      <c r="AF105" s="47"/>
      <c r="AG105" s="47"/>
      <c r="AH105" s="47"/>
      <c r="AI105" s="120" t="n">
        <v>11</v>
      </c>
    </row>
    <row r="106" s="120" customFormat="true" ht="11.25" hidden="false" customHeight="true" outlineLevel="0" collapsed="false">
      <c r="A106" s="598"/>
      <c r="B106" s="47"/>
      <c r="C106" s="47"/>
      <c r="N106" s="45"/>
      <c r="O106" s="47"/>
      <c r="P106" s="47"/>
      <c r="Q106" s="45"/>
      <c r="R106" s="45"/>
      <c r="S106" s="45"/>
      <c r="T106" s="45"/>
      <c r="U106" s="47"/>
      <c r="V106" s="45"/>
      <c r="W106" s="45"/>
      <c r="X106" s="599"/>
      <c r="Y106" s="45"/>
      <c r="Z106" s="45"/>
      <c r="AA106" s="45"/>
      <c r="AB106" s="45"/>
      <c r="AC106" s="45"/>
      <c r="AD106" s="45"/>
      <c r="AE106" s="47"/>
      <c r="AF106" s="47"/>
      <c r="AG106" s="47"/>
      <c r="AH106" s="47"/>
      <c r="AI106" s="120" t="n">
        <v>11</v>
      </c>
    </row>
    <row r="107" s="120" customFormat="true" ht="11.25" hidden="false" customHeight="true" outlineLevel="0" collapsed="false">
      <c r="A107" s="598"/>
      <c r="B107" s="47"/>
      <c r="C107" s="47"/>
      <c r="N107" s="45"/>
      <c r="O107" s="47"/>
      <c r="P107" s="47"/>
      <c r="Q107" s="45"/>
      <c r="R107" s="45"/>
      <c r="S107" s="45"/>
      <c r="T107" s="45"/>
      <c r="U107" s="47"/>
      <c r="V107" s="45"/>
      <c r="W107" s="45"/>
      <c r="X107" s="599"/>
      <c r="Y107" s="45"/>
      <c r="Z107" s="45"/>
      <c r="AA107" s="45"/>
      <c r="AB107" s="45"/>
      <c r="AC107" s="45"/>
      <c r="AD107" s="45"/>
      <c r="AE107" s="47"/>
      <c r="AF107" s="47"/>
      <c r="AG107" s="47"/>
      <c r="AH107" s="47"/>
      <c r="AI107" s="120" t="n">
        <v>11</v>
      </c>
    </row>
    <row r="108" s="120" customFormat="true" ht="11.25" hidden="false" customHeight="true" outlineLevel="0" collapsed="false">
      <c r="A108" s="598"/>
      <c r="B108" s="47"/>
      <c r="C108" s="47"/>
      <c r="N108" s="45"/>
      <c r="O108" s="47"/>
      <c r="P108" s="47"/>
      <c r="Q108" s="45"/>
      <c r="R108" s="45"/>
      <c r="S108" s="45"/>
      <c r="T108" s="45"/>
      <c r="U108" s="47"/>
      <c r="V108" s="45"/>
      <c r="W108" s="45"/>
      <c r="X108" s="599"/>
      <c r="Y108" s="45"/>
      <c r="Z108" s="45"/>
      <c r="AA108" s="45"/>
      <c r="AB108" s="45"/>
      <c r="AC108" s="45"/>
      <c r="AD108" s="45"/>
      <c r="AE108" s="47"/>
      <c r="AF108" s="47"/>
      <c r="AG108" s="47"/>
      <c r="AH108" s="47"/>
      <c r="AI108" s="120" t="n">
        <v>11</v>
      </c>
    </row>
    <row r="109" s="120" customFormat="true" ht="11.25" hidden="false" customHeight="true" outlineLevel="0" collapsed="false">
      <c r="A109" s="598"/>
      <c r="B109" s="47"/>
      <c r="C109" s="47"/>
      <c r="N109" s="45"/>
      <c r="O109" s="47"/>
      <c r="P109" s="47"/>
      <c r="Q109" s="45"/>
      <c r="R109" s="45"/>
      <c r="S109" s="45"/>
      <c r="T109" s="45"/>
      <c r="U109" s="47"/>
      <c r="V109" s="45"/>
      <c r="W109" s="45"/>
      <c r="X109" s="599"/>
      <c r="Y109" s="45"/>
      <c r="Z109" s="45"/>
      <c r="AA109" s="45"/>
      <c r="AB109" s="45"/>
      <c r="AC109" s="45"/>
      <c r="AD109" s="45"/>
      <c r="AE109" s="47"/>
      <c r="AF109" s="47"/>
      <c r="AG109" s="47"/>
      <c r="AH109" s="47"/>
      <c r="AI109" s="120" t="n">
        <v>11</v>
      </c>
    </row>
    <row r="110" s="120" customFormat="true" ht="11.25" hidden="false" customHeight="true" outlineLevel="0" collapsed="false">
      <c r="A110" s="598"/>
      <c r="B110" s="47"/>
      <c r="C110" s="47"/>
      <c r="N110" s="45"/>
      <c r="O110" s="47"/>
      <c r="P110" s="47"/>
      <c r="Q110" s="45"/>
      <c r="R110" s="45"/>
      <c r="S110" s="45"/>
      <c r="T110" s="45"/>
      <c r="U110" s="47"/>
      <c r="V110" s="45"/>
      <c r="W110" s="45"/>
      <c r="X110" s="599"/>
      <c r="Y110" s="45"/>
      <c r="Z110" s="45"/>
      <c r="AA110" s="45"/>
      <c r="AB110" s="45"/>
      <c r="AC110" s="45"/>
      <c r="AD110" s="45"/>
      <c r="AE110" s="47"/>
      <c r="AF110" s="47"/>
      <c r="AG110" s="47"/>
      <c r="AH110" s="47"/>
      <c r="AI110" s="120" t="n">
        <v>11</v>
      </c>
    </row>
    <row r="111" s="120" customFormat="true" ht="11.25" hidden="false" customHeight="true" outlineLevel="0" collapsed="false">
      <c r="A111" s="598"/>
      <c r="B111" s="47"/>
      <c r="C111" s="47"/>
      <c r="N111" s="45"/>
      <c r="O111" s="47"/>
      <c r="P111" s="47"/>
      <c r="Q111" s="45"/>
      <c r="R111" s="45"/>
      <c r="S111" s="45"/>
      <c r="T111" s="45"/>
      <c r="U111" s="47"/>
      <c r="V111" s="45"/>
      <c r="W111" s="45"/>
      <c r="X111" s="599"/>
      <c r="Y111" s="45"/>
      <c r="Z111" s="45"/>
      <c r="AA111" s="45"/>
      <c r="AB111" s="45"/>
      <c r="AC111" s="45"/>
      <c r="AD111" s="45"/>
      <c r="AE111" s="47"/>
      <c r="AF111" s="47"/>
      <c r="AG111" s="47"/>
      <c r="AH111" s="47"/>
      <c r="AI111" s="120" t="n">
        <v>11</v>
      </c>
    </row>
    <row r="112" s="120" customFormat="true" ht="11.25" hidden="false" customHeight="true" outlineLevel="0" collapsed="false">
      <c r="A112" s="598"/>
      <c r="B112" s="47"/>
      <c r="C112" s="47"/>
      <c r="N112" s="45"/>
      <c r="O112" s="47"/>
      <c r="P112" s="47"/>
      <c r="Q112" s="45"/>
      <c r="R112" s="45"/>
      <c r="S112" s="45"/>
      <c r="T112" s="45"/>
      <c r="U112" s="47"/>
      <c r="V112" s="45"/>
      <c r="W112" s="45"/>
      <c r="X112" s="599"/>
      <c r="Y112" s="45"/>
      <c r="Z112" s="45"/>
      <c r="AA112" s="45"/>
      <c r="AB112" s="45"/>
      <c r="AC112" s="45"/>
      <c r="AD112" s="45"/>
      <c r="AE112" s="47"/>
      <c r="AF112" s="47"/>
      <c r="AG112" s="47"/>
      <c r="AH112" s="47"/>
      <c r="AI112" s="120" t="n">
        <v>11</v>
      </c>
    </row>
    <row r="113" s="120" customFormat="true" ht="11.25" hidden="false" customHeight="true" outlineLevel="0" collapsed="false">
      <c r="A113" s="598"/>
      <c r="B113" s="47"/>
      <c r="C113" s="47"/>
      <c r="N113" s="45"/>
      <c r="O113" s="47"/>
      <c r="P113" s="47"/>
      <c r="Q113" s="45"/>
      <c r="R113" s="45"/>
      <c r="S113" s="45"/>
      <c r="T113" s="45"/>
      <c r="U113" s="47"/>
      <c r="V113" s="45"/>
      <c r="W113" s="45"/>
      <c r="X113" s="599"/>
      <c r="Y113" s="45"/>
      <c r="Z113" s="45"/>
      <c r="AA113" s="45"/>
      <c r="AB113" s="45"/>
      <c r="AC113" s="45"/>
      <c r="AD113" s="45"/>
      <c r="AE113" s="47"/>
      <c r="AF113" s="47"/>
      <c r="AG113" s="47"/>
      <c r="AH113" s="47"/>
      <c r="AI113" s="120" t="n">
        <v>11</v>
      </c>
    </row>
    <row r="114" s="120" customFormat="true" ht="11.25" hidden="false" customHeight="true" outlineLevel="0" collapsed="false">
      <c r="A114" s="598"/>
      <c r="B114" s="47"/>
      <c r="C114" s="47"/>
      <c r="N114" s="45"/>
      <c r="O114" s="47"/>
      <c r="P114" s="47"/>
      <c r="Q114" s="45"/>
      <c r="R114" s="45"/>
      <c r="S114" s="45"/>
      <c r="T114" s="45"/>
      <c r="U114" s="47"/>
      <c r="V114" s="45"/>
      <c r="W114" s="45"/>
      <c r="X114" s="599"/>
      <c r="Y114" s="45"/>
      <c r="Z114" s="45"/>
      <c r="AA114" s="45"/>
      <c r="AB114" s="45"/>
      <c r="AC114" s="45"/>
      <c r="AD114" s="45"/>
      <c r="AE114" s="47"/>
      <c r="AF114" s="47"/>
      <c r="AG114" s="47"/>
      <c r="AH114" s="47"/>
      <c r="AI114" s="120" t="n">
        <v>11</v>
      </c>
    </row>
    <row r="115" s="120" customFormat="true" ht="11.25" hidden="false" customHeight="true" outlineLevel="0" collapsed="false">
      <c r="A115" s="598"/>
      <c r="B115" s="47"/>
      <c r="C115" s="47"/>
      <c r="N115" s="45"/>
      <c r="O115" s="47"/>
      <c r="P115" s="47"/>
      <c r="Q115" s="45"/>
      <c r="R115" s="45"/>
      <c r="S115" s="45"/>
      <c r="T115" s="45"/>
      <c r="U115" s="47"/>
      <c r="V115" s="45"/>
      <c r="W115" s="45"/>
      <c r="X115" s="599"/>
      <c r="Y115" s="45"/>
      <c r="Z115" s="45"/>
      <c r="AA115" s="45"/>
      <c r="AB115" s="45"/>
      <c r="AC115" s="45"/>
      <c r="AD115" s="45"/>
      <c r="AE115" s="47"/>
      <c r="AF115" s="47"/>
      <c r="AG115" s="47"/>
      <c r="AH115" s="47"/>
      <c r="AI115" s="120" t="n">
        <v>11</v>
      </c>
    </row>
    <row r="116" s="120" customFormat="true" ht="11.25" hidden="false" customHeight="true" outlineLevel="0" collapsed="false">
      <c r="A116" s="598"/>
      <c r="B116" s="47"/>
      <c r="C116" s="47"/>
      <c r="N116" s="45"/>
      <c r="O116" s="47"/>
      <c r="P116" s="47"/>
      <c r="Q116" s="45"/>
      <c r="R116" s="45"/>
      <c r="S116" s="45"/>
      <c r="T116" s="45"/>
      <c r="U116" s="47"/>
      <c r="V116" s="45"/>
      <c r="W116" s="45"/>
      <c r="X116" s="599"/>
      <c r="Y116" s="45"/>
      <c r="Z116" s="45"/>
      <c r="AA116" s="45"/>
      <c r="AB116" s="45"/>
      <c r="AC116" s="45"/>
      <c r="AD116" s="45"/>
      <c r="AE116" s="47"/>
      <c r="AF116" s="47"/>
      <c r="AG116" s="47"/>
      <c r="AH116" s="47"/>
      <c r="AI116" s="120" t="n">
        <v>11</v>
      </c>
    </row>
    <row r="117" s="120" customFormat="true" ht="11.25" hidden="false" customHeight="true" outlineLevel="0" collapsed="false">
      <c r="A117" s="598"/>
      <c r="B117" s="47"/>
      <c r="C117" s="47"/>
      <c r="N117" s="45"/>
      <c r="O117" s="47"/>
      <c r="P117" s="47"/>
      <c r="Q117" s="45"/>
      <c r="R117" s="45"/>
      <c r="S117" s="45"/>
      <c r="T117" s="45"/>
      <c r="U117" s="47"/>
      <c r="V117" s="45"/>
      <c r="W117" s="45"/>
      <c r="X117" s="599"/>
      <c r="Y117" s="45"/>
      <c r="Z117" s="45"/>
      <c r="AA117" s="45"/>
      <c r="AB117" s="45"/>
      <c r="AC117" s="45"/>
      <c r="AD117" s="45"/>
      <c r="AE117" s="47"/>
      <c r="AF117" s="47"/>
      <c r="AG117" s="47"/>
      <c r="AH117" s="47"/>
      <c r="AI117" s="120" t="n">
        <v>11</v>
      </c>
    </row>
    <row r="118" s="120" customFormat="true" ht="11.25" hidden="false" customHeight="true" outlineLevel="0" collapsed="false">
      <c r="A118" s="598"/>
      <c r="B118" s="47"/>
      <c r="C118" s="47"/>
      <c r="N118" s="45"/>
      <c r="O118" s="47"/>
      <c r="P118" s="47"/>
      <c r="Q118" s="45"/>
      <c r="R118" s="45"/>
      <c r="S118" s="45"/>
      <c r="T118" s="45"/>
      <c r="U118" s="47"/>
      <c r="V118" s="45"/>
      <c r="W118" s="45"/>
      <c r="X118" s="599"/>
      <c r="Y118" s="45"/>
      <c r="Z118" s="45"/>
      <c r="AA118" s="45"/>
      <c r="AB118" s="45"/>
      <c r="AC118" s="45"/>
      <c r="AD118" s="45"/>
      <c r="AE118" s="47"/>
      <c r="AF118" s="47"/>
      <c r="AG118" s="47"/>
      <c r="AH118" s="47"/>
      <c r="AI118" s="120" t="n">
        <v>11</v>
      </c>
    </row>
    <row r="119" s="120" customFormat="true" ht="11.25" hidden="false" customHeight="true" outlineLevel="0" collapsed="false">
      <c r="A119" s="598"/>
      <c r="B119" s="47"/>
      <c r="C119" s="47"/>
      <c r="N119" s="45"/>
      <c r="O119" s="47"/>
      <c r="P119" s="47"/>
      <c r="Q119" s="45"/>
      <c r="R119" s="45"/>
      <c r="S119" s="45"/>
      <c r="T119" s="45"/>
      <c r="U119" s="47"/>
      <c r="V119" s="45"/>
      <c r="W119" s="45"/>
      <c r="X119" s="599"/>
      <c r="Y119" s="45"/>
      <c r="Z119" s="45"/>
      <c r="AA119" s="45"/>
      <c r="AB119" s="45"/>
      <c r="AC119" s="45"/>
      <c r="AD119" s="45"/>
      <c r="AE119" s="47"/>
      <c r="AF119" s="47"/>
      <c r="AG119" s="47"/>
      <c r="AH119" s="47"/>
      <c r="AI119" s="120" t="n">
        <v>11</v>
      </c>
    </row>
    <row r="120" s="120" customFormat="true" ht="11.25" hidden="false" customHeight="true" outlineLevel="0" collapsed="false">
      <c r="A120" s="598"/>
      <c r="B120" s="47"/>
      <c r="C120" s="47"/>
      <c r="N120" s="45"/>
      <c r="O120" s="47"/>
      <c r="P120" s="47"/>
      <c r="Q120" s="45"/>
      <c r="R120" s="45"/>
      <c r="S120" s="45"/>
      <c r="T120" s="45"/>
      <c r="U120" s="47"/>
      <c r="V120" s="45"/>
      <c r="W120" s="45"/>
      <c r="X120" s="599"/>
      <c r="Y120" s="45"/>
      <c r="Z120" s="45"/>
      <c r="AA120" s="45"/>
      <c r="AB120" s="45"/>
      <c r="AC120" s="45"/>
      <c r="AD120" s="45"/>
      <c r="AE120" s="47"/>
      <c r="AF120" s="47"/>
      <c r="AG120" s="47"/>
      <c r="AH120" s="47"/>
      <c r="AI120" s="120" t="n">
        <v>11</v>
      </c>
    </row>
    <row r="121" s="120" customFormat="true" ht="11.25" hidden="false" customHeight="true" outlineLevel="0" collapsed="false">
      <c r="A121" s="598"/>
      <c r="B121" s="47"/>
      <c r="C121" s="47"/>
      <c r="N121" s="45"/>
      <c r="O121" s="47"/>
      <c r="P121" s="47"/>
      <c r="Q121" s="45"/>
      <c r="R121" s="45"/>
      <c r="S121" s="45"/>
      <c r="T121" s="45"/>
      <c r="U121" s="47"/>
      <c r="V121" s="45"/>
      <c r="W121" s="45"/>
      <c r="X121" s="599"/>
      <c r="Y121" s="45"/>
      <c r="Z121" s="45"/>
      <c r="AA121" s="45"/>
      <c r="AB121" s="45"/>
      <c r="AC121" s="45"/>
      <c r="AD121" s="45"/>
      <c r="AE121" s="47"/>
      <c r="AF121" s="47"/>
      <c r="AG121" s="47"/>
      <c r="AH121" s="47"/>
      <c r="AI121" s="120" t="n">
        <v>11</v>
      </c>
    </row>
    <row r="122" s="120" customFormat="true" ht="11.25" hidden="false" customHeight="true" outlineLevel="0" collapsed="false">
      <c r="A122" s="598"/>
      <c r="B122" s="47"/>
      <c r="C122" s="47"/>
      <c r="N122" s="45"/>
      <c r="O122" s="47"/>
      <c r="P122" s="47"/>
      <c r="Q122" s="45"/>
      <c r="R122" s="45"/>
      <c r="S122" s="45"/>
      <c r="T122" s="45"/>
      <c r="U122" s="47"/>
      <c r="V122" s="45"/>
      <c r="W122" s="45"/>
      <c r="X122" s="599"/>
      <c r="Y122" s="45"/>
      <c r="Z122" s="45"/>
      <c r="AA122" s="45"/>
      <c r="AB122" s="45"/>
      <c r="AC122" s="45"/>
      <c r="AD122" s="45"/>
      <c r="AE122" s="47"/>
      <c r="AF122" s="47"/>
      <c r="AG122" s="47"/>
      <c r="AH122" s="47"/>
      <c r="AI122" s="120" t="n">
        <v>11</v>
      </c>
    </row>
    <row r="123" s="120" customFormat="true" ht="11.25" hidden="false" customHeight="true" outlineLevel="0" collapsed="false">
      <c r="A123" s="598"/>
      <c r="B123" s="47"/>
      <c r="C123" s="47"/>
      <c r="N123" s="45"/>
      <c r="O123" s="47"/>
      <c r="P123" s="47"/>
      <c r="Q123" s="45"/>
      <c r="R123" s="45"/>
      <c r="S123" s="45"/>
      <c r="T123" s="45"/>
      <c r="U123" s="47"/>
      <c r="V123" s="45"/>
      <c r="W123" s="45"/>
      <c r="X123" s="599"/>
      <c r="Y123" s="45"/>
      <c r="Z123" s="45"/>
      <c r="AA123" s="45"/>
      <c r="AB123" s="45"/>
      <c r="AC123" s="45"/>
      <c r="AD123" s="45"/>
      <c r="AE123" s="47"/>
      <c r="AF123" s="47"/>
      <c r="AG123" s="47"/>
      <c r="AH123" s="47"/>
      <c r="AI123" s="120" t="n">
        <v>11</v>
      </c>
    </row>
    <row r="124" s="120" customFormat="true" ht="11.25" hidden="false" customHeight="true" outlineLevel="0" collapsed="false">
      <c r="A124" s="598"/>
      <c r="B124" s="47"/>
      <c r="C124" s="47"/>
      <c r="N124" s="45"/>
      <c r="O124" s="47"/>
      <c r="P124" s="47"/>
      <c r="Q124" s="45"/>
      <c r="R124" s="45"/>
      <c r="S124" s="45"/>
      <c r="T124" s="45"/>
      <c r="U124" s="47"/>
      <c r="V124" s="45"/>
      <c r="W124" s="45"/>
      <c r="X124" s="599"/>
      <c r="Y124" s="45"/>
      <c r="Z124" s="45"/>
      <c r="AA124" s="45"/>
      <c r="AB124" s="45"/>
      <c r="AC124" s="45"/>
      <c r="AD124" s="45"/>
      <c r="AE124" s="47"/>
      <c r="AF124" s="47"/>
      <c r="AG124" s="47"/>
      <c r="AH124" s="47"/>
      <c r="AI124" s="120" t="n">
        <v>11</v>
      </c>
    </row>
    <row r="125" s="120" customFormat="true" ht="11.25" hidden="false" customHeight="true" outlineLevel="0" collapsed="false">
      <c r="A125" s="598"/>
      <c r="B125" s="47"/>
      <c r="C125" s="47"/>
      <c r="N125" s="45"/>
      <c r="O125" s="47"/>
      <c r="P125" s="47"/>
      <c r="Q125" s="45"/>
      <c r="R125" s="45"/>
      <c r="S125" s="45"/>
      <c r="T125" s="45"/>
      <c r="U125" s="47"/>
      <c r="V125" s="45"/>
      <c r="W125" s="45"/>
      <c r="X125" s="599"/>
      <c r="Y125" s="45"/>
      <c r="Z125" s="45"/>
      <c r="AA125" s="45"/>
      <c r="AB125" s="45"/>
      <c r="AC125" s="45"/>
      <c r="AD125" s="45"/>
      <c r="AE125" s="47"/>
      <c r="AF125" s="47"/>
      <c r="AG125" s="47"/>
      <c r="AH125" s="47"/>
      <c r="AI125" s="120" t="n">
        <v>11</v>
      </c>
    </row>
    <row r="126" s="120" customFormat="true" ht="11.25" hidden="false" customHeight="true" outlineLevel="0" collapsed="false">
      <c r="A126" s="598"/>
      <c r="B126" s="47"/>
      <c r="C126" s="47"/>
      <c r="N126" s="45"/>
      <c r="O126" s="47"/>
      <c r="P126" s="47"/>
      <c r="Q126" s="45"/>
      <c r="R126" s="45"/>
      <c r="S126" s="45"/>
      <c r="T126" s="45"/>
      <c r="U126" s="47"/>
      <c r="V126" s="45"/>
      <c r="W126" s="45"/>
      <c r="X126" s="599"/>
      <c r="Y126" s="45"/>
      <c r="Z126" s="45"/>
      <c r="AA126" s="45"/>
      <c r="AB126" s="45"/>
      <c r="AC126" s="45"/>
      <c r="AD126" s="45"/>
      <c r="AE126" s="47"/>
      <c r="AF126" s="47"/>
      <c r="AG126" s="47"/>
      <c r="AH126" s="47"/>
      <c r="AI126" s="120" t="n">
        <v>11</v>
      </c>
    </row>
    <row r="127" s="120" customFormat="true" ht="11.25" hidden="false" customHeight="true" outlineLevel="0" collapsed="false">
      <c r="A127" s="598"/>
      <c r="B127" s="47"/>
      <c r="C127" s="47"/>
      <c r="N127" s="45"/>
      <c r="O127" s="47"/>
      <c r="P127" s="47"/>
      <c r="Q127" s="45"/>
      <c r="R127" s="45"/>
      <c r="S127" s="45"/>
      <c r="T127" s="45"/>
      <c r="U127" s="47"/>
      <c r="V127" s="45"/>
      <c r="W127" s="45"/>
      <c r="X127" s="599"/>
      <c r="Y127" s="45"/>
      <c r="Z127" s="45"/>
      <c r="AA127" s="45"/>
      <c r="AB127" s="45"/>
      <c r="AC127" s="45"/>
      <c r="AD127" s="45"/>
      <c r="AE127" s="47"/>
      <c r="AF127" s="47"/>
      <c r="AG127" s="47"/>
      <c r="AH127" s="47"/>
      <c r="AI127" s="120" t="n">
        <v>11</v>
      </c>
    </row>
    <row r="128" s="120" customFormat="true" ht="11.25" hidden="false" customHeight="true" outlineLevel="0" collapsed="false">
      <c r="A128" s="598"/>
      <c r="B128" s="47"/>
      <c r="C128" s="47"/>
      <c r="N128" s="45"/>
      <c r="O128" s="47"/>
      <c r="P128" s="47"/>
      <c r="Q128" s="45"/>
      <c r="R128" s="45"/>
      <c r="S128" s="45"/>
      <c r="T128" s="45"/>
      <c r="U128" s="47"/>
      <c r="V128" s="45"/>
      <c r="W128" s="45"/>
      <c r="X128" s="599"/>
      <c r="Y128" s="45"/>
      <c r="Z128" s="45"/>
      <c r="AA128" s="45"/>
      <c r="AB128" s="45"/>
      <c r="AC128" s="45"/>
      <c r="AD128" s="45"/>
      <c r="AE128" s="47"/>
      <c r="AF128" s="47"/>
      <c r="AG128" s="47"/>
      <c r="AH128" s="47"/>
      <c r="AI128" s="120" t="n">
        <v>11</v>
      </c>
    </row>
    <row r="129" s="120" customFormat="true" ht="11.25" hidden="false" customHeight="true" outlineLevel="0" collapsed="false">
      <c r="A129" s="598"/>
      <c r="B129" s="47"/>
      <c r="C129" s="47"/>
      <c r="N129" s="45"/>
      <c r="O129" s="47"/>
      <c r="P129" s="47"/>
      <c r="Q129" s="45"/>
      <c r="R129" s="45"/>
      <c r="S129" s="45"/>
      <c r="T129" s="45"/>
      <c r="U129" s="47"/>
      <c r="V129" s="45"/>
      <c r="W129" s="45"/>
      <c r="X129" s="599"/>
      <c r="Y129" s="45"/>
      <c r="Z129" s="45"/>
      <c r="AA129" s="45"/>
      <c r="AB129" s="45"/>
      <c r="AC129" s="45"/>
      <c r="AD129" s="45"/>
      <c r="AE129" s="47"/>
      <c r="AF129" s="47"/>
      <c r="AG129" s="47"/>
      <c r="AH129" s="47"/>
      <c r="AI129" s="120" t="n">
        <v>11</v>
      </c>
    </row>
    <row r="130" s="120" customFormat="true" ht="11.25" hidden="false" customHeight="true" outlineLevel="0" collapsed="false">
      <c r="A130" s="598"/>
      <c r="B130" s="47"/>
      <c r="C130" s="47"/>
      <c r="N130" s="45"/>
      <c r="O130" s="47"/>
      <c r="P130" s="47"/>
      <c r="Q130" s="45"/>
      <c r="R130" s="45"/>
      <c r="S130" s="45"/>
      <c r="T130" s="45"/>
      <c r="U130" s="47"/>
      <c r="V130" s="45"/>
      <c r="W130" s="45"/>
      <c r="X130" s="599"/>
      <c r="Y130" s="45"/>
      <c r="Z130" s="45"/>
      <c r="AA130" s="45"/>
      <c r="AB130" s="45"/>
      <c r="AC130" s="45"/>
      <c r="AD130" s="45"/>
      <c r="AE130" s="47"/>
      <c r="AF130" s="47"/>
      <c r="AG130" s="47"/>
      <c r="AH130" s="47"/>
      <c r="AI130" s="120" t="n">
        <v>11</v>
      </c>
    </row>
    <row r="131" s="120" customFormat="true" ht="11.25" hidden="false" customHeight="true" outlineLevel="0" collapsed="false">
      <c r="A131" s="598"/>
      <c r="B131" s="47"/>
      <c r="C131" s="47"/>
      <c r="N131" s="45"/>
      <c r="O131" s="47"/>
      <c r="P131" s="47"/>
      <c r="Q131" s="45"/>
      <c r="R131" s="45"/>
      <c r="S131" s="45"/>
      <c r="T131" s="45"/>
      <c r="U131" s="47"/>
      <c r="V131" s="45"/>
      <c r="W131" s="45"/>
      <c r="X131" s="599"/>
      <c r="Y131" s="45"/>
      <c r="Z131" s="45"/>
      <c r="AA131" s="45"/>
      <c r="AB131" s="45"/>
      <c r="AC131" s="45"/>
      <c r="AD131" s="45"/>
      <c r="AE131" s="47"/>
      <c r="AF131" s="47"/>
      <c r="AG131" s="47"/>
      <c r="AH131" s="47"/>
      <c r="AI131" s="120" t="n">
        <v>11</v>
      </c>
    </row>
    <row r="132" s="120" customFormat="true" ht="11.25" hidden="false" customHeight="true" outlineLevel="0" collapsed="false">
      <c r="A132" s="598"/>
      <c r="B132" s="47"/>
      <c r="C132" s="47"/>
      <c r="N132" s="45"/>
      <c r="O132" s="47"/>
      <c r="P132" s="47"/>
      <c r="Q132" s="45"/>
      <c r="R132" s="45"/>
      <c r="S132" s="45"/>
      <c r="T132" s="45"/>
      <c r="U132" s="47"/>
      <c r="V132" s="45"/>
      <c r="W132" s="45"/>
      <c r="X132" s="599"/>
      <c r="Y132" s="45"/>
      <c r="Z132" s="45"/>
      <c r="AA132" s="45"/>
      <c r="AB132" s="45"/>
      <c r="AC132" s="45"/>
      <c r="AD132" s="45"/>
      <c r="AE132" s="47"/>
      <c r="AF132" s="47"/>
      <c r="AG132" s="47"/>
      <c r="AH132" s="47"/>
      <c r="AI132" s="120" t="n">
        <v>11</v>
      </c>
    </row>
    <row r="133" s="120" customFormat="true" ht="11.25" hidden="false" customHeight="true" outlineLevel="0" collapsed="false">
      <c r="A133" s="598"/>
      <c r="B133" s="47"/>
      <c r="C133" s="47"/>
      <c r="N133" s="45"/>
      <c r="O133" s="47"/>
      <c r="P133" s="47"/>
      <c r="Q133" s="45"/>
      <c r="R133" s="45"/>
      <c r="S133" s="45"/>
      <c r="T133" s="45"/>
      <c r="U133" s="47"/>
      <c r="V133" s="45"/>
      <c r="W133" s="45"/>
      <c r="X133" s="599"/>
      <c r="Y133" s="45"/>
      <c r="Z133" s="45"/>
      <c r="AA133" s="45"/>
      <c r="AB133" s="45"/>
      <c r="AC133" s="45"/>
      <c r="AD133" s="45"/>
      <c r="AE133" s="47"/>
      <c r="AF133" s="47"/>
      <c r="AG133" s="47"/>
      <c r="AH133" s="47"/>
      <c r="AI133" s="120" t="n">
        <v>11</v>
      </c>
    </row>
    <row r="134" s="120" customFormat="true" ht="11.25" hidden="false" customHeight="true" outlineLevel="0" collapsed="false">
      <c r="A134" s="598"/>
      <c r="B134" s="47"/>
      <c r="C134" s="47"/>
      <c r="N134" s="45"/>
      <c r="O134" s="47"/>
      <c r="P134" s="47"/>
      <c r="Q134" s="45"/>
      <c r="R134" s="45"/>
      <c r="S134" s="45"/>
      <c r="T134" s="45"/>
      <c r="U134" s="47"/>
      <c r="V134" s="45"/>
      <c r="W134" s="45"/>
      <c r="X134" s="599"/>
      <c r="Y134" s="45"/>
      <c r="Z134" s="45"/>
      <c r="AA134" s="45"/>
      <c r="AB134" s="45"/>
      <c r="AC134" s="45"/>
      <c r="AD134" s="45"/>
      <c r="AE134" s="47"/>
      <c r="AF134" s="47"/>
      <c r="AG134" s="47"/>
      <c r="AH134" s="47"/>
      <c r="AI134" s="120" t="n">
        <v>11</v>
      </c>
    </row>
    <row r="135" s="120" customFormat="true" ht="11.25" hidden="false" customHeight="true" outlineLevel="0" collapsed="false">
      <c r="A135" s="598"/>
      <c r="B135" s="47"/>
      <c r="C135" s="47"/>
      <c r="N135" s="45"/>
      <c r="O135" s="47"/>
      <c r="P135" s="47"/>
      <c r="Q135" s="45"/>
      <c r="R135" s="45"/>
      <c r="S135" s="45"/>
      <c r="T135" s="45"/>
      <c r="U135" s="47"/>
      <c r="V135" s="45"/>
      <c r="W135" s="45"/>
      <c r="X135" s="599"/>
      <c r="Y135" s="45"/>
      <c r="Z135" s="45"/>
      <c r="AA135" s="45"/>
      <c r="AB135" s="45"/>
      <c r="AC135" s="45"/>
      <c r="AD135" s="45"/>
      <c r="AE135" s="47"/>
      <c r="AF135" s="47"/>
      <c r="AG135" s="47"/>
      <c r="AH135" s="47"/>
      <c r="AI135" s="120" t="n">
        <v>11</v>
      </c>
    </row>
    <row r="136" s="120" customFormat="true" ht="11.25" hidden="false" customHeight="true" outlineLevel="0" collapsed="false">
      <c r="A136" s="598"/>
      <c r="B136" s="47"/>
      <c r="C136" s="47"/>
      <c r="N136" s="45"/>
      <c r="O136" s="47"/>
      <c r="P136" s="47"/>
      <c r="Q136" s="45"/>
      <c r="R136" s="45"/>
      <c r="S136" s="45"/>
      <c r="T136" s="45"/>
      <c r="U136" s="47"/>
      <c r="V136" s="45"/>
      <c r="W136" s="45"/>
      <c r="X136" s="599"/>
      <c r="Y136" s="45"/>
      <c r="Z136" s="45"/>
      <c r="AA136" s="45"/>
      <c r="AB136" s="45"/>
      <c r="AC136" s="45"/>
      <c r="AD136" s="45"/>
      <c r="AE136" s="47"/>
      <c r="AF136" s="47"/>
      <c r="AG136" s="47"/>
      <c r="AH136" s="47"/>
      <c r="AI136" s="120" t="n">
        <v>11</v>
      </c>
    </row>
    <row r="137" s="120" customFormat="true" ht="11.25" hidden="false" customHeight="true" outlineLevel="0" collapsed="false">
      <c r="A137" s="598"/>
      <c r="B137" s="47"/>
      <c r="C137" s="47"/>
      <c r="N137" s="45"/>
      <c r="O137" s="47"/>
      <c r="P137" s="47"/>
      <c r="Q137" s="45"/>
      <c r="R137" s="45"/>
      <c r="S137" s="45"/>
      <c r="T137" s="45"/>
      <c r="U137" s="47"/>
      <c r="V137" s="45"/>
      <c r="W137" s="45"/>
      <c r="X137" s="599"/>
      <c r="Y137" s="45"/>
      <c r="Z137" s="45"/>
      <c r="AA137" s="45"/>
      <c r="AB137" s="45"/>
      <c r="AC137" s="45"/>
      <c r="AD137" s="45"/>
      <c r="AE137" s="47"/>
      <c r="AF137" s="47"/>
      <c r="AG137" s="47"/>
      <c r="AH137" s="47"/>
      <c r="AI137" s="120" t="n">
        <v>11</v>
      </c>
    </row>
    <row r="138" s="120" customFormat="true" ht="11.25" hidden="false" customHeight="true" outlineLevel="0" collapsed="false">
      <c r="A138" s="598"/>
      <c r="B138" s="47"/>
      <c r="C138" s="47"/>
      <c r="N138" s="45"/>
      <c r="O138" s="47"/>
      <c r="P138" s="47"/>
      <c r="Q138" s="45"/>
      <c r="R138" s="45"/>
      <c r="S138" s="45"/>
      <c r="T138" s="45"/>
      <c r="U138" s="47"/>
      <c r="V138" s="45"/>
      <c r="W138" s="45"/>
      <c r="X138" s="599"/>
      <c r="Y138" s="45"/>
      <c r="Z138" s="45"/>
      <c r="AA138" s="45"/>
      <c r="AB138" s="45"/>
      <c r="AC138" s="45"/>
      <c r="AD138" s="45"/>
      <c r="AE138" s="47"/>
      <c r="AF138" s="47"/>
      <c r="AG138" s="47"/>
      <c r="AH138" s="47"/>
      <c r="AI138" s="120" t="n">
        <v>11</v>
      </c>
    </row>
    <row r="139" s="120" customFormat="true" ht="11.25" hidden="false" customHeight="true" outlineLevel="0" collapsed="false">
      <c r="A139" s="598"/>
      <c r="B139" s="47"/>
      <c r="C139" s="47"/>
      <c r="N139" s="45"/>
      <c r="O139" s="47"/>
      <c r="P139" s="47"/>
      <c r="Q139" s="45"/>
      <c r="R139" s="45"/>
      <c r="S139" s="45"/>
      <c r="T139" s="45"/>
      <c r="U139" s="47"/>
      <c r="V139" s="45"/>
      <c r="W139" s="45"/>
      <c r="X139" s="599"/>
      <c r="Y139" s="45"/>
      <c r="Z139" s="45"/>
      <c r="AA139" s="45"/>
      <c r="AB139" s="45"/>
      <c r="AC139" s="45"/>
      <c r="AD139" s="45"/>
      <c r="AE139" s="47"/>
      <c r="AF139" s="47"/>
      <c r="AG139" s="47"/>
      <c r="AH139" s="47"/>
      <c r="AI139" s="120" t="n">
        <v>11</v>
      </c>
    </row>
    <row r="140" s="120" customFormat="true" ht="11.25" hidden="false" customHeight="true" outlineLevel="0" collapsed="false">
      <c r="A140" s="598"/>
      <c r="B140" s="47"/>
      <c r="C140" s="47"/>
      <c r="N140" s="45"/>
      <c r="O140" s="47"/>
      <c r="P140" s="47"/>
      <c r="Q140" s="45"/>
      <c r="R140" s="45"/>
      <c r="S140" s="45"/>
      <c r="T140" s="45"/>
      <c r="U140" s="47"/>
      <c r="V140" s="45"/>
      <c r="W140" s="45"/>
      <c r="X140" s="599"/>
      <c r="Y140" s="45"/>
      <c r="Z140" s="45"/>
      <c r="AA140" s="45"/>
      <c r="AB140" s="45"/>
      <c r="AC140" s="45"/>
      <c r="AD140" s="45"/>
      <c r="AE140" s="47"/>
      <c r="AF140" s="47"/>
      <c r="AG140" s="47"/>
      <c r="AH140" s="47"/>
      <c r="AI140" s="120" t="n">
        <v>11</v>
      </c>
    </row>
    <row r="141" s="120" customFormat="true" ht="11.25" hidden="false" customHeight="true" outlineLevel="0" collapsed="false">
      <c r="A141" s="598"/>
      <c r="B141" s="47"/>
      <c r="C141" s="47"/>
      <c r="N141" s="45"/>
      <c r="O141" s="47"/>
      <c r="P141" s="47"/>
      <c r="Q141" s="45"/>
      <c r="R141" s="45"/>
      <c r="S141" s="45"/>
      <c r="T141" s="45"/>
      <c r="U141" s="47"/>
      <c r="V141" s="45"/>
      <c r="W141" s="45"/>
      <c r="X141" s="599"/>
      <c r="Y141" s="45"/>
      <c r="Z141" s="45"/>
      <c r="AA141" s="45"/>
      <c r="AB141" s="45"/>
      <c r="AC141" s="45"/>
      <c r="AD141" s="45"/>
      <c r="AE141" s="47"/>
      <c r="AF141" s="47"/>
      <c r="AG141" s="47"/>
      <c r="AH141" s="47"/>
      <c r="AI141" s="120" t="n">
        <v>11</v>
      </c>
    </row>
    <row r="142" s="120" customFormat="true" ht="11.25" hidden="false" customHeight="true" outlineLevel="0" collapsed="false">
      <c r="A142" s="598"/>
      <c r="B142" s="47"/>
      <c r="C142" s="47"/>
      <c r="N142" s="45"/>
      <c r="O142" s="47"/>
      <c r="P142" s="47"/>
      <c r="Q142" s="45"/>
      <c r="R142" s="45"/>
      <c r="S142" s="45"/>
      <c r="T142" s="45"/>
      <c r="U142" s="47"/>
      <c r="V142" s="45"/>
      <c r="W142" s="45"/>
      <c r="X142" s="599"/>
      <c r="Y142" s="45"/>
      <c r="Z142" s="45"/>
      <c r="AA142" s="45"/>
      <c r="AB142" s="45"/>
      <c r="AC142" s="45"/>
      <c r="AD142" s="45"/>
      <c r="AE142" s="47"/>
      <c r="AF142" s="47"/>
      <c r="AG142" s="47"/>
      <c r="AH142" s="47"/>
      <c r="AI142" s="120" t="n">
        <v>11</v>
      </c>
    </row>
    <row r="143" s="120" customFormat="true" ht="11.25" hidden="false" customHeight="true" outlineLevel="0" collapsed="false">
      <c r="A143" s="598"/>
      <c r="B143" s="47"/>
      <c r="C143" s="47"/>
      <c r="N143" s="45"/>
      <c r="O143" s="47"/>
      <c r="P143" s="47"/>
      <c r="Q143" s="45"/>
      <c r="R143" s="45"/>
      <c r="S143" s="45"/>
      <c r="T143" s="45"/>
      <c r="U143" s="47"/>
      <c r="V143" s="45"/>
      <c r="W143" s="45"/>
      <c r="X143" s="599"/>
      <c r="Y143" s="45"/>
      <c r="Z143" s="45"/>
      <c r="AA143" s="45"/>
      <c r="AB143" s="45"/>
      <c r="AC143" s="45"/>
      <c r="AD143" s="45"/>
      <c r="AE143" s="47"/>
      <c r="AF143" s="47"/>
      <c r="AG143" s="47"/>
      <c r="AH143" s="47"/>
      <c r="AI143" s="120" t="n">
        <v>11</v>
      </c>
    </row>
    <row r="144" s="120" customFormat="true" ht="11.25" hidden="false" customHeight="true" outlineLevel="0" collapsed="false">
      <c r="A144" s="598"/>
      <c r="B144" s="47"/>
      <c r="C144" s="47"/>
      <c r="N144" s="45"/>
      <c r="O144" s="47"/>
      <c r="P144" s="47"/>
      <c r="Q144" s="45"/>
      <c r="R144" s="45"/>
      <c r="S144" s="45"/>
      <c r="T144" s="45"/>
      <c r="U144" s="47"/>
      <c r="V144" s="45"/>
      <c r="W144" s="45"/>
      <c r="X144" s="599"/>
      <c r="Y144" s="45"/>
      <c r="Z144" s="45"/>
      <c r="AA144" s="45"/>
      <c r="AB144" s="45"/>
      <c r="AC144" s="45"/>
      <c r="AD144" s="45"/>
      <c r="AE144" s="47"/>
      <c r="AF144" s="47"/>
      <c r="AG144" s="47"/>
      <c r="AH144" s="47"/>
      <c r="AI144" s="120" t="n">
        <v>11</v>
      </c>
    </row>
    <row r="145" s="120" customFormat="true" ht="11.25" hidden="false" customHeight="true" outlineLevel="0" collapsed="false">
      <c r="A145" s="598"/>
      <c r="B145" s="47"/>
      <c r="C145" s="47"/>
      <c r="N145" s="45"/>
      <c r="O145" s="47"/>
      <c r="P145" s="47"/>
      <c r="Q145" s="45"/>
      <c r="R145" s="45"/>
      <c r="S145" s="45"/>
      <c r="T145" s="45"/>
      <c r="U145" s="47"/>
      <c r="V145" s="45"/>
      <c r="W145" s="45"/>
      <c r="X145" s="599"/>
      <c r="Y145" s="45"/>
      <c r="Z145" s="45"/>
      <c r="AA145" s="45"/>
      <c r="AB145" s="45"/>
      <c r="AC145" s="45"/>
      <c r="AD145" s="45"/>
      <c r="AE145" s="47"/>
      <c r="AF145" s="47"/>
      <c r="AG145" s="47"/>
      <c r="AH145" s="47"/>
      <c r="AI145" s="120" t="n">
        <v>11</v>
      </c>
    </row>
    <row r="146" s="120" customFormat="true" ht="11.25" hidden="false" customHeight="true" outlineLevel="0" collapsed="false">
      <c r="A146" s="598"/>
      <c r="B146" s="47"/>
      <c r="C146" s="47"/>
      <c r="N146" s="45"/>
      <c r="O146" s="47"/>
      <c r="P146" s="47"/>
      <c r="Q146" s="45"/>
      <c r="R146" s="45"/>
      <c r="S146" s="45"/>
      <c r="T146" s="45"/>
      <c r="U146" s="47"/>
      <c r="V146" s="45"/>
      <c r="W146" s="45"/>
      <c r="X146" s="599"/>
      <c r="Y146" s="45"/>
      <c r="Z146" s="45"/>
      <c r="AA146" s="45"/>
      <c r="AB146" s="45"/>
      <c r="AC146" s="45"/>
      <c r="AD146" s="45"/>
      <c r="AE146" s="47"/>
      <c r="AF146" s="47"/>
      <c r="AG146" s="47"/>
      <c r="AH146" s="47"/>
      <c r="AI146" s="120" t="n">
        <v>11</v>
      </c>
    </row>
    <row r="147" s="120" customFormat="true" ht="11.25" hidden="false" customHeight="true" outlineLevel="0" collapsed="false">
      <c r="A147" s="598"/>
      <c r="B147" s="47"/>
      <c r="C147" s="47"/>
      <c r="N147" s="45"/>
      <c r="O147" s="47"/>
      <c r="P147" s="47"/>
      <c r="Q147" s="45"/>
      <c r="R147" s="45"/>
      <c r="S147" s="45"/>
      <c r="T147" s="45"/>
      <c r="U147" s="47"/>
      <c r="V147" s="45"/>
      <c r="W147" s="45"/>
      <c r="X147" s="599"/>
      <c r="Y147" s="45"/>
      <c r="Z147" s="45"/>
      <c r="AA147" s="45"/>
      <c r="AB147" s="45"/>
      <c r="AC147" s="45"/>
      <c r="AD147" s="45"/>
      <c r="AE147" s="47"/>
      <c r="AF147" s="47"/>
      <c r="AG147" s="47"/>
      <c r="AH147" s="47"/>
      <c r="AI147" s="120" t="n">
        <v>11</v>
      </c>
    </row>
    <row r="148" s="120" customFormat="true" ht="11.25" hidden="false" customHeight="true" outlineLevel="0" collapsed="false">
      <c r="A148" s="598"/>
      <c r="B148" s="47"/>
      <c r="C148" s="47"/>
      <c r="N148" s="45"/>
      <c r="O148" s="47"/>
      <c r="P148" s="47"/>
      <c r="Q148" s="45"/>
      <c r="R148" s="45"/>
      <c r="S148" s="45"/>
      <c r="T148" s="45"/>
      <c r="U148" s="47"/>
      <c r="V148" s="45"/>
      <c r="W148" s="45"/>
      <c r="X148" s="599"/>
      <c r="Y148" s="45"/>
      <c r="Z148" s="45"/>
      <c r="AA148" s="45"/>
      <c r="AB148" s="45"/>
      <c r="AC148" s="45"/>
      <c r="AD148" s="45"/>
      <c r="AE148" s="47"/>
      <c r="AF148" s="47"/>
      <c r="AG148" s="47"/>
      <c r="AH148" s="47"/>
      <c r="AI148" s="120" t="n">
        <v>11</v>
      </c>
    </row>
    <row r="149" s="120" customFormat="true" ht="11.25" hidden="false" customHeight="true" outlineLevel="0" collapsed="false">
      <c r="A149" s="598"/>
      <c r="B149" s="47"/>
      <c r="C149" s="47"/>
      <c r="N149" s="45"/>
      <c r="O149" s="47"/>
      <c r="P149" s="47"/>
      <c r="Q149" s="45"/>
      <c r="R149" s="45"/>
      <c r="S149" s="45"/>
      <c r="T149" s="45"/>
      <c r="U149" s="47"/>
      <c r="V149" s="45"/>
      <c r="W149" s="45"/>
      <c r="X149" s="599"/>
      <c r="Y149" s="45"/>
      <c r="Z149" s="45"/>
      <c r="AA149" s="45"/>
      <c r="AB149" s="45"/>
      <c r="AC149" s="45"/>
      <c r="AD149" s="45"/>
      <c r="AE149" s="47"/>
      <c r="AF149" s="47"/>
      <c r="AG149" s="47"/>
      <c r="AH149" s="47"/>
      <c r="AI149" s="120" t="n">
        <v>11</v>
      </c>
    </row>
    <row r="150" s="120" customFormat="true" ht="11.25" hidden="false" customHeight="true" outlineLevel="0" collapsed="false">
      <c r="A150" s="598"/>
      <c r="B150" s="47"/>
      <c r="C150" s="47"/>
      <c r="N150" s="45"/>
      <c r="O150" s="47"/>
      <c r="P150" s="47"/>
      <c r="Q150" s="45"/>
      <c r="R150" s="45"/>
      <c r="S150" s="45"/>
      <c r="T150" s="45"/>
      <c r="U150" s="47"/>
      <c r="V150" s="45"/>
      <c r="W150" s="45"/>
      <c r="X150" s="599"/>
      <c r="Y150" s="45"/>
      <c r="Z150" s="45"/>
      <c r="AA150" s="45"/>
      <c r="AB150" s="45"/>
      <c r="AC150" s="45"/>
      <c r="AD150" s="45"/>
      <c r="AE150" s="47"/>
      <c r="AF150" s="47"/>
      <c r="AG150" s="47"/>
      <c r="AH150" s="47"/>
      <c r="AI150" s="120" t="n">
        <v>11</v>
      </c>
    </row>
    <row r="151" s="120" customFormat="true" ht="11.25" hidden="false" customHeight="true" outlineLevel="0" collapsed="false">
      <c r="A151" s="598"/>
      <c r="B151" s="47"/>
      <c r="C151" s="47"/>
      <c r="N151" s="45"/>
      <c r="O151" s="47"/>
      <c r="P151" s="47"/>
      <c r="Q151" s="45"/>
      <c r="R151" s="45"/>
      <c r="S151" s="45"/>
      <c r="T151" s="45"/>
      <c r="U151" s="47"/>
      <c r="V151" s="45"/>
      <c r="W151" s="45"/>
      <c r="X151" s="599"/>
      <c r="Y151" s="45"/>
      <c r="Z151" s="45"/>
      <c r="AA151" s="45"/>
      <c r="AB151" s="45"/>
      <c r="AC151" s="45"/>
      <c r="AD151" s="45"/>
      <c r="AE151" s="47"/>
      <c r="AF151" s="47"/>
      <c r="AG151" s="47"/>
      <c r="AH151" s="47"/>
      <c r="AI151" s="120" t="n">
        <v>11</v>
      </c>
    </row>
    <row r="152" s="120" customFormat="true" ht="11.25" hidden="false" customHeight="true" outlineLevel="0" collapsed="false">
      <c r="A152" s="598"/>
      <c r="B152" s="47"/>
      <c r="C152" s="47"/>
      <c r="N152" s="45"/>
      <c r="O152" s="47"/>
      <c r="P152" s="47"/>
      <c r="Q152" s="45"/>
      <c r="R152" s="45"/>
      <c r="S152" s="45"/>
      <c r="T152" s="45"/>
      <c r="U152" s="47"/>
      <c r="V152" s="45"/>
      <c r="W152" s="45"/>
      <c r="X152" s="599"/>
      <c r="Y152" s="45"/>
      <c r="Z152" s="45"/>
      <c r="AA152" s="45"/>
      <c r="AB152" s="45"/>
      <c r="AC152" s="45"/>
      <c r="AD152" s="45"/>
      <c r="AE152" s="47"/>
      <c r="AF152" s="47"/>
      <c r="AG152" s="47"/>
      <c r="AH152" s="47"/>
      <c r="AI152" s="120" t="n">
        <v>11</v>
      </c>
    </row>
    <row r="153" s="120" customFormat="true" ht="11.25" hidden="false" customHeight="true" outlineLevel="0" collapsed="false">
      <c r="A153" s="598"/>
      <c r="B153" s="47"/>
      <c r="C153" s="47"/>
      <c r="N153" s="45"/>
      <c r="O153" s="47"/>
      <c r="P153" s="47"/>
      <c r="Q153" s="45"/>
      <c r="R153" s="45"/>
      <c r="S153" s="45"/>
      <c r="T153" s="45"/>
      <c r="U153" s="47"/>
      <c r="V153" s="45"/>
      <c r="W153" s="45"/>
      <c r="X153" s="599"/>
      <c r="Y153" s="45"/>
      <c r="Z153" s="45"/>
      <c r="AA153" s="45"/>
      <c r="AB153" s="45"/>
      <c r="AC153" s="45"/>
      <c r="AD153" s="45"/>
      <c r="AE153" s="47"/>
      <c r="AF153" s="47"/>
      <c r="AG153" s="47"/>
      <c r="AH153" s="47"/>
      <c r="AI153" s="120" t="n">
        <v>11</v>
      </c>
    </row>
    <row r="154" s="120" customFormat="true" ht="11.25" hidden="false" customHeight="true" outlineLevel="0" collapsed="false">
      <c r="A154" s="598"/>
      <c r="B154" s="47"/>
      <c r="C154" s="47"/>
      <c r="N154" s="45"/>
      <c r="O154" s="47"/>
      <c r="P154" s="47"/>
      <c r="Q154" s="45"/>
      <c r="R154" s="45"/>
      <c r="S154" s="45"/>
      <c r="T154" s="45"/>
      <c r="U154" s="47"/>
      <c r="V154" s="45"/>
      <c r="W154" s="45"/>
      <c r="X154" s="599"/>
      <c r="Y154" s="45"/>
      <c r="Z154" s="45"/>
      <c r="AA154" s="45"/>
      <c r="AB154" s="45"/>
      <c r="AC154" s="45"/>
      <c r="AD154" s="45"/>
      <c r="AE154" s="47"/>
      <c r="AF154" s="47"/>
      <c r="AG154" s="47"/>
      <c r="AH154" s="47"/>
      <c r="AI154" s="120" t="n">
        <v>11</v>
      </c>
    </row>
    <row r="155" s="120" customFormat="true" ht="11.25" hidden="false" customHeight="true" outlineLevel="0" collapsed="false">
      <c r="A155" s="598"/>
      <c r="B155" s="47"/>
      <c r="C155" s="47"/>
      <c r="N155" s="45"/>
      <c r="O155" s="47"/>
      <c r="P155" s="47"/>
      <c r="Q155" s="45"/>
      <c r="R155" s="45"/>
      <c r="S155" s="45"/>
      <c r="T155" s="45"/>
      <c r="U155" s="47"/>
      <c r="V155" s="45"/>
      <c r="W155" s="45"/>
      <c r="X155" s="599"/>
      <c r="Y155" s="45"/>
      <c r="Z155" s="45"/>
      <c r="AA155" s="45"/>
      <c r="AB155" s="45"/>
      <c r="AC155" s="45"/>
      <c r="AD155" s="45"/>
      <c r="AE155" s="47"/>
      <c r="AF155" s="47"/>
      <c r="AG155" s="47"/>
      <c r="AH155" s="47"/>
      <c r="AI155" s="120" t="n">
        <v>11</v>
      </c>
    </row>
    <row r="156" s="120" customFormat="true" ht="11.25" hidden="false" customHeight="true" outlineLevel="0" collapsed="false">
      <c r="A156" s="598"/>
      <c r="B156" s="47"/>
      <c r="C156" s="47"/>
      <c r="N156" s="45"/>
      <c r="O156" s="47"/>
      <c r="P156" s="47"/>
      <c r="Q156" s="45"/>
      <c r="R156" s="45"/>
      <c r="S156" s="45"/>
      <c r="T156" s="45"/>
      <c r="U156" s="47"/>
      <c r="V156" s="45"/>
      <c r="W156" s="45"/>
      <c r="X156" s="599"/>
      <c r="Y156" s="45"/>
      <c r="Z156" s="45"/>
      <c r="AA156" s="45"/>
      <c r="AB156" s="45"/>
      <c r="AC156" s="45"/>
      <c r="AD156" s="45"/>
      <c r="AE156" s="47"/>
      <c r="AF156" s="47"/>
      <c r="AG156" s="47"/>
      <c r="AH156" s="47"/>
      <c r="AI156" s="120" t="n">
        <v>11</v>
      </c>
    </row>
    <row r="157" s="120" customFormat="true" ht="11.25" hidden="false" customHeight="true" outlineLevel="0" collapsed="false">
      <c r="A157" s="598"/>
      <c r="B157" s="47"/>
      <c r="C157" s="47"/>
      <c r="N157" s="45"/>
      <c r="O157" s="47"/>
      <c r="P157" s="47"/>
      <c r="Q157" s="45"/>
      <c r="R157" s="45"/>
      <c r="S157" s="45"/>
      <c r="T157" s="45"/>
      <c r="U157" s="47"/>
      <c r="V157" s="45"/>
      <c r="W157" s="45"/>
      <c r="X157" s="599"/>
      <c r="Y157" s="45"/>
      <c r="Z157" s="45"/>
      <c r="AA157" s="45"/>
      <c r="AB157" s="45"/>
      <c r="AC157" s="45"/>
      <c r="AD157" s="45"/>
      <c r="AE157" s="47"/>
      <c r="AF157" s="47"/>
      <c r="AG157" s="47"/>
      <c r="AH157" s="47"/>
      <c r="AI157" s="120" t="n">
        <v>11</v>
      </c>
    </row>
    <row r="158" s="120" customFormat="true" ht="11.25" hidden="false" customHeight="true" outlineLevel="0" collapsed="false">
      <c r="A158" s="598"/>
      <c r="B158" s="47"/>
      <c r="C158" s="47"/>
      <c r="N158" s="45"/>
      <c r="O158" s="47"/>
      <c r="P158" s="47"/>
      <c r="Q158" s="45"/>
      <c r="R158" s="45"/>
      <c r="S158" s="45"/>
      <c r="T158" s="45"/>
      <c r="U158" s="47"/>
      <c r="V158" s="45"/>
      <c r="W158" s="45"/>
      <c r="X158" s="599"/>
      <c r="Y158" s="45"/>
      <c r="Z158" s="45"/>
      <c r="AA158" s="45"/>
      <c r="AB158" s="45"/>
      <c r="AC158" s="45"/>
      <c r="AD158" s="45"/>
      <c r="AE158" s="47"/>
      <c r="AF158" s="47"/>
      <c r="AG158" s="47"/>
      <c r="AH158" s="47"/>
      <c r="AI158" s="120" t="n">
        <v>11</v>
      </c>
    </row>
    <row r="159" s="120" customFormat="true" ht="11.25" hidden="false" customHeight="true" outlineLevel="0" collapsed="false">
      <c r="A159" s="598"/>
      <c r="B159" s="47"/>
      <c r="C159" s="47"/>
      <c r="N159" s="45"/>
      <c r="O159" s="47"/>
      <c r="P159" s="47"/>
      <c r="Q159" s="45"/>
      <c r="R159" s="45"/>
      <c r="S159" s="45"/>
      <c r="T159" s="45"/>
      <c r="U159" s="47"/>
      <c r="V159" s="45"/>
      <c r="W159" s="45"/>
      <c r="X159" s="599"/>
      <c r="Y159" s="45"/>
      <c r="Z159" s="45"/>
      <c r="AA159" s="45"/>
      <c r="AB159" s="45"/>
      <c r="AC159" s="45"/>
      <c r="AD159" s="45"/>
      <c r="AE159" s="47"/>
      <c r="AF159" s="47"/>
      <c r="AG159" s="47"/>
      <c r="AH159" s="47"/>
      <c r="AI159" s="120" t="n">
        <v>11</v>
      </c>
    </row>
    <row r="160" s="120" customFormat="true" ht="11.25" hidden="false" customHeight="true" outlineLevel="0" collapsed="false">
      <c r="A160" s="598"/>
      <c r="B160" s="47"/>
      <c r="C160" s="47"/>
      <c r="N160" s="45"/>
      <c r="O160" s="47"/>
      <c r="P160" s="47"/>
      <c r="Q160" s="45"/>
      <c r="R160" s="45"/>
      <c r="S160" s="45"/>
      <c r="T160" s="45"/>
      <c r="U160" s="47"/>
      <c r="V160" s="45"/>
      <c r="W160" s="45"/>
      <c r="X160" s="599"/>
      <c r="Y160" s="45"/>
      <c r="Z160" s="45"/>
      <c r="AA160" s="45"/>
      <c r="AB160" s="45"/>
      <c r="AC160" s="45"/>
      <c r="AD160" s="45"/>
      <c r="AE160" s="47"/>
      <c r="AF160" s="47"/>
      <c r="AG160" s="47"/>
      <c r="AH160" s="47"/>
      <c r="AI160" s="120" t="n">
        <v>11</v>
      </c>
    </row>
    <row r="161" s="120" customFormat="true" ht="11.25" hidden="false" customHeight="true" outlineLevel="0" collapsed="false">
      <c r="A161" s="598"/>
      <c r="B161" s="47"/>
      <c r="C161" s="47"/>
      <c r="N161" s="45"/>
      <c r="O161" s="47"/>
      <c r="P161" s="47"/>
      <c r="Q161" s="45"/>
      <c r="R161" s="45"/>
      <c r="S161" s="45"/>
      <c r="T161" s="45"/>
      <c r="U161" s="47"/>
      <c r="V161" s="45"/>
      <c r="W161" s="45"/>
      <c r="X161" s="599"/>
      <c r="Y161" s="45"/>
      <c r="Z161" s="45"/>
      <c r="AA161" s="45"/>
      <c r="AB161" s="45"/>
      <c r="AC161" s="45"/>
      <c r="AD161" s="45"/>
      <c r="AE161" s="47"/>
      <c r="AF161" s="47"/>
      <c r="AG161" s="47"/>
      <c r="AH161" s="47"/>
      <c r="AI161" s="120" t="n">
        <v>11</v>
      </c>
    </row>
    <row r="162" s="120" customFormat="true" ht="11.25" hidden="false" customHeight="true" outlineLevel="0" collapsed="false">
      <c r="A162" s="598"/>
      <c r="B162" s="47"/>
      <c r="C162" s="47"/>
      <c r="N162" s="45"/>
      <c r="O162" s="47"/>
      <c r="P162" s="47"/>
      <c r="Q162" s="45"/>
      <c r="R162" s="45"/>
      <c r="S162" s="45"/>
      <c r="T162" s="45"/>
      <c r="U162" s="47"/>
      <c r="V162" s="45"/>
      <c r="W162" s="45"/>
      <c r="X162" s="599"/>
      <c r="Y162" s="45"/>
      <c r="Z162" s="45"/>
      <c r="AA162" s="45"/>
      <c r="AB162" s="45"/>
      <c r="AC162" s="45"/>
      <c r="AD162" s="45"/>
      <c r="AE162" s="47"/>
      <c r="AF162" s="47"/>
      <c r="AG162" s="47"/>
      <c r="AH162" s="47"/>
      <c r="AI162" s="120" t="n">
        <v>11</v>
      </c>
    </row>
    <row r="163" s="120" customFormat="true" ht="11.25" hidden="false" customHeight="true" outlineLevel="0" collapsed="false">
      <c r="A163" s="598"/>
      <c r="B163" s="47"/>
      <c r="C163" s="47"/>
      <c r="N163" s="45"/>
      <c r="O163" s="47"/>
      <c r="P163" s="47"/>
      <c r="Q163" s="45"/>
      <c r="R163" s="45"/>
      <c r="S163" s="45"/>
      <c r="T163" s="45"/>
      <c r="U163" s="47"/>
      <c r="V163" s="45"/>
      <c r="W163" s="45"/>
      <c r="X163" s="599"/>
      <c r="Y163" s="45"/>
      <c r="Z163" s="45"/>
      <c r="AA163" s="45"/>
      <c r="AB163" s="45"/>
      <c r="AC163" s="45"/>
      <c r="AD163" s="45"/>
      <c r="AE163" s="47"/>
      <c r="AF163" s="47"/>
      <c r="AG163" s="47"/>
      <c r="AH163" s="47"/>
      <c r="AI163" s="120" t="n">
        <v>11</v>
      </c>
    </row>
    <row r="164" s="120" customFormat="true" ht="11.25" hidden="false" customHeight="true" outlineLevel="0" collapsed="false">
      <c r="A164" s="598"/>
      <c r="B164" s="47"/>
      <c r="C164" s="47"/>
      <c r="N164" s="45"/>
      <c r="O164" s="47"/>
      <c r="P164" s="47"/>
      <c r="Q164" s="45"/>
      <c r="R164" s="45"/>
      <c r="S164" s="45"/>
      <c r="T164" s="45"/>
      <c r="U164" s="47"/>
      <c r="V164" s="45"/>
      <c r="W164" s="45"/>
      <c r="X164" s="599"/>
      <c r="Y164" s="45"/>
      <c r="Z164" s="45"/>
      <c r="AA164" s="45"/>
      <c r="AB164" s="45"/>
      <c r="AC164" s="45"/>
      <c r="AD164" s="45"/>
      <c r="AE164" s="47"/>
      <c r="AF164" s="47"/>
      <c r="AG164" s="47"/>
      <c r="AH164" s="47"/>
      <c r="AI164" s="120" t="n">
        <v>11</v>
      </c>
    </row>
    <row r="165" s="120" customFormat="true" ht="11.25" hidden="false" customHeight="true" outlineLevel="0" collapsed="false">
      <c r="A165" s="598"/>
      <c r="B165" s="47"/>
      <c r="C165" s="47"/>
      <c r="N165" s="45"/>
      <c r="O165" s="47"/>
      <c r="P165" s="47"/>
      <c r="Q165" s="45"/>
      <c r="R165" s="45"/>
      <c r="S165" s="45"/>
      <c r="T165" s="45"/>
      <c r="U165" s="47"/>
      <c r="V165" s="45"/>
      <c r="W165" s="45"/>
      <c r="X165" s="599"/>
      <c r="Y165" s="45"/>
      <c r="Z165" s="45"/>
      <c r="AA165" s="45"/>
      <c r="AB165" s="45"/>
      <c r="AC165" s="45"/>
      <c r="AD165" s="45"/>
      <c r="AE165" s="47"/>
      <c r="AF165" s="47"/>
      <c r="AG165" s="47"/>
      <c r="AH165" s="47"/>
      <c r="AI165" s="120" t="n">
        <v>11</v>
      </c>
    </row>
    <row r="166" s="120" customFormat="true" ht="11.25" hidden="false" customHeight="true" outlineLevel="0" collapsed="false">
      <c r="A166" s="598"/>
      <c r="B166" s="47"/>
      <c r="C166" s="47"/>
      <c r="N166" s="45"/>
      <c r="O166" s="47"/>
      <c r="P166" s="47"/>
      <c r="Q166" s="45"/>
      <c r="R166" s="45"/>
      <c r="S166" s="45"/>
      <c r="T166" s="45"/>
      <c r="U166" s="47"/>
      <c r="V166" s="45"/>
      <c r="W166" s="45"/>
      <c r="X166" s="599"/>
      <c r="Y166" s="45"/>
      <c r="Z166" s="45"/>
      <c r="AA166" s="45"/>
      <c r="AB166" s="45"/>
      <c r="AC166" s="45"/>
      <c r="AD166" s="45"/>
      <c r="AE166" s="47"/>
      <c r="AF166" s="47"/>
      <c r="AG166" s="47"/>
      <c r="AH166" s="47"/>
      <c r="AI166" s="120" t="n">
        <v>11</v>
      </c>
    </row>
    <row r="167" s="120" customFormat="true" ht="11.25" hidden="false" customHeight="true" outlineLevel="0" collapsed="false">
      <c r="A167" s="598"/>
      <c r="B167" s="47"/>
      <c r="C167" s="47"/>
      <c r="N167" s="45"/>
      <c r="O167" s="47"/>
      <c r="P167" s="47"/>
      <c r="Q167" s="45"/>
      <c r="R167" s="45"/>
      <c r="S167" s="45"/>
      <c r="T167" s="45"/>
      <c r="U167" s="47"/>
      <c r="V167" s="45"/>
      <c r="W167" s="45"/>
      <c r="X167" s="599"/>
      <c r="Y167" s="45"/>
      <c r="Z167" s="45"/>
      <c r="AA167" s="45"/>
      <c r="AB167" s="45"/>
      <c r="AC167" s="45"/>
      <c r="AD167" s="45"/>
      <c r="AE167" s="47"/>
      <c r="AF167" s="47"/>
      <c r="AG167" s="47"/>
      <c r="AH167" s="47"/>
      <c r="AI167" s="120" t="n">
        <v>11</v>
      </c>
    </row>
    <row r="168" s="120" customFormat="true" ht="11.25" hidden="false" customHeight="true" outlineLevel="0" collapsed="false">
      <c r="A168" s="598"/>
      <c r="B168" s="47"/>
      <c r="C168" s="47"/>
      <c r="N168" s="45"/>
      <c r="O168" s="47"/>
      <c r="P168" s="47"/>
      <c r="Q168" s="45"/>
      <c r="R168" s="45"/>
      <c r="S168" s="45"/>
      <c r="T168" s="45"/>
      <c r="U168" s="47"/>
      <c r="V168" s="45"/>
      <c r="W168" s="45"/>
      <c r="X168" s="599"/>
      <c r="Y168" s="45"/>
      <c r="Z168" s="45"/>
      <c r="AA168" s="45"/>
      <c r="AB168" s="45"/>
      <c r="AC168" s="45"/>
      <c r="AD168" s="45"/>
      <c r="AE168" s="47"/>
      <c r="AF168" s="47"/>
      <c r="AG168" s="47"/>
      <c r="AH168" s="47"/>
      <c r="AI168" s="120" t="n">
        <v>11</v>
      </c>
    </row>
    <row r="169" s="120" customFormat="true" ht="11.25" hidden="false" customHeight="true" outlineLevel="0" collapsed="false">
      <c r="A169" s="598"/>
      <c r="B169" s="47"/>
      <c r="C169" s="47"/>
      <c r="N169" s="45"/>
      <c r="O169" s="47"/>
      <c r="P169" s="47"/>
      <c r="Q169" s="45"/>
      <c r="R169" s="45"/>
      <c r="S169" s="45"/>
      <c r="T169" s="45"/>
      <c r="U169" s="47"/>
      <c r="V169" s="45"/>
      <c r="W169" s="45"/>
      <c r="X169" s="599"/>
      <c r="Y169" s="45"/>
      <c r="Z169" s="45"/>
      <c r="AA169" s="45"/>
      <c r="AB169" s="45"/>
      <c r="AC169" s="45"/>
      <c r="AD169" s="45"/>
      <c r="AE169" s="47"/>
      <c r="AF169" s="47"/>
      <c r="AG169" s="47"/>
      <c r="AH169" s="47"/>
      <c r="AI169" s="120" t="n">
        <v>11</v>
      </c>
    </row>
    <row r="170" s="120" customFormat="true" ht="11.25" hidden="false" customHeight="true" outlineLevel="0" collapsed="false">
      <c r="A170" s="598"/>
      <c r="B170" s="47"/>
      <c r="C170" s="47"/>
      <c r="N170" s="45"/>
      <c r="O170" s="47"/>
      <c r="P170" s="47"/>
      <c r="Q170" s="45"/>
      <c r="R170" s="45"/>
      <c r="S170" s="45"/>
      <c r="T170" s="45"/>
      <c r="U170" s="47"/>
      <c r="V170" s="45"/>
      <c r="W170" s="45"/>
      <c r="X170" s="599"/>
      <c r="Y170" s="45"/>
      <c r="Z170" s="45"/>
      <c r="AA170" s="45"/>
      <c r="AB170" s="45"/>
      <c r="AC170" s="45"/>
      <c r="AD170" s="45"/>
      <c r="AE170" s="47"/>
      <c r="AF170" s="47"/>
      <c r="AG170" s="47"/>
      <c r="AH170" s="47"/>
      <c r="AI170" s="120" t="n">
        <v>11</v>
      </c>
    </row>
    <row r="171" s="120" customFormat="true" ht="11.25" hidden="false" customHeight="true" outlineLevel="0" collapsed="false">
      <c r="A171" s="598"/>
      <c r="B171" s="47"/>
      <c r="C171" s="47"/>
      <c r="N171" s="45"/>
      <c r="O171" s="47"/>
      <c r="P171" s="47"/>
      <c r="Q171" s="45"/>
      <c r="R171" s="45"/>
      <c r="S171" s="45"/>
      <c r="T171" s="45"/>
      <c r="U171" s="47"/>
      <c r="V171" s="45"/>
      <c r="W171" s="45"/>
      <c r="X171" s="599"/>
      <c r="Y171" s="45"/>
      <c r="Z171" s="45"/>
      <c r="AA171" s="45"/>
      <c r="AB171" s="45"/>
      <c r="AC171" s="45"/>
      <c r="AD171" s="45"/>
      <c r="AE171" s="47"/>
      <c r="AF171" s="47"/>
      <c r="AG171" s="47"/>
      <c r="AH171" s="47"/>
      <c r="AI171" s="120" t="n">
        <v>11</v>
      </c>
    </row>
    <row r="172" s="120" customFormat="true" ht="11.25" hidden="false" customHeight="true" outlineLevel="0" collapsed="false">
      <c r="A172" s="598"/>
      <c r="B172" s="47"/>
      <c r="C172" s="47"/>
      <c r="N172" s="45"/>
      <c r="O172" s="47"/>
      <c r="P172" s="47"/>
      <c r="Q172" s="45"/>
      <c r="R172" s="45"/>
      <c r="S172" s="45"/>
      <c r="T172" s="45"/>
      <c r="U172" s="47"/>
      <c r="V172" s="45"/>
      <c r="W172" s="45"/>
      <c r="X172" s="599"/>
      <c r="Y172" s="45"/>
      <c r="Z172" s="45"/>
      <c r="AA172" s="45"/>
      <c r="AB172" s="45"/>
      <c r="AC172" s="45"/>
      <c r="AD172" s="45"/>
      <c r="AE172" s="47"/>
      <c r="AF172" s="47"/>
      <c r="AG172" s="47"/>
      <c r="AH172" s="47"/>
      <c r="AI172" s="120" t="n">
        <v>11</v>
      </c>
    </row>
    <row r="173" s="120" customFormat="true" ht="11.25" hidden="false" customHeight="true" outlineLevel="0" collapsed="false">
      <c r="A173" s="598"/>
      <c r="B173" s="47"/>
      <c r="C173" s="47"/>
      <c r="N173" s="45"/>
      <c r="O173" s="47"/>
      <c r="P173" s="47"/>
      <c r="Q173" s="45"/>
      <c r="R173" s="45"/>
      <c r="S173" s="45"/>
      <c r="T173" s="45"/>
      <c r="U173" s="47"/>
      <c r="V173" s="45"/>
      <c r="W173" s="45"/>
      <c r="X173" s="599"/>
      <c r="Y173" s="45"/>
      <c r="Z173" s="45"/>
      <c r="AA173" s="45"/>
      <c r="AB173" s="45"/>
      <c r="AC173" s="45"/>
      <c r="AD173" s="45"/>
      <c r="AE173" s="47"/>
      <c r="AF173" s="47"/>
      <c r="AG173" s="47"/>
      <c r="AH173" s="47"/>
      <c r="AI173" s="120" t="n">
        <v>11</v>
      </c>
    </row>
    <row r="174" s="120" customFormat="true" ht="11.25" hidden="false" customHeight="true" outlineLevel="0" collapsed="false">
      <c r="A174" s="598"/>
      <c r="B174" s="47"/>
      <c r="C174" s="47"/>
      <c r="N174" s="45"/>
      <c r="O174" s="47"/>
      <c r="P174" s="47"/>
      <c r="Q174" s="45"/>
      <c r="R174" s="45"/>
      <c r="S174" s="45"/>
      <c r="T174" s="45"/>
      <c r="U174" s="47"/>
      <c r="V174" s="45"/>
      <c r="W174" s="45"/>
      <c r="X174" s="599"/>
      <c r="Y174" s="45"/>
      <c r="Z174" s="45"/>
      <c r="AA174" s="45"/>
      <c r="AB174" s="45"/>
      <c r="AC174" s="45"/>
      <c r="AD174" s="45"/>
      <c r="AE174" s="47"/>
      <c r="AF174" s="47"/>
      <c r="AG174" s="47"/>
      <c r="AH174" s="47"/>
      <c r="AI174" s="120" t="n">
        <v>11</v>
      </c>
    </row>
    <row r="175" s="120" customFormat="true" ht="11.25" hidden="false" customHeight="true" outlineLevel="0" collapsed="false">
      <c r="A175" s="598"/>
      <c r="B175" s="47"/>
      <c r="C175" s="47"/>
      <c r="N175" s="45"/>
      <c r="O175" s="47"/>
      <c r="P175" s="47"/>
      <c r="Q175" s="45"/>
      <c r="R175" s="45"/>
      <c r="S175" s="45"/>
      <c r="T175" s="45"/>
      <c r="U175" s="47"/>
      <c r="V175" s="45"/>
      <c r="W175" s="45"/>
      <c r="X175" s="599"/>
      <c r="Y175" s="45"/>
      <c r="Z175" s="45"/>
      <c r="AA175" s="45"/>
      <c r="AB175" s="45"/>
      <c r="AC175" s="45"/>
      <c r="AD175" s="45"/>
      <c r="AE175" s="47"/>
      <c r="AF175" s="47"/>
      <c r="AG175" s="47"/>
      <c r="AH175" s="47"/>
      <c r="AI175" s="120" t="n">
        <v>11</v>
      </c>
    </row>
    <row r="176" s="120" customFormat="true" ht="11.25" hidden="false" customHeight="true" outlineLevel="0" collapsed="false">
      <c r="A176" s="598"/>
      <c r="B176" s="47"/>
      <c r="C176" s="47"/>
      <c r="N176" s="45"/>
      <c r="O176" s="47"/>
      <c r="P176" s="47"/>
      <c r="Q176" s="45"/>
      <c r="R176" s="45"/>
      <c r="S176" s="45"/>
      <c r="T176" s="45"/>
      <c r="U176" s="47"/>
      <c r="V176" s="45"/>
      <c r="W176" s="45"/>
      <c r="X176" s="599"/>
      <c r="Y176" s="45"/>
      <c r="Z176" s="45"/>
      <c r="AA176" s="45"/>
      <c r="AB176" s="45"/>
      <c r="AC176" s="45"/>
      <c r="AD176" s="45"/>
      <c r="AE176" s="47"/>
      <c r="AF176" s="47"/>
      <c r="AG176" s="47"/>
      <c r="AH176" s="47"/>
      <c r="AI176" s="120" t="n">
        <v>11</v>
      </c>
    </row>
    <row r="177" s="120" customFormat="true" ht="11.25" hidden="false" customHeight="true" outlineLevel="0" collapsed="false">
      <c r="A177" s="598"/>
      <c r="B177" s="47"/>
      <c r="C177" s="47"/>
      <c r="N177" s="45"/>
      <c r="O177" s="47"/>
      <c r="P177" s="47"/>
      <c r="Q177" s="45"/>
      <c r="R177" s="45"/>
      <c r="S177" s="45"/>
      <c r="T177" s="45"/>
      <c r="U177" s="47"/>
      <c r="V177" s="45"/>
      <c r="W177" s="45"/>
      <c r="X177" s="599"/>
      <c r="Y177" s="45"/>
      <c r="Z177" s="45"/>
      <c r="AA177" s="45"/>
      <c r="AB177" s="45"/>
      <c r="AC177" s="45"/>
      <c r="AD177" s="45"/>
      <c r="AE177" s="47"/>
      <c r="AF177" s="47"/>
      <c r="AG177" s="47"/>
      <c r="AH177" s="47"/>
      <c r="AI177" s="120" t="n">
        <v>11</v>
      </c>
    </row>
    <row r="178" s="120" customFormat="true" ht="11.25" hidden="false" customHeight="true" outlineLevel="0" collapsed="false">
      <c r="A178" s="598"/>
      <c r="B178" s="47"/>
      <c r="C178" s="47"/>
      <c r="N178" s="45"/>
      <c r="O178" s="47"/>
      <c r="P178" s="47"/>
      <c r="Q178" s="45"/>
      <c r="R178" s="45"/>
      <c r="S178" s="45"/>
      <c r="T178" s="45"/>
      <c r="U178" s="47"/>
      <c r="V178" s="45"/>
      <c r="W178" s="45"/>
      <c r="X178" s="599"/>
      <c r="Y178" s="45"/>
      <c r="Z178" s="45"/>
      <c r="AA178" s="45"/>
      <c r="AB178" s="45"/>
      <c r="AC178" s="45"/>
      <c r="AD178" s="45"/>
      <c r="AE178" s="47"/>
      <c r="AF178" s="47"/>
      <c r="AG178" s="47"/>
      <c r="AH178" s="47"/>
      <c r="AI178" s="120" t="n">
        <v>11</v>
      </c>
    </row>
    <row r="179" s="120" customFormat="true" ht="11.25" hidden="false" customHeight="true" outlineLevel="0" collapsed="false">
      <c r="A179" s="598"/>
      <c r="B179" s="47"/>
      <c r="C179" s="47"/>
      <c r="N179" s="45"/>
      <c r="O179" s="47"/>
      <c r="P179" s="47"/>
      <c r="Q179" s="45"/>
      <c r="R179" s="45"/>
      <c r="S179" s="45"/>
      <c r="T179" s="45"/>
      <c r="U179" s="47"/>
      <c r="V179" s="45"/>
      <c r="W179" s="45"/>
      <c r="X179" s="599"/>
      <c r="Y179" s="45"/>
      <c r="Z179" s="45"/>
      <c r="AA179" s="45"/>
      <c r="AB179" s="45"/>
      <c r="AC179" s="45"/>
      <c r="AD179" s="45"/>
      <c r="AE179" s="47"/>
      <c r="AF179" s="47"/>
      <c r="AG179" s="47"/>
      <c r="AH179" s="47"/>
      <c r="AI179" s="120" t="n">
        <v>11</v>
      </c>
    </row>
    <row r="180" s="120" customFormat="true" ht="11.25" hidden="false" customHeight="true" outlineLevel="0" collapsed="false">
      <c r="A180" s="598"/>
      <c r="B180" s="47"/>
      <c r="C180" s="47"/>
      <c r="N180" s="45"/>
      <c r="O180" s="47"/>
      <c r="P180" s="47"/>
      <c r="Q180" s="45"/>
      <c r="R180" s="45"/>
      <c r="S180" s="45"/>
      <c r="T180" s="45"/>
      <c r="U180" s="47"/>
      <c r="V180" s="45"/>
      <c r="W180" s="45"/>
      <c r="X180" s="599"/>
      <c r="Y180" s="45"/>
      <c r="Z180" s="45"/>
      <c r="AA180" s="45"/>
      <c r="AB180" s="45"/>
      <c r="AC180" s="45"/>
      <c r="AD180" s="45"/>
      <c r="AE180" s="47"/>
      <c r="AF180" s="47"/>
      <c r="AG180" s="47"/>
      <c r="AH180" s="47"/>
      <c r="AI180" s="120" t="n">
        <v>11</v>
      </c>
    </row>
    <row r="181" s="120" customFormat="true" ht="11.25" hidden="false" customHeight="true" outlineLevel="0" collapsed="false">
      <c r="A181" s="598"/>
      <c r="B181" s="47"/>
      <c r="C181" s="47"/>
      <c r="N181" s="45"/>
      <c r="O181" s="47"/>
      <c r="P181" s="47"/>
      <c r="Q181" s="45"/>
      <c r="R181" s="45"/>
      <c r="S181" s="45"/>
      <c r="T181" s="45"/>
      <c r="U181" s="47"/>
      <c r="V181" s="45"/>
      <c r="W181" s="45"/>
      <c r="X181" s="599"/>
      <c r="Y181" s="45"/>
      <c r="Z181" s="45"/>
      <c r="AA181" s="45"/>
      <c r="AB181" s="45"/>
      <c r="AC181" s="45"/>
      <c r="AD181" s="45"/>
      <c r="AE181" s="47"/>
      <c r="AF181" s="47"/>
      <c r="AG181" s="47"/>
      <c r="AH181" s="47"/>
      <c r="AI181" s="120" t="n">
        <v>11</v>
      </c>
    </row>
    <row r="182" s="120" customFormat="true" ht="11.25" hidden="false" customHeight="true" outlineLevel="0" collapsed="false">
      <c r="A182" s="598"/>
      <c r="B182" s="47"/>
      <c r="C182" s="47"/>
      <c r="N182" s="45"/>
      <c r="O182" s="47"/>
      <c r="P182" s="47"/>
      <c r="Q182" s="45"/>
      <c r="R182" s="45"/>
      <c r="S182" s="45"/>
      <c r="T182" s="45"/>
      <c r="U182" s="47"/>
      <c r="V182" s="45"/>
      <c r="W182" s="45"/>
      <c r="X182" s="599"/>
      <c r="Y182" s="45"/>
      <c r="Z182" s="45"/>
      <c r="AA182" s="45"/>
      <c r="AB182" s="45"/>
      <c r="AC182" s="45"/>
      <c r="AD182" s="45"/>
      <c r="AE182" s="47"/>
      <c r="AF182" s="47"/>
      <c r="AG182" s="47"/>
      <c r="AH182" s="47"/>
      <c r="AI182" s="120" t="n">
        <v>11</v>
      </c>
    </row>
    <row r="183" s="120" customFormat="true" ht="11.25" hidden="false" customHeight="true" outlineLevel="0" collapsed="false">
      <c r="A183" s="598"/>
      <c r="B183" s="47"/>
      <c r="C183" s="47"/>
      <c r="N183" s="45"/>
      <c r="O183" s="47"/>
      <c r="P183" s="47"/>
      <c r="Q183" s="45"/>
      <c r="R183" s="45"/>
      <c r="S183" s="45"/>
      <c r="T183" s="45"/>
      <c r="U183" s="47"/>
      <c r="V183" s="45"/>
      <c r="W183" s="45"/>
      <c r="X183" s="599"/>
      <c r="Y183" s="45"/>
      <c r="Z183" s="45"/>
      <c r="AA183" s="45"/>
      <c r="AB183" s="45"/>
      <c r="AC183" s="45"/>
      <c r="AD183" s="45"/>
      <c r="AE183" s="47"/>
      <c r="AF183" s="47"/>
      <c r="AG183" s="47"/>
      <c r="AH183" s="47"/>
      <c r="AI183" s="120" t="n">
        <v>11</v>
      </c>
    </row>
    <row r="184" s="120" customFormat="true" ht="11.25" hidden="false" customHeight="true" outlineLevel="0" collapsed="false">
      <c r="A184" s="598"/>
      <c r="B184" s="47"/>
      <c r="C184" s="47"/>
      <c r="N184" s="45"/>
      <c r="O184" s="47"/>
      <c r="P184" s="47"/>
      <c r="Q184" s="45"/>
      <c r="R184" s="45"/>
      <c r="S184" s="45"/>
      <c r="T184" s="45"/>
      <c r="U184" s="47"/>
      <c r="V184" s="45"/>
      <c r="W184" s="45"/>
      <c r="X184" s="599"/>
      <c r="Y184" s="45"/>
      <c r="Z184" s="45"/>
      <c r="AA184" s="45"/>
      <c r="AB184" s="45"/>
      <c r="AC184" s="45"/>
      <c r="AD184" s="45"/>
      <c r="AE184" s="47"/>
      <c r="AF184" s="47"/>
      <c r="AG184" s="47"/>
      <c r="AH184" s="47"/>
      <c r="AI184" s="120" t="n">
        <v>11</v>
      </c>
    </row>
    <row r="185" s="120" customFormat="true" ht="11.25" hidden="false" customHeight="true" outlineLevel="0" collapsed="false">
      <c r="A185" s="598"/>
      <c r="B185" s="47"/>
      <c r="C185" s="47"/>
      <c r="N185" s="45"/>
      <c r="O185" s="47"/>
      <c r="P185" s="47"/>
      <c r="Q185" s="45"/>
      <c r="R185" s="45"/>
      <c r="S185" s="45"/>
      <c r="T185" s="45"/>
      <c r="U185" s="47"/>
      <c r="V185" s="45"/>
      <c r="W185" s="45"/>
      <c r="X185" s="599"/>
      <c r="Y185" s="45"/>
      <c r="Z185" s="45"/>
      <c r="AA185" s="45"/>
      <c r="AB185" s="45"/>
      <c r="AC185" s="45"/>
      <c r="AD185" s="45"/>
      <c r="AE185" s="47"/>
      <c r="AF185" s="47"/>
      <c r="AG185" s="47"/>
      <c r="AH185" s="47"/>
      <c r="AI185" s="120" t="n">
        <v>11</v>
      </c>
    </row>
    <row r="186" s="120" customFormat="true" ht="11.25" hidden="false" customHeight="true" outlineLevel="0" collapsed="false">
      <c r="A186" s="598"/>
      <c r="B186" s="47"/>
      <c r="C186" s="47"/>
      <c r="N186" s="45"/>
      <c r="O186" s="47"/>
      <c r="P186" s="47"/>
      <c r="Q186" s="45"/>
      <c r="R186" s="45"/>
      <c r="S186" s="45"/>
      <c r="T186" s="45"/>
      <c r="U186" s="47"/>
      <c r="V186" s="45"/>
      <c r="W186" s="45"/>
      <c r="X186" s="599"/>
      <c r="Y186" s="45"/>
      <c r="Z186" s="45"/>
      <c r="AA186" s="45"/>
      <c r="AB186" s="45"/>
      <c r="AC186" s="45"/>
      <c r="AD186" s="45"/>
      <c r="AE186" s="47"/>
      <c r="AF186" s="47"/>
      <c r="AG186" s="47"/>
      <c r="AH186" s="47"/>
      <c r="AI186" s="120" t="n">
        <v>11</v>
      </c>
    </row>
    <row r="187" s="120" customFormat="true" ht="11.25" hidden="false" customHeight="true" outlineLevel="0" collapsed="false">
      <c r="A187" s="598"/>
      <c r="B187" s="47"/>
      <c r="C187" s="47"/>
      <c r="N187" s="45"/>
      <c r="O187" s="47"/>
      <c r="P187" s="47"/>
      <c r="Q187" s="45"/>
      <c r="R187" s="45"/>
      <c r="S187" s="45"/>
      <c r="T187" s="45"/>
      <c r="U187" s="47"/>
      <c r="V187" s="45"/>
      <c r="W187" s="45"/>
      <c r="X187" s="599"/>
      <c r="Y187" s="45"/>
      <c r="Z187" s="45"/>
      <c r="AA187" s="45"/>
      <c r="AB187" s="45"/>
      <c r="AC187" s="45"/>
      <c r="AD187" s="45"/>
      <c r="AE187" s="47"/>
      <c r="AF187" s="47"/>
      <c r="AG187" s="47"/>
      <c r="AH187" s="47"/>
      <c r="AI187" s="120" t="n">
        <v>11</v>
      </c>
    </row>
    <row r="188" s="120" customFormat="true" ht="11.25" hidden="false" customHeight="true" outlineLevel="0" collapsed="false">
      <c r="A188" s="598"/>
      <c r="B188" s="47"/>
      <c r="C188" s="47"/>
      <c r="N188" s="45"/>
      <c r="O188" s="47"/>
      <c r="P188" s="47"/>
      <c r="Q188" s="45"/>
      <c r="R188" s="45"/>
      <c r="S188" s="45"/>
      <c r="T188" s="45"/>
      <c r="U188" s="47"/>
      <c r="V188" s="45"/>
      <c r="W188" s="45"/>
      <c r="X188" s="599"/>
      <c r="Y188" s="45"/>
      <c r="Z188" s="45"/>
      <c r="AA188" s="45"/>
      <c r="AB188" s="45"/>
      <c r="AC188" s="45"/>
      <c r="AD188" s="45"/>
      <c r="AE188" s="47"/>
      <c r="AF188" s="47"/>
      <c r="AG188" s="47"/>
      <c r="AH188" s="47"/>
      <c r="AI188" s="120" t="n">
        <v>11</v>
      </c>
    </row>
    <row r="189" s="120" customFormat="true" ht="11.25" hidden="false" customHeight="true" outlineLevel="0" collapsed="false">
      <c r="A189" s="598"/>
      <c r="B189" s="47"/>
      <c r="C189" s="47"/>
      <c r="N189" s="45"/>
      <c r="O189" s="47"/>
      <c r="P189" s="47"/>
      <c r="Q189" s="45"/>
      <c r="R189" s="45"/>
      <c r="S189" s="45"/>
      <c r="T189" s="45"/>
      <c r="U189" s="47"/>
      <c r="V189" s="45"/>
      <c r="W189" s="45"/>
      <c r="X189" s="599"/>
      <c r="Y189" s="45"/>
      <c r="Z189" s="45"/>
      <c r="AA189" s="45"/>
      <c r="AB189" s="45"/>
      <c r="AC189" s="45"/>
      <c r="AD189" s="45"/>
      <c r="AE189" s="47"/>
      <c r="AF189" s="47"/>
      <c r="AG189" s="47"/>
      <c r="AH189" s="47"/>
      <c r="AI189" s="120" t="n">
        <v>11</v>
      </c>
    </row>
    <row r="190" s="120" customFormat="true" ht="11.25" hidden="false" customHeight="true" outlineLevel="0" collapsed="false">
      <c r="A190" s="598"/>
      <c r="B190" s="47"/>
      <c r="C190" s="47"/>
      <c r="N190" s="45"/>
      <c r="O190" s="47"/>
      <c r="P190" s="47"/>
      <c r="Q190" s="45"/>
      <c r="R190" s="45"/>
      <c r="S190" s="45"/>
      <c r="T190" s="45"/>
      <c r="U190" s="47"/>
      <c r="V190" s="45"/>
      <c r="W190" s="45"/>
      <c r="X190" s="599"/>
      <c r="Y190" s="45"/>
      <c r="Z190" s="45"/>
      <c r="AA190" s="45"/>
      <c r="AB190" s="45"/>
      <c r="AC190" s="45"/>
      <c r="AD190" s="45"/>
      <c r="AE190" s="47"/>
      <c r="AF190" s="47"/>
      <c r="AG190" s="47"/>
      <c r="AH190" s="47"/>
      <c r="AI190" s="120" t="n">
        <v>11</v>
      </c>
    </row>
    <row r="191" s="120" customFormat="true" ht="11.25" hidden="false" customHeight="true" outlineLevel="0" collapsed="false">
      <c r="A191" s="598"/>
      <c r="B191" s="47"/>
      <c r="C191" s="47"/>
      <c r="N191" s="45"/>
      <c r="O191" s="47"/>
      <c r="P191" s="47"/>
      <c r="Q191" s="45"/>
      <c r="R191" s="45"/>
      <c r="S191" s="45"/>
      <c r="T191" s="45"/>
      <c r="U191" s="47"/>
      <c r="V191" s="45"/>
      <c r="W191" s="45"/>
      <c r="X191" s="599"/>
      <c r="Y191" s="45"/>
      <c r="Z191" s="45"/>
      <c r="AA191" s="45"/>
      <c r="AB191" s="45"/>
      <c r="AC191" s="45"/>
      <c r="AD191" s="45"/>
      <c r="AE191" s="47"/>
      <c r="AF191" s="47"/>
      <c r="AG191" s="47"/>
      <c r="AH191" s="47"/>
      <c r="AI191" s="120" t="n">
        <v>11</v>
      </c>
    </row>
    <row r="192" s="120" customFormat="true" ht="11.25" hidden="false" customHeight="true" outlineLevel="0" collapsed="false">
      <c r="A192" s="598"/>
      <c r="B192" s="47"/>
      <c r="C192" s="47"/>
      <c r="N192" s="45"/>
      <c r="O192" s="47"/>
      <c r="P192" s="47"/>
      <c r="Q192" s="45"/>
      <c r="R192" s="45"/>
      <c r="S192" s="45"/>
      <c r="T192" s="45"/>
      <c r="U192" s="47"/>
      <c r="V192" s="45"/>
      <c r="W192" s="45"/>
      <c r="X192" s="599"/>
      <c r="Y192" s="45"/>
      <c r="Z192" s="45"/>
      <c r="AA192" s="45"/>
      <c r="AB192" s="45"/>
      <c r="AC192" s="45"/>
      <c r="AD192" s="45"/>
      <c r="AE192" s="47"/>
      <c r="AF192" s="47"/>
      <c r="AG192" s="47"/>
      <c r="AH192" s="47"/>
      <c r="AI192" s="120" t="n">
        <v>11</v>
      </c>
    </row>
    <row r="193" s="120" customFormat="true" ht="11.25" hidden="false" customHeight="true" outlineLevel="0" collapsed="false">
      <c r="A193" s="598"/>
      <c r="B193" s="47"/>
      <c r="C193" s="47"/>
      <c r="N193" s="45"/>
      <c r="O193" s="47"/>
      <c r="P193" s="47"/>
      <c r="Q193" s="45"/>
      <c r="R193" s="45"/>
      <c r="S193" s="45"/>
      <c r="T193" s="45"/>
      <c r="U193" s="47"/>
      <c r="V193" s="45"/>
      <c r="W193" s="45"/>
      <c r="X193" s="599"/>
      <c r="Y193" s="45"/>
      <c r="Z193" s="45"/>
      <c r="AA193" s="45"/>
      <c r="AB193" s="45"/>
      <c r="AC193" s="45"/>
      <c r="AD193" s="45"/>
      <c r="AE193" s="47"/>
      <c r="AF193" s="47"/>
      <c r="AG193" s="47"/>
      <c r="AH193" s="47"/>
      <c r="AI193" s="120" t="n">
        <v>11</v>
      </c>
    </row>
    <row r="194" s="120" customFormat="true" ht="11.25" hidden="false" customHeight="true" outlineLevel="0" collapsed="false">
      <c r="A194" s="598"/>
      <c r="B194" s="47"/>
      <c r="C194" s="47"/>
      <c r="N194" s="45"/>
      <c r="O194" s="47"/>
      <c r="P194" s="47"/>
      <c r="Q194" s="45"/>
      <c r="R194" s="45"/>
      <c r="S194" s="45"/>
      <c r="T194" s="45"/>
      <c r="U194" s="47"/>
      <c r="V194" s="45"/>
      <c r="W194" s="45"/>
      <c r="X194" s="599"/>
      <c r="Y194" s="45"/>
      <c r="Z194" s="45"/>
      <c r="AA194" s="45"/>
      <c r="AB194" s="45"/>
      <c r="AC194" s="45"/>
      <c r="AD194" s="45"/>
      <c r="AE194" s="47"/>
      <c r="AF194" s="47"/>
      <c r="AG194" s="47"/>
      <c r="AH194" s="47"/>
      <c r="AI194" s="120" t="n">
        <v>11</v>
      </c>
    </row>
    <row r="195" s="120" customFormat="true" ht="11.25" hidden="false" customHeight="true" outlineLevel="0" collapsed="false">
      <c r="A195" s="598"/>
      <c r="B195" s="47"/>
      <c r="C195" s="47"/>
      <c r="N195" s="45"/>
      <c r="O195" s="47"/>
      <c r="P195" s="47"/>
      <c r="Q195" s="45"/>
      <c r="R195" s="45"/>
      <c r="S195" s="45"/>
      <c r="T195" s="45"/>
      <c r="U195" s="47"/>
      <c r="V195" s="45"/>
      <c r="W195" s="45"/>
      <c r="X195" s="599"/>
      <c r="Y195" s="45"/>
      <c r="Z195" s="45"/>
      <c r="AA195" s="45"/>
      <c r="AB195" s="45"/>
      <c r="AC195" s="45"/>
      <c r="AD195" s="45"/>
      <c r="AE195" s="47"/>
      <c r="AF195" s="47"/>
      <c r="AG195" s="47"/>
      <c r="AH195" s="47"/>
      <c r="AI195" s="120" t="n">
        <v>11</v>
      </c>
    </row>
    <row r="196" s="120" customFormat="true" ht="11.25" hidden="false" customHeight="true" outlineLevel="0" collapsed="false">
      <c r="A196" s="598"/>
      <c r="B196" s="47"/>
      <c r="C196" s="47"/>
      <c r="N196" s="45"/>
      <c r="O196" s="47"/>
      <c r="P196" s="47"/>
      <c r="Q196" s="45"/>
      <c r="R196" s="45"/>
      <c r="S196" s="45"/>
      <c r="T196" s="45"/>
      <c r="U196" s="47"/>
      <c r="V196" s="45"/>
      <c r="W196" s="45"/>
      <c r="X196" s="599"/>
      <c r="Y196" s="45"/>
      <c r="Z196" s="45"/>
      <c r="AA196" s="45"/>
      <c r="AB196" s="45"/>
      <c r="AC196" s="45"/>
      <c r="AD196" s="45"/>
      <c r="AE196" s="47"/>
      <c r="AF196" s="47"/>
      <c r="AG196" s="47"/>
      <c r="AH196" s="47"/>
      <c r="AI196" s="120" t="n">
        <v>11</v>
      </c>
    </row>
    <row r="197" s="120" customFormat="true" ht="11.25" hidden="false" customHeight="true" outlineLevel="0" collapsed="false">
      <c r="A197" s="598"/>
      <c r="B197" s="47"/>
      <c r="C197" s="47"/>
      <c r="N197" s="45"/>
      <c r="O197" s="47"/>
      <c r="P197" s="47"/>
      <c r="Q197" s="45"/>
      <c r="R197" s="45"/>
      <c r="S197" s="45"/>
      <c r="T197" s="45"/>
      <c r="U197" s="47"/>
      <c r="V197" s="45"/>
      <c r="W197" s="45"/>
      <c r="X197" s="599"/>
      <c r="Y197" s="45"/>
      <c r="Z197" s="45"/>
      <c r="AA197" s="45"/>
      <c r="AB197" s="45"/>
      <c r="AC197" s="45"/>
      <c r="AD197" s="45"/>
      <c r="AE197" s="47"/>
      <c r="AF197" s="47"/>
      <c r="AG197" s="47"/>
      <c r="AH197" s="47"/>
      <c r="AI197" s="120" t="n">
        <v>11</v>
      </c>
    </row>
    <row r="198" s="120" customFormat="true" ht="11.25" hidden="false" customHeight="true" outlineLevel="0" collapsed="false">
      <c r="A198" s="598"/>
      <c r="B198" s="47"/>
      <c r="C198" s="47"/>
      <c r="N198" s="45"/>
      <c r="O198" s="47"/>
      <c r="P198" s="47"/>
      <c r="Q198" s="45"/>
      <c r="R198" s="45"/>
      <c r="S198" s="45"/>
      <c r="T198" s="45"/>
      <c r="U198" s="47"/>
      <c r="V198" s="45"/>
      <c r="W198" s="45"/>
      <c r="X198" s="599"/>
      <c r="Y198" s="45"/>
      <c r="Z198" s="45"/>
      <c r="AA198" s="45"/>
      <c r="AB198" s="45"/>
      <c r="AC198" s="45"/>
      <c r="AD198" s="45"/>
      <c r="AE198" s="47"/>
      <c r="AF198" s="47"/>
      <c r="AG198" s="47"/>
      <c r="AH198" s="47"/>
      <c r="AI198" s="120" t="n">
        <v>11</v>
      </c>
    </row>
    <row r="199" s="120" customFormat="true" ht="11.25" hidden="false" customHeight="true" outlineLevel="0" collapsed="false">
      <c r="A199" s="598"/>
      <c r="B199" s="47"/>
      <c r="C199" s="47"/>
      <c r="N199" s="45"/>
      <c r="O199" s="47"/>
      <c r="P199" s="47"/>
      <c r="Q199" s="45"/>
      <c r="R199" s="45"/>
      <c r="S199" s="45"/>
      <c r="T199" s="45"/>
      <c r="U199" s="47"/>
      <c r="V199" s="45"/>
      <c r="W199" s="45"/>
      <c r="X199" s="599"/>
      <c r="Y199" s="45"/>
      <c r="Z199" s="45"/>
      <c r="AA199" s="45"/>
      <c r="AB199" s="45"/>
      <c r="AC199" s="45"/>
      <c r="AD199" s="45"/>
      <c r="AE199" s="47"/>
      <c r="AF199" s="47"/>
      <c r="AG199" s="47"/>
      <c r="AH199" s="47"/>
      <c r="AI199" s="120" t="n">
        <v>11</v>
      </c>
    </row>
    <row r="200" s="120" customFormat="true" ht="11.25" hidden="false" customHeight="true" outlineLevel="0" collapsed="false">
      <c r="A200" s="598"/>
      <c r="B200" s="47"/>
      <c r="C200" s="47"/>
      <c r="N200" s="45"/>
      <c r="O200" s="47"/>
      <c r="P200" s="47"/>
      <c r="Q200" s="45"/>
      <c r="R200" s="45"/>
      <c r="S200" s="45"/>
      <c r="T200" s="45"/>
      <c r="U200" s="47"/>
      <c r="V200" s="45"/>
      <c r="W200" s="45"/>
      <c r="X200" s="599"/>
      <c r="Y200" s="45"/>
      <c r="Z200" s="45"/>
      <c r="AA200" s="45"/>
      <c r="AB200" s="45"/>
      <c r="AC200" s="45"/>
      <c r="AD200" s="45"/>
      <c r="AE200" s="47"/>
      <c r="AF200" s="47"/>
      <c r="AG200" s="47"/>
      <c r="AH200" s="47"/>
      <c r="AI200" s="120" t="n">
        <v>11</v>
      </c>
    </row>
    <row r="201" s="120" customFormat="true" ht="11.25" hidden="false" customHeight="true" outlineLevel="0" collapsed="false">
      <c r="A201" s="598"/>
      <c r="B201" s="47"/>
      <c r="C201" s="47"/>
      <c r="N201" s="45"/>
      <c r="O201" s="47"/>
      <c r="P201" s="47"/>
      <c r="Q201" s="45"/>
      <c r="R201" s="45"/>
      <c r="S201" s="45"/>
      <c r="T201" s="45"/>
      <c r="U201" s="47"/>
      <c r="V201" s="45"/>
      <c r="W201" s="45"/>
      <c r="X201" s="599"/>
      <c r="Y201" s="45"/>
      <c r="Z201" s="45"/>
      <c r="AA201" s="45"/>
      <c r="AB201" s="45"/>
      <c r="AC201" s="45"/>
      <c r="AD201" s="45"/>
      <c r="AE201" s="47"/>
      <c r="AF201" s="47"/>
      <c r="AG201" s="47"/>
      <c r="AH201" s="47"/>
      <c r="AI201" s="120" t="n">
        <v>11</v>
      </c>
    </row>
    <row r="202" s="120" customFormat="true" ht="11.25" hidden="false" customHeight="true" outlineLevel="0" collapsed="false">
      <c r="A202" s="598"/>
      <c r="B202" s="47"/>
      <c r="C202" s="47"/>
      <c r="N202" s="45"/>
      <c r="O202" s="47"/>
      <c r="P202" s="47"/>
      <c r="Q202" s="45"/>
      <c r="R202" s="45"/>
      <c r="S202" s="45"/>
      <c r="T202" s="45"/>
      <c r="U202" s="47"/>
      <c r="V202" s="45"/>
      <c r="W202" s="45"/>
      <c r="X202" s="599"/>
      <c r="Y202" s="45"/>
      <c r="Z202" s="45"/>
      <c r="AA202" s="45"/>
      <c r="AB202" s="45"/>
      <c r="AC202" s="45"/>
      <c r="AD202" s="45"/>
      <c r="AE202" s="47"/>
      <c r="AF202" s="47"/>
      <c r="AG202" s="47"/>
      <c r="AH202" s="47"/>
      <c r="AI202" s="120" t="n">
        <v>11</v>
      </c>
    </row>
    <row r="203" customFormat="false" ht="11.25" hidden="false" customHeight="true" outlineLevel="0" collapsed="false">
      <c r="AI203" s="42" t="n">
        <v>11</v>
      </c>
    </row>
    <row r="204" customFormat="false" ht="11.25" hidden="false" customHeight="true" outlineLevel="0" collapsed="false">
      <c r="AI204" s="42" t="n">
        <v>11</v>
      </c>
    </row>
    <row r="205" customFormat="false" ht="11.25" hidden="false" customHeight="true" outlineLevel="0" collapsed="false">
      <c r="AI205" s="42" t="n">
        <v>11</v>
      </c>
    </row>
    <row r="206" customFormat="false" ht="11.25" hidden="false" customHeight="true" outlineLevel="0" collapsed="false">
      <c r="A206" s="669"/>
      <c r="B206" s="42"/>
      <c r="N206" s="42"/>
      <c r="Q206" s="42"/>
      <c r="R206" s="42"/>
      <c r="S206" s="42"/>
      <c r="T206" s="42"/>
      <c r="V206" s="42"/>
      <c r="W206" s="42"/>
      <c r="X206" s="42"/>
      <c r="Y206" s="42"/>
      <c r="Z206" s="42"/>
      <c r="AA206" s="42"/>
      <c r="AB206" s="42"/>
      <c r="AC206" s="42"/>
      <c r="AD206" s="42"/>
      <c r="AE206" s="42"/>
      <c r="AF206" s="42"/>
      <c r="AG206" s="42"/>
      <c r="AH206" s="42"/>
      <c r="AI206" s="42" t="n">
        <v>11</v>
      </c>
    </row>
    <row r="207" customFormat="false" ht="11.25" hidden="false" customHeight="true" outlineLevel="0" collapsed="false">
      <c r="A207" s="669"/>
      <c r="B207" s="42"/>
      <c r="N207" s="42"/>
      <c r="Q207" s="42"/>
      <c r="R207" s="42"/>
      <c r="S207" s="42"/>
      <c r="T207" s="42"/>
      <c r="V207" s="42"/>
      <c r="W207" s="42"/>
      <c r="X207" s="42"/>
      <c r="Y207" s="42"/>
      <c r="Z207" s="42"/>
      <c r="AA207" s="42"/>
      <c r="AB207" s="42"/>
      <c r="AC207" s="42"/>
      <c r="AD207" s="42"/>
      <c r="AE207" s="42"/>
      <c r="AF207" s="42"/>
      <c r="AG207" s="42"/>
      <c r="AH207" s="42"/>
      <c r="AI207" s="42" t="n">
        <v>11</v>
      </c>
    </row>
    <row r="208" customFormat="false" ht="11.25" hidden="false" customHeight="true" outlineLevel="0" collapsed="false">
      <c r="A208" s="669"/>
      <c r="B208" s="42"/>
      <c r="N208" s="42"/>
      <c r="Q208" s="42"/>
      <c r="R208" s="42"/>
      <c r="S208" s="42"/>
      <c r="T208" s="42"/>
      <c r="V208" s="42"/>
      <c r="W208" s="42"/>
      <c r="X208" s="42"/>
      <c r="Y208" s="42"/>
      <c r="Z208" s="42"/>
      <c r="AA208" s="42"/>
      <c r="AB208" s="42"/>
      <c r="AC208" s="42"/>
      <c r="AD208" s="42"/>
      <c r="AE208" s="42"/>
      <c r="AF208" s="42"/>
      <c r="AG208" s="42"/>
      <c r="AH208" s="42"/>
      <c r="AI208" s="42" t="n">
        <v>11</v>
      </c>
    </row>
    <row r="209" customFormat="false" ht="11.25" hidden="false" customHeight="true" outlineLevel="0" collapsed="false">
      <c r="A209" s="669"/>
      <c r="B209" s="42"/>
      <c r="N209" s="42"/>
      <c r="Q209" s="42"/>
      <c r="R209" s="42"/>
      <c r="S209" s="42"/>
      <c r="T209" s="42"/>
      <c r="V209" s="42"/>
      <c r="W209" s="42"/>
      <c r="X209" s="42"/>
      <c r="Y209" s="42"/>
      <c r="Z209" s="42"/>
      <c r="AA209" s="42"/>
      <c r="AB209" s="42"/>
      <c r="AC209" s="42"/>
      <c r="AD209" s="42"/>
      <c r="AE209" s="42"/>
      <c r="AF209" s="42"/>
      <c r="AG209" s="42"/>
      <c r="AH209" s="42"/>
      <c r="AI209" s="42" t="n">
        <v>11</v>
      </c>
    </row>
    <row r="210" customFormat="false" ht="11.25" hidden="false" customHeight="true" outlineLevel="0" collapsed="false">
      <c r="A210" s="669"/>
      <c r="B210" s="42"/>
      <c r="N210" s="42"/>
      <c r="Q210" s="42"/>
      <c r="R210" s="42"/>
      <c r="S210" s="42"/>
      <c r="T210" s="42"/>
      <c r="V210" s="42"/>
      <c r="W210" s="42"/>
      <c r="X210" s="42"/>
      <c r="Y210" s="42"/>
      <c r="Z210" s="42"/>
      <c r="AA210" s="42"/>
      <c r="AB210" s="42"/>
      <c r="AC210" s="42"/>
      <c r="AD210" s="42"/>
      <c r="AE210" s="42"/>
      <c r="AF210" s="42"/>
      <c r="AG210" s="42"/>
      <c r="AH210" s="42"/>
      <c r="AI210" s="42" t="n">
        <v>11</v>
      </c>
    </row>
    <row r="211" customFormat="false" ht="11.25" hidden="false" customHeight="true" outlineLevel="0" collapsed="false">
      <c r="A211" s="669"/>
      <c r="B211" s="42"/>
      <c r="N211" s="42"/>
      <c r="Q211" s="42"/>
      <c r="R211" s="42"/>
      <c r="S211" s="42"/>
      <c r="T211" s="42"/>
      <c r="V211" s="42"/>
      <c r="W211" s="42"/>
      <c r="X211" s="42"/>
      <c r="Y211" s="42"/>
      <c r="Z211" s="42"/>
      <c r="AA211" s="42"/>
      <c r="AB211" s="42"/>
      <c r="AC211" s="42"/>
      <c r="AD211" s="42"/>
      <c r="AE211" s="42"/>
      <c r="AF211" s="42"/>
      <c r="AG211" s="42"/>
      <c r="AH211" s="42"/>
      <c r="AI211" s="42" t="n">
        <v>11</v>
      </c>
    </row>
    <row r="212" customFormat="false" ht="11.25" hidden="false" customHeight="true" outlineLevel="0" collapsed="false">
      <c r="A212" s="669"/>
      <c r="B212" s="42"/>
      <c r="N212" s="42"/>
      <c r="Q212" s="42"/>
      <c r="R212" s="42"/>
      <c r="S212" s="42"/>
      <c r="T212" s="42"/>
      <c r="V212" s="42"/>
      <c r="W212" s="42"/>
      <c r="X212" s="42"/>
      <c r="Y212" s="42"/>
      <c r="Z212" s="42"/>
      <c r="AA212" s="42"/>
      <c r="AB212" s="42"/>
      <c r="AC212" s="42"/>
      <c r="AD212" s="42"/>
      <c r="AE212" s="42"/>
      <c r="AF212" s="42"/>
      <c r="AG212" s="42"/>
      <c r="AH212" s="42"/>
      <c r="AI212" s="42" t="n">
        <v>11</v>
      </c>
    </row>
    <row r="213" customFormat="false" ht="11.25" hidden="false" customHeight="true" outlineLevel="0" collapsed="false">
      <c r="A213" s="669"/>
      <c r="B213" s="42"/>
      <c r="N213" s="42"/>
      <c r="Q213" s="42"/>
      <c r="R213" s="42"/>
      <c r="S213" s="42"/>
      <c r="T213" s="42"/>
      <c r="V213" s="42"/>
      <c r="W213" s="42"/>
      <c r="X213" s="42"/>
      <c r="Y213" s="42"/>
      <c r="Z213" s="42"/>
      <c r="AA213" s="42"/>
      <c r="AB213" s="42"/>
      <c r="AC213" s="42"/>
      <c r="AD213" s="42"/>
      <c r="AE213" s="42"/>
      <c r="AF213" s="42"/>
      <c r="AG213" s="42"/>
      <c r="AH213" s="42"/>
      <c r="AI213" s="42" t="n">
        <v>11</v>
      </c>
    </row>
    <row r="214" customFormat="false" ht="11.25" hidden="false" customHeight="true" outlineLevel="0" collapsed="false">
      <c r="A214" s="669"/>
      <c r="B214" s="42"/>
      <c r="N214" s="42"/>
      <c r="Q214" s="42"/>
      <c r="R214" s="42"/>
      <c r="S214" s="42"/>
      <c r="T214" s="42"/>
      <c r="V214" s="42"/>
      <c r="W214" s="42"/>
      <c r="X214" s="42"/>
      <c r="Y214" s="42"/>
      <c r="Z214" s="42"/>
      <c r="AA214" s="42"/>
      <c r="AB214" s="42"/>
      <c r="AC214" s="42"/>
      <c r="AD214" s="42"/>
      <c r="AE214" s="42"/>
      <c r="AF214" s="42"/>
      <c r="AG214" s="42"/>
      <c r="AH214" s="42"/>
      <c r="AI214" s="42" t="n">
        <v>11</v>
      </c>
    </row>
    <row r="215" customFormat="false" ht="11.25" hidden="false" customHeight="true" outlineLevel="0" collapsed="false">
      <c r="A215" s="669"/>
      <c r="B215" s="42"/>
      <c r="N215" s="42"/>
      <c r="Q215" s="42"/>
      <c r="R215" s="42"/>
      <c r="S215" s="42"/>
      <c r="T215" s="42"/>
      <c r="V215" s="42"/>
      <c r="W215" s="42"/>
      <c r="X215" s="42"/>
      <c r="Y215" s="42"/>
      <c r="Z215" s="42"/>
      <c r="AA215" s="42"/>
      <c r="AB215" s="42"/>
      <c r="AC215" s="42"/>
      <c r="AD215" s="42"/>
      <c r="AE215" s="42"/>
      <c r="AF215" s="42"/>
      <c r="AG215" s="42"/>
      <c r="AH215" s="42"/>
      <c r="AI215" s="42" t="n">
        <v>11</v>
      </c>
    </row>
    <row r="216" customFormat="false" ht="11.25" hidden="false" customHeight="true" outlineLevel="0" collapsed="false">
      <c r="A216" s="669"/>
      <c r="B216" s="42"/>
      <c r="N216" s="42"/>
      <c r="Q216" s="42"/>
      <c r="R216" s="42"/>
      <c r="S216" s="42"/>
      <c r="T216" s="42"/>
      <c r="V216" s="42"/>
      <c r="W216" s="42"/>
      <c r="X216" s="42"/>
      <c r="Y216" s="42"/>
      <c r="Z216" s="42"/>
      <c r="AA216" s="42"/>
      <c r="AB216" s="42"/>
      <c r="AC216" s="42"/>
      <c r="AD216" s="42"/>
      <c r="AE216" s="42"/>
      <c r="AF216" s="42"/>
      <c r="AG216" s="42"/>
      <c r="AH216" s="42"/>
      <c r="AI216" s="42" t="n">
        <v>11</v>
      </c>
    </row>
    <row r="217" customFormat="false" ht="11.25" hidden="true" customHeight="true" outlineLevel="0" collapsed="false">
      <c r="A217" s="598" t="s">
        <v>81</v>
      </c>
      <c r="B217" s="45" t="n">
        <v>0</v>
      </c>
      <c r="C217" s="47" t="n">
        <v>0</v>
      </c>
      <c r="D217" s="42" t="n">
        <v>3</v>
      </c>
      <c r="E217" s="42" t="n">
        <v>7</v>
      </c>
      <c r="F217" s="42" t="n">
        <v>56</v>
      </c>
      <c r="G217" s="42" t="n">
        <v>10</v>
      </c>
      <c r="H217" s="42" t="n">
        <v>0</v>
      </c>
      <c r="I217" s="42" t="n">
        <v>40</v>
      </c>
      <c r="J217" s="42" t="n">
        <v>0</v>
      </c>
      <c r="K217" s="42" t="n">
        <v>0</v>
      </c>
      <c r="L217" s="42" t="n">
        <v>0</v>
      </c>
      <c r="M217" s="42" t="n">
        <v>102</v>
      </c>
      <c r="N217" s="45" t="n">
        <v>9</v>
      </c>
      <c r="O217" s="47" t="n">
        <v>5</v>
      </c>
      <c r="P217" s="47" t="n">
        <v>3</v>
      </c>
      <c r="Q217" s="45" t="n">
        <v>3</v>
      </c>
      <c r="R217" s="45" t="n">
        <v>3</v>
      </c>
      <c r="S217" s="45" t="n">
        <v>3</v>
      </c>
      <c r="T217" s="45" t="n">
        <v>3</v>
      </c>
      <c r="U217" s="47" t="n">
        <v>10</v>
      </c>
      <c r="V217" s="45" t="n">
        <v>34</v>
      </c>
      <c r="W217" s="45" t="n">
        <v>9</v>
      </c>
      <c r="X217" s="599" t="n">
        <v>8</v>
      </c>
      <c r="Y217" s="45" t="n">
        <v>8</v>
      </c>
      <c r="Z217" s="45" t="n">
        <v>8</v>
      </c>
      <c r="AA217" s="45" t="n">
        <v>8</v>
      </c>
      <c r="AB217" s="45" t="n">
        <v>8</v>
      </c>
      <c r="AC217" s="45" t="n">
        <v>8</v>
      </c>
      <c r="AD217" s="45" t="n">
        <v>8</v>
      </c>
      <c r="AE217" s="45" t="n">
        <v>8</v>
      </c>
      <c r="AF217" s="45" t="n">
        <v>8</v>
      </c>
      <c r="AG217" s="45" t="n">
        <v>8</v>
      </c>
      <c r="AH217" s="45" t="n">
        <v>8</v>
      </c>
      <c r="AI217" s="42" t="n">
        <v>11</v>
      </c>
    </row>
  </sheetData>
  <mergeCells count="7">
    <mergeCell ref="E6:I6"/>
    <mergeCell ref="E7:I7"/>
    <mergeCell ref="F10:G10"/>
    <mergeCell ref="M10:M14"/>
    <mergeCell ref="F11:G11"/>
    <mergeCell ref="F12:G12"/>
    <mergeCell ref="E13:G13"/>
  </mergeCells>
  <dataValidations count="5">
    <dataValidation allowBlank="true" error="Допускается ввод только действительных чисел!" errorStyle="stop" errorTitle="Ошибка" operator="between" showDropDown="false" showErrorMessage="true" showInputMessage="false" sqref="H40:L42"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36:L37" type="decimal">
      <formula1>-9.99999999999999E+023</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43:L4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2:L2 H15:L15 H17:L32 H35:L35 H38:L39 H44:L46" type="decimal">
      <formula1>0</formula1>
      <formula2>9.99999999999999E+023</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33:L3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I21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L9" activeCellId="0" sqref="L9"/>
    </sheetView>
  </sheetViews>
  <sheetFormatPr defaultColWidth="9.14453125" defaultRowHeight="11.25" zeroHeight="false" outlineLevelRow="0" outlineLevelCol="0"/>
  <cols>
    <col collapsed="false" customWidth="true" hidden="true" outlineLevel="0" max="1" min="1" style="598" width="10.71"/>
    <col collapsed="false" customWidth="true" hidden="true" outlineLevel="0" max="2" min="2" style="45" width="16.85"/>
    <col collapsed="false" customWidth="true" hidden="true" outlineLevel="0" max="3" min="3" style="47" width="5.57"/>
    <col collapsed="false" customWidth="true" hidden="false" outlineLevel="0" max="4" min="4" style="42" width="3"/>
    <col collapsed="false" customWidth="true" hidden="false" outlineLevel="0" max="5" min="5" style="42" width="7"/>
    <col collapsed="false" customWidth="true" hidden="false" outlineLevel="0" max="6" min="6" style="42" width="54"/>
    <col collapsed="false" customWidth="true" hidden="false" outlineLevel="0" max="7" min="7" style="42" width="10"/>
    <col collapsed="false" customWidth="true" hidden="true" outlineLevel="0" max="8" min="8" style="42" width="40.71"/>
    <col collapsed="false" customWidth="true" hidden="false" outlineLevel="0" max="9" min="9" style="42" width="40"/>
    <col collapsed="false" customWidth="true" hidden="false" outlineLevel="0" max="12" min="10" style="42" width="40.71"/>
    <col collapsed="false" customWidth="true" hidden="false" outlineLevel="0" max="13" min="13" style="42" width="102"/>
    <col collapsed="false" customWidth="true" hidden="false" outlineLevel="0" max="14" min="14" style="45" width="9"/>
    <col collapsed="false" customWidth="true" hidden="false" outlineLevel="0" max="15" min="15" style="47" width="5"/>
    <col collapsed="false" customWidth="true" hidden="false" outlineLevel="0" max="16" min="16" style="47" width="3"/>
    <col collapsed="false" customWidth="true" hidden="false" outlineLevel="0" max="20" min="17" style="45" width="3"/>
    <col collapsed="false" customWidth="true" hidden="false" outlineLevel="0" max="21" min="21" style="47" width="10"/>
    <col collapsed="false" customWidth="true" hidden="false" outlineLevel="0" max="22" min="22" style="45" width="34"/>
    <col collapsed="false" customWidth="true" hidden="false" outlineLevel="0" max="23" min="23" style="45" width="9"/>
    <col collapsed="false" customWidth="true" hidden="false" outlineLevel="0" max="24" min="24" style="599" width="8"/>
    <col collapsed="false" customWidth="true" hidden="false" outlineLevel="0" max="34" min="25" style="45" width="8"/>
    <col collapsed="false" customWidth="false" hidden="true" outlineLevel="0" max="35" min="35" style="42" width="9.14"/>
  </cols>
  <sheetData>
    <row r="1" s="45" customFormat="true" ht="22.5" hidden="true" customHeight="true" outlineLevel="0" collapsed="false">
      <c r="A1" s="598"/>
      <c r="C1" s="47"/>
      <c r="H1" s="45" t="n">
        <v>4</v>
      </c>
      <c r="I1" s="45" t="n">
        <v>4</v>
      </c>
      <c r="J1" s="45" t="n">
        <v>4</v>
      </c>
      <c r="K1" s="45" t="n">
        <v>4</v>
      </c>
      <c r="L1" s="45" t="n">
        <v>4</v>
      </c>
      <c r="O1" s="47"/>
      <c r="P1" s="47"/>
      <c r="U1" s="47"/>
      <c r="AI1" s="45" t="s">
        <v>14</v>
      </c>
    </row>
    <row r="2" s="45" customFormat="true" ht="22.5" hidden="true" customHeight="true" outlineLevel="0" collapsed="false">
      <c r="A2" s="598"/>
      <c r="C2" s="47"/>
      <c r="D2" s="607"/>
      <c r="E2" s="146"/>
      <c r="F2" s="148"/>
      <c r="G2" s="146" t="s">
        <v>565</v>
      </c>
      <c r="H2" s="435"/>
      <c r="I2" s="435"/>
      <c r="J2" s="435"/>
      <c r="K2" s="435"/>
      <c r="L2" s="435"/>
      <c r="M2" s="608" t="s">
        <v>568</v>
      </c>
      <c r="N2" s="602"/>
      <c r="O2" s="47"/>
      <c r="P2" s="47"/>
      <c r="U2" s="47"/>
      <c r="X2" s="599"/>
      <c r="AI2" s="45" t="n">
        <v>0</v>
      </c>
    </row>
    <row r="3" customFormat="false" ht="11.25" hidden="true" customHeight="true" outlineLevel="0" collapsed="false">
      <c r="AI3" s="42" t="n">
        <v>0</v>
      </c>
    </row>
    <row r="4" s="45" customFormat="true" ht="11.25" hidden="true" customHeight="true" outlineLevel="0" collapsed="false">
      <c r="A4" s="598"/>
      <c r="C4" s="47"/>
      <c r="M4" s="45" t="n">
        <v>4</v>
      </c>
      <c r="O4" s="47"/>
      <c r="P4" s="47"/>
      <c r="U4" s="47"/>
      <c r="X4" s="599"/>
      <c r="AI4" s="45" t="n">
        <v>0</v>
      </c>
    </row>
    <row r="5" customFormat="false" ht="11.25" hidden="false" customHeight="true" outlineLevel="0" collapsed="false">
      <c r="AI5" s="42" t="n">
        <v>11</v>
      </c>
    </row>
    <row r="6" customFormat="false" ht="33.75" hidden="false" customHeight="true" outlineLevel="0" collapsed="false">
      <c r="E6" s="220" t="s">
        <v>805</v>
      </c>
      <c r="F6" s="220"/>
      <c r="G6" s="220"/>
      <c r="H6" s="220"/>
      <c r="I6" s="220"/>
      <c r="J6" s="386"/>
      <c r="K6" s="386"/>
      <c r="L6" s="386"/>
      <c r="M6" s="222"/>
      <c r="AI6" s="42" t="n">
        <v>32</v>
      </c>
    </row>
    <row r="7" customFormat="false" ht="24.75" hidden="false" customHeight="true" outlineLevel="0" collapsed="false">
      <c r="E7" s="261" t="str">
        <f aca="false">IF(org=0,"Не определено",org)</f>
        <v>ООО "Газпром теплоэнерго Ярославль"</v>
      </c>
      <c r="F7" s="261"/>
      <c r="G7" s="261"/>
      <c r="H7" s="261"/>
      <c r="I7" s="261"/>
      <c r="J7" s="611"/>
      <c r="K7" s="611"/>
      <c r="L7" s="611"/>
      <c r="AI7" s="42" t="n">
        <v>24</v>
      </c>
    </row>
    <row r="8" customFormat="false" ht="11.25" hidden="false" customHeight="true" outlineLevel="0" collapsed="false">
      <c r="E8" s="612"/>
      <c r="F8" s="612"/>
      <c r="G8" s="612"/>
      <c r="H8" s="612"/>
      <c r="I8" s="612"/>
      <c r="J8" s="612"/>
      <c r="K8" s="612"/>
      <c r="L8" s="612"/>
      <c r="AI8" s="42" t="n">
        <v>11</v>
      </c>
    </row>
    <row r="9" s="47" customFormat="true" ht="0.75" hidden="false" customHeight="true" outlineLevel="0" collapsed="false">
      <c r="A9" s="456"/>
      <c r="H9" s="613"/>
      <c r="I9" s="613" t="s">
        <v>127</v>
      </c>
      <c r="J9" s="613" t="s">
        <v>131</v>
      </c>
      <c r="K9" s="613" t="s">
        <v>132</v>
      </c>
      <c r="L9" s="613" t="s">
        <v>134</v>
      </c>
      <c r="AI9" s="47" t="n">
        <v>1</v>
      </c>
    </row>
    <row r="10" customFormat="false" ht="11.25" hidden="false" customHeight="true" outlineLevel="0" collapsed="false">
      <c r="E10" s="614"/>
      <c r="F10" s="615" t="s">
        <v>116</v>
      </c>
      <c r="G10" s="615"/>
      <c r="H10" s="616" t="str">
        <f aca="false">IF(H9="","",INDEX(DIFFERENTIATION_UNMERGE_VD,MATCH(H9,DIFFERENTIATION_ID_DIFF,0)))</f>
        <v/>
      </c>
      <c r="I10" s="616" t="str">
        <f aca="false">IF(I9="","",INDEX(DIFFERENTIATION_UNMERGE_VD,MATCH(I9,DIFFERENTIATION_ID_DIFF,0)))</f>
        <v>Производство тепловой энергии. Некомбинированная выработка</v>
      </c>
      <c r="J10" s="616" t="str">
        <f aca="false">IF(J9="","",INDEX(DIFFERENTIATION_UNMERGE_VD,MATCH(J9,DIFFERENTIATION_ID_DIFF,0)))</f>
        <v>Производство тепловой энергии. Некомбинированная выработка</v>
      </c>
      <c r="K10" s="616" t="str">
        <f aca="false">IF(K9="","",INDEX(DIFFERENTIATION_UNMERGE_VD,MATCH(K9,DIFFERENTIATION_ID_DIFF,0)))</f>
        <v>Производство тепловой энергии. Некомбинированная выработка</v>
      </c>
      <c r="L10" s="616" t="str">
        <f aca="false">IF(L9="","",INDEX(DIFFERENTIATION_UNMERGE_VD,MATCH(L9,DIFFERENTIATION_ID_DIFF,0)))</f>
        <v>Производство. Теплоноситель</v>
      </c>
      <c r="M10" s="134"/>
      <c r="AI10" s="42" t="n">
        <v>11</v>
      </c>
    </row>
    <row r="11" customFormat="false" ht="11.25" hidden="false" customHeight="true" outlineLevel="0" collapsed="false">
      <c r="E11" s="614"/>
      <c r="F11" s="615" t="s">
        <v>577</v>
      </c>
      <c r="G11" s="615"/>
      <c r="H11" s="616" t="str">
        <f aca="false">IF(H9="","",INDEX(DIFFERENTIATION_UNMERGE_AREA,MATCH(H9,DIFFERENTIATION_ID_DIFF,0)))</f>
        <v/>
      </c>
      <c r="I11" s="616" t="str">
        <f aca="false">IF(I9="","",INDEX(DIFFERENTIATION_UNMERGE_AREA,MATCH(I9,DIFFERENTIATION_ID_DIFF,0)))</f>
        <v>Территория 1</v>
      </c>
      <c r="J11" s="616" t="str">
        <f aca="false">IF(J9="","",INDEX(DIFFERENTIATION_UNMERGE_AREA,MATCH(J9,DIFFERENTIATION_ID_DIFF,0)))</f>
        <v>Территория 2</v>
      </c>
      <c r="K11" s="616" t="str">
        <f aca="false">IF(K9="","",INDEX(DIFFERENTIATION_UNMERGE_AREA,MATCH(K9,DIFFERENTIATION_ID_DIFF,0)))</f>
        <v>Территория 3</v>
      </c>
      <c r="L11" s="616" t="str">
        <f aca="false">IF(L9="","",INDEX(DIFFERENTIATION_UNMERGE_AREA,MATCH(L9,DIFFERENTIATION_ID_DIFF,0)))</f>
        <v>Территория 1</v>
      </c>
      <c r="M11" s="134"/>
      <c r="AI11" s="42" t="n">
        <v>11</v>
      </c>
    </row>
    <row r="12" customFormat="false" ht="11.25" hidden="true" customHeight="true" outlineLevel="0" collapsed="false">
      <c r="E12" s="706"/>
      <c r="F12" s="732" t="s">
        <v>578</v>
      </c>
      <c r="G12" s="732"/>
      <c r="H12" s="733" t="str">
        <f aca="false">IF(H9="","",INDEX(DIFFERENTIATION_UNMERGE_SYSTEM,MATCH(H9,DIFFERENTIATION_ID_DIFF,0)))</f>
        <v/>
      </c>
      <c r="I12" s="733" t="str">
        <f aca="false">IF(I9="","",INDEX(DIFFERENTIATION_UNMERGE_SYSTEM,MATCH(I9,DIFFERENTIATION_ID_DIFF,0)))</f>
        <v>без дифференциации</v>
      </c>
      <c r="J12" s="733" t="str">
        <f aca="false">IF(J9="","",INDEX(DIFFERENTIATION_UNMERGE_SYSTEM,MATCH(J9,DIFFERENTIATION_ID_DIFF,0)))</f>
        <v>без дифференциации</v>
      </c>
      <c r="K12" s="733" t="str">
        <f aca="false">IF(K9="","",INDEX(DIFFERENTIATION_UNMERGE_SYSTEM,MATCH(K9,DIFFERENTIATION_ID_DIFF,0)))</f>
        <v>без дифференциации</v>
      </c>
      <c r="L12" s="733" t="str">
        <f aca="false">IF(L9="","",INDEX(DIFFERENTIATION_UNMERGE_SYSTEM,MATCH(L9,DIFFERENTIATION_ID_DIFF,0)))</f>
        <v>без дифференциации</v>
      </c>
      <c r="M12" s="134"/>
      <c r="AI12" s="42" t="n">
        <v>0</v>
      </c>
    </row>
    <row r="13" customFormat="false" ht="11.25" hidden="false" customHeight="true" outlineLevel="0" collapsed="false">
      <c r="E13" s="617" t="s">
        <v>313</v>
      </c>
      <c r="F13" s="617"/>
      <c r="G13" s="617"/>
      <c r="H13" s="618"/>
      <c r="I13" s="618"/>
      <c r="J13" s="618"/>
      <c r="K13" s="618"/>
      <c r="L13" s="618"/>
      <c r="M13" s="134"/>
      <c r="AI13" s="42" t="n">
        <v>11</v>
      </c>
    </row>
    <row r="14" customFormat="false" ht="24" hidden="false" customHeight="true" outlineLevel="0" collapsed="false">
      <c r="E14" s="146" t="s">
        <v>87</v>
      </c>
      <c r="F14" s="146" t="s">
        <v>315</v>
      </c>
      <c r="G14" s="146" t="s">
        <v>579</v>
      </c>
      <c r="H14" s="146" t="s">
        <v>316</v>
      </c>
      <c r="I14" s="146" t="s">
        <v>316</v>
      </c>
      <c r="J14" s="146" t="s">
        <v>316</v>
      </c>
      <c r="K14" s="146" t="s">
        <v>316</v>
      </c>
      <c r="L14" s="146" t="s">
        <v>316</v>
      </c>
      <c r="M14" s="134"/>
      <c r="AI14" s="42" t="n">
        <v>23</v>
      </c>
    </row>
    <row r="15" customFormat="false" ht="19.5" hidden="false" customHeight="true" outlineLevel="0" collapsed="false">
      <c r="D15" s="114"/>
      <c r="E15" s="709" t="s">
        <v>120</v>
      </c>
      <c r="F15" s="619" t="s">
        <v>806</v>
      </c>
      <c r="G15" s="146" t="s">
        <v>565</v>
      </c>
      <c r="H15" s="620"/>
      <c r="I15" s="620"/>
      <c r="J15" s="620"/>
      <c r="K15" s="620"/>
      <c r="L15" s="620"/>
      <c r="M15" s="417" t="s">
        <v>807</v>
      </c>
      <c r="N15" s="602" t="s">
        <v>661</v>
      </c>
      <c r="AI15" s="42" t="n">
        <v>19</v>
      </c>
    </row>
    <row r="16" customFormat="false" ht="24" hidden="false" customHeight="true" outlineLevel="0" collapsed="false">
      <c r="D16" s="114"/>
      <c r="E16" s="709" t="s">
        <v>102</v>
      </c>
      <c r="F16" s="268" t="s">
        <v>808</v>
      </c>
      <c r="G16" s="146" t="s">
        <v>565</v>
      </c>
      <c r="H16" s="621" t="n">
        <f aca="false">SUM(H17,H20:H27)</f>
        <v>0</v>
      </c>
      <c r="I16" s="621" t="n">
        <f aca="false">SUM(I17,I20:I27)</f>
        <v>0</v>
      </c>
      <c r="J16" s="621" t="n">
        <f aca="false">SUM(J17,J20:J27)</f>
        <v>0</v>
      </c>
      <c r="K16" s="621" t="n">
        <f aca="false">SUM(K17,K20:K27)</f>
        <v>0</v>
      </c>
      <c r="L16" s="621" t="n">
        <f aca="false">SUM(L17,L20:L27)</f>
        <v>0</v>
      </c>
      <c r="M16" s="417" t="s">
        <v>809</v>
      </c>
      <c r="N16" s="602" t="s">
        <v>661</v>
      </c>
      <c r="AI16" s="42" t="n">
        <v>23</v>
      </c>
    </row>
    <row r="17" customFormat="false" ht="35.25" hidden="false" customHeight="true" outlineLevel="0" collapsed="false">
      <c r="D17" s="114"/>
      <c r="E17" s="715" t="s">
        <v>739</v>
      </c>
      <c r="F17" s="206" t="s">
        <v>810</v>
      </c>
      <c r="G17" s="209" t="s">
        <v>565</v>
      </c>
      <c r="H17" s="620"/>
      <c r="I17" s="620"/>
      <c r="J17" s="620"/>
      <c r="K17" s="620"/>
      <c r="L17" s="620"/>
      <c r="M17" s="417" t="s">
        <v>811</v>
      </c>
      <c r="N17" s="602"/>
      <c r="AI17" s="42" t="n">
        <v>34</v>
      </c>
    </row>
    <row r="18" customFormat="false" ht="19.5" hidden="false" customHeight="true" outlineLevel="0" collapsed="false">
      <c r="D18" s="114"/>
      <c r="E18" s="715" t="s">
        <v>742</v>
      </c>
      <c r="F18" s="735" t="s">
        <v>812</v>
      </c>
      <c r="G18" s="209" t="s">
        <v>565</v>
      </c>
      <c r="H18" s="620"/>
      <c r="I18" s="620"/>
      <c r="J18" s="620"/>
      <c r="K18" s="620"/>
      <c r="L18" s="620"/>
      <c r="M18" s="417"/>
      <c r="N18" s="602"/>
      <c r="AI18" s="42" t="n">
        <v>19</v>
      </c>
    </row>
    <row r="19" customFormat="false" ht="24" hidden="false" customHeight="true" outlineLevel="0" collapsed="false">
      <c r="D19" s="114"/>
      <c r="E19" s="715" t="s">
        <v>745</v>
      </c>
      <c r="F19" s="735" t="s">
        <v>813</v>
      </c>
      <c r="G19" s="209" t="s">
        <v>565</v>
      </c>
      <c r="H19" s="620"/>
      <c r="I19" s="620"/>
      <c r="J19" s="620"/>
      <c r="K19" s="620"/>
      <c r="L19" s="620"/>
      <c r="M19" s="417"/>
      <c r="N19" s="602"/>
      <c r="AI19" s="42" t="n">
        <v>23</v>
      </c>
    </row>
    <row r="20" customFormat="false" ht="35.25" hidden="false" customHeight="true" outlineLevel="0" collapsed="false">
      <c r="D20" s="114"/>
      <c r="E20" s="715" t="s">
        <v>320</v>
      </c>
      <c r="F20" s="206" t="s">
        <v>814</v>
      </c>
      <c r="G20" s="209" t="s">
        <v>565</v>
      </c>
      <c r="H20" s="620"/>
      <c r="I20" s="620"/>
      <c r="J20" s="620"/>
      <c r="K20" s="620"/>
      <c r="L20" s="620"/>
      <c r="M20" s="417"/>
      <c r="N20" s="602"/>
      <c r="AI20" s="42" t="n">
        <v>34</v>
      </c>
    </row>
    <row r="21" customFormat="false" ht="48" hidden="false" customHeight="true" outlineLevel="0" collapsed="false">
      <c r="D21" s="114"/>
      <c r="E21" s="715" t="s">
        <v>323</v>
      </c>
      <c r="F21" s="206" t="s">
        <v>815</v>
      </c>
      <c r="G21" s="209" t="s">
        <v>565</v>
      </c>
      <c r="H21" s="620"/>
      <c r="I21" s="620"/>
      <c r="J21" s="620"/>
      <c r="K21" s="620"/>
      <c r="L21" s="620"/>
      <c r="M21" s="417"/>
      <c r="N21" s="602"/>
      <c r="AI21" s="42" t="n">
        <v>46</v>
      </c>
    </row>
    <row r="22" customFormat="false" ht="60" hidden="false" customHeight="true" outlineLevel="0" collapsed="false">
      <c r="D22" s="114"/>
      <c r="E22" s="715" t="s">
        <v>759</v>
      </c>
      <c r="F22" s="206" t="s">
        <v>816</v>
      </c>
      <c r="G22" s="209" t="s">
        <v>565</v>
      </c>
      <c r="H22" s="620"/>
      <c r="I22" s="620"/>
      <c r="J22" s="620"/>
      <c r="K22" s="620"/>
      <c r="L22" s="620"/>
      <c r="M22" s="417"/>
      <c r="N22" s="602"/>
      <c r="AI22" s="42" t="n">
        <v>57</v>
      </c>
    </row>
    <row r="23" customFormat="false" ht="35.25" hidden="false" customHeight="true" outlineLevel="0" collapsed="false">
      <c r="D23" s="114"/>
      <c r="E23" s="715" t="s">
        <v>766</v>
      </c>
      <c r="F23" s="206" t="s">
        <v>817</v>
      </c>
      <c r="G23" s="209" t="s">
        <v>565</v>
      </c>
      <c r="H23" s="620"/>
      <c r="I23" s="620"/>
      <c r="J23" s="620"/>
      <c r="K23" s="620"/>
      <c r="L23" s="620"/>
      <c r="M23" s="417"/>
      <c r="N23" s="602"/>
      <c r="AI23" s="42" t="n">
        <v>34</v>
      </c>
    </row>
    <row r="24" customFormat="false" ht="35.25" hidden="false" customHeight="true" outlineLevel="0" collapsed="false">
      <c r="D24" s="114"/>
      <c r="E24" s="715" t="s">
        <v>768</v>
      </c>
      <c r="F24" s="206" t="s">
        <v>818</v>
      </c>
      <c r="G24" s="209" t="s">
        <v>565</v>
      </c>
      <c r="H24" s="620"/>
      <c r="I24" s="620"/>
      <c r="J24" s="620"/>
      <c r="K24" s="620"/>
      <c r="L24" s="620"/>
      <c r="M24" s="417"/>
      <c r="N24" s="602"/>
      <c r="AI24" s="42" t="n">
        <v>34</v>
      </c>
    </row>
    <row r="25" customFormat="false" ht="24" hidden="false" customHeight="true" outlineLevel="0" collapsed="false">
      <c r="D25" s="114"/>
      <c r="E25" s="715" t="s">
        <v>770</v>
      </c>
      <c r="F25" s="206" t="s">
        <v>819</v>
      </c>
      <c r="G25" s="209" t="s">
        <v>565</v>
      </c>
      <c r="H25" s="620"/>
      <c r="I25" s="620"/>
      <c r="J25" s="620"/>
      <c r="K25" s="620"/>
      <c r="L25" s="620"/>
      <c r="M25" s="417"/>
      <c r="N25" s="602"/>
      <c r="AI25" s="42" t="n">
        <v>23</v>
      </c>
    </row>
    <row r="26" customFormat="false" ht="76.5" hidden="false" customHeight="true" outlineLevel="0" collapsed="false">
      <c r="D26" s="114"/>
      <c r="E26" s="715" t="s">
        <v>772</v>
      </c>
      <c r="F26" s="206" t="s">
        <v>820</v>
      </c>
      <c r="G26" s="209" t="s">
        <v>565</v>
      </c>
      <c r="H26" s="620"/>
      <c r="I26" s="620"/>
      <c r="J26" s="620"/>
      <c r="K26" s="620"/>
      <c r="L26" s="620"/>
      <c r="M26" s="417"/>
      <c r="N26" s="602"/>
      <c r="AI26" s="42" t="n">
        <v>73</v>
      </c>
    </row>
    <row r="27" s="45" customFormat="true" ht="35.25" hidden="false" customHeight="true" outlineLevel="0" collapsed="false">
      <c r="A27" s="598"/>
      <c r="C27" s="47"/>
      <c r="D27" s="114"/>
      <c r="E27" s="711" t="s">
        <v>776</v>
      </c>
      <c r="F27" s="736" t="s">
        <v>821</v>
      </c>
      <c r="G27" s="262" t="s">
        <v>565</v>
      </c>
      <c r="H27" s="643" t="n">
        <f aca="false">SUM(H28:H29)</f>
        <v>0</v>
      </c>
      <c r="I27" s="643" t="n">
        <f aca="false">SUM(I28:I29)</f>
        <v>0</v>
      </c>
      <c r="J27" s="643" t="n">
        <f aca="false">SUM(J28:J29)</f>
        <v>0</v>
      </c>
      <c r="K27" s="643" t="n">
        <f aca="false">SUM(K28:K29)</f>
        <v>0</v>
      </c>
      <c r="L27" s="643" t="n">
        <f aca="false">SUM(L28:L29)</f>
        <v>0</v>
      </c>
      <c r="M27" s="417" t="s">
        <v>774</v>
      </c>
      <c r="N27" s="602"/>
      <c r="O27" s="47"/>
      <c r="P27" s="47"/>
      <c r="U27" s="47"/>
      <c r="X27" s="599"/>
      <c r="AI27" s="45" t="n">
        <v>34</v>
      </c>
    </row>
    <row r="28" s="47" customFormat="true" ht="0.75" hidden="false" customHeight="true" outlineLevel="0" collapsed="false">
      <c r="A28" s="456"/>
      <c r="D28" s="456"/>
      <c r="E28" s="147" t="str">
        <f aca="false">E27&amp;".0"</f>
        <v>2.9.0</v>
      </c>
      <c r="F28" s="644"/>
      <c r="G28" s="147"/>
      <c r="H28" s="645"/>
      <c r="I28" s="645"/>
      <c r="J28" s="645"/>
      <c r="K28" s="645"/>
      <c r="L28" s="645"/>
      <c r="M28" s="646"/>
      <c r="AI28" s="47" t="n">
        <v>1</v>
      </c>
    </row>
    <row r="29" s="45" customFormat="true" ht="19.5" hidden="false" customHeight="true" outlineLevel="0" collapsed="false">
      <c r="A29" s="598"/>
      <c r="C29" s="47"/>
      <c r="D29" s="117"/>
      <c r="E29" s="633"/>
      <c r="F29" s="734" t="s">
        <v>604</v>
      </c>
      <c r="G29" s="634"/>
      <c r="H29" s="635"/>
      <c r="I29" s="635"/>
      <c r="J29" s="635"/>
      <c r="K29" s="635"/>
      <c r="L29" s="635"/>
      <c r="M29" s="475" t="s">
        <v>775</v>
      </c>
      <c r="N29" s="602"/>
      <c r="O29" s="47"/>
      <c r="P29" s="47"/>
      <c r="U29" s="47"/>
      <c r="X29" s="599"/>
      <c r="AI29" s="45" t="n">
        <v>19</v>
      </c>
    </row>
    <row r="30" s="45" customFormat="true" ht="24" hidden="false" customHeight="true" outlineLevel="0" collapsed="false">
      <c r="A30" s="598"/>
      <c r="C30" s="47"/>
      <c r="D30" s="114"/>
      <c r="E30" s="715" t="s">
        <v>89</v>
      </c>
      <c r="F30" s="737" t="s">
        <v>822</v>
      </c>
      <c r="G30" s="209" t="s">
        <v>565</v>
      </c>
      <c r="H30" s="620"/>
      <c r="I30" s="620"/>
      <c r="J30" s="620"/>
      <c r="K30" s="620"/>
      <c r="L30" s="620"/>
      <c r="M30" s="417"/>
      <c r="N30" s="602"/>
      <c r="O30" s="47"/>
      <c r="P30" s="47"/>
      <c r="U30" s="47"/>
      <c r="X30" s="599"/>
      <c r="AI30" s="45" t="n">
        <v>23</v>
      </c>
    </row>
    <row r="31" s="45" customFormat="true" ht="35.25" hidden="false" customHeight="true" outlineLevel="0" collapsed="false">
      <c r="A31" s="598"/>
      <c r="C31" s="47"/>
      <c r="D31" s="639"/>
      <c r="E31" s="715" t="s">
        <v>90</v>
      </c>
      <c r="F31" s="737" t="s">
        <v>823</v>
      </c>
      <c r="G31" s="209" t="s">
        <v>565</v>
      </c>
      <c r="H31" s="620"/>
      <c r="I31" s="620"/>
      <c r="J31" s="620"/>
      <c r="K31" s="620"/>
      <c r="L31" s="620"/>
      <c r="M31" s="417" t="s">
        <v>824</v>
      </c>
      <c r="N31" s="602"/>
      <c r="O31" s="47"/>
      <c r="P31" s="47"/>
      <c r="U31" s="47"/>
      <c r="X31" s="599"/>
      <c r="AI31" s="45" t="n">
        <v>34</v>
      </c>
    </row>
    <row r="32" s="45" customFormat="true" ht="24" hidden="false" customHeight="true" outlineLevel="0" collapsed="false">
      <c r="A32" s="598"/>
      <c r="C32" s="47"/>
      <c r="D32" s="114"/>
      <c r="E32" s="715" t="s">
        <v>784</v>
      </c>
      <c r="F32" s="206" t="s">
        <v>788</v>
      </c>
      <c r="G32" s="209" t="s">
        <v>565</v>
      </c>
      <c r="H32" s="620"/>
      <c r="I32" s="620"/>
      <c r="J32" s="620"/>
      <c r="K32" s="620"/>
      <c r="L32" s="620"/>
      <c r="M32" s="417" t="s">
        <v>825</v>
      </c>
      <c r="N32" s="602"/>
      <c r="O32" s="47"/>
      <c r="P32" s="47"/>
      <c r="U32" s="47"/>
      <c r="X32" s="599"/>
      <c r="AI32" s="45" t="n">
        <v>23</v>
      </c>
    </row>
    <row r="33" s="45" customFormat="true" ht="24" hidden="false" customHeight="true" outlineLevel="0" collapsed="false">
      <c r="A33" s="598"/>
      <c r="C33" s="47"/>
      <c r="D33" s="114"/>
      <c r="E33" s="715" t="s">
        <v>826</v>
      </c>
      <c r="F33" s="206" t="s">
        <v>827</v>
      </c>
      <c r="G33" s="209" t="s">
        <v>565</v>
      </c>
      <c r="H33" s="620"/>
      <c r="I33" s="620"/>
      <c r="J33" s="620"/>
      <c r="K33" s="620"/>
      <c r="L33" s="620"/>
      <c r="M33" s="417" t="s">
        <v>828</v>
      </c>
      <c r="N33" s="602"/>
      <c r="O33" s="47"/>
      <c r="P33" s="47"/>
      <c r="U33" s="47"/>
      <c r="X33" s="599"/>
      <c r="AI33" s="45" t="n">
        <v>23</v>
      </c>
    </row>
    <row r="34" s="45" customFormat="true" ht="24" hidden="false" customHeight="true" outlineLevel="0" collapsed="false">
      <c r="A34" s="598"/>
      <c r="C34" s="47"/>
      <c r="D34" s="114"/>
      <c r="E34" s="715" t="s">
        <v>829</v>
      </c>
      <c r="F34" s="206" t="s">
        <v>794</v>
      </c>
      <c r="G34" s="209" t="s">
        <v>565</v>
      </c>
      <c r="H34" s="620"/>
      <c r="I34" s="620"/>
      <c r="J34" s="620"/>
      <c r="K34" s="620"/>
      <c r="L34" s="620"/>
      <c r="M34" s="417" t="s">
        <v>830</v>
      </c>
      <c r="N34" s="602"/>
      <c r="O34" s="47"/>
      <c r="P34" s="47"/>
      <c r="U34" s="47"/>
      <c r="X34" s="599"/>
      <c r="AI34" s="45" t="n">
        <v>23</v>
      </c>
    </row>
    <row r="35" s="45" customFormat="true" ht="35.25" hidden="false" customHeight="true" outlineLevel="0" collapsed="false">
      <c r="A35" s="598"/>
      <c r="C35" s="47" t="s">
        <v>616</v>
      </c>
      <c r="D35" s="114"/>
      <c r="E35" s="715" t="s">
        <v>121</v>
      </c>
      <c r="F35" s="737" t="s">
        <v>660</v>
      </c>
      <c r="G35" s="146" t="s">
        <v>319</v>
      </c>
      <c r="H35" s="403"/>
      <c r="I35" s="403"/>
      <c r="J35" s="403"/>
      <c r="K35" s="403"/>
      <c r="L35" s="403"/>
      <c r="M35" s="417" t="s">
        <v>831</v>
      </c>
      <c r="N35" s="602"/>
      <c r="O35" s="47"/>
      <c r="P35" s="47"/>
      <c r="U35" s="47"/>
      <c r="X35" s="599"/>
      <c r="AI35" s="45" t="n">
        <v>34</v>
      </c>
    </row>
    <row r="36" s="45" customFormat="true" ht="35.25" hidden="false" customHeight="true" outlineLevel="0" collapsed="false">
      <c r="A36" s="598"/>
      <c r="C36" s="47"/>
      <c r="D36" s="114"/>
      <c r="E36" s="715" t="s">
        <v>91</v>
      </c>
      <c r="F36" s="737" t="s">
        <v>832</v>
      </c>
      <c r="G36" s="209" t="s">
        <v>799</v>
      </c>
      <c r="H36" s="609"/>
      <c r="I36" s="609"/>
      <c r="J36" s="609"/>
      <c r="K36" s="609"/>
      <c r="L36" s="609"/>
      <c r="M36" s="417" t="s">
        <v>800</v>
      </c>
      <c r="N36" s="602"/>
      <c r="O36" s="47"/>
      <c r="P36" s="47"/>
      <c r="U36" s="47"/>
      <c r="X36" s="599"/>
      <c r="AI36" s="45" t="n">
        <v>34</v>
      </c>
    </row>
    <row r="37" s="45" customFormat="true" ht="24" hidden="false" customHeight="true" outlineLevel="0" collapsed="false">
      <c r="A37" s="598"/>
      <c r="C37" s="47"/>
      <c r="D37" s="114"/>
      <c r="E37" s="715" t="s">
        <v>92</v>
      </c>
      <c r="F37" s="737" t="s">
        <v>833</v>
      </c>
      <c r="G37" s="209" t="s">
        <v>802</v>
      </c>
      <c r="H37" s="609"/>
      <c r="I37" s="609"/>
      <c r="J37" s="609"/>
      <c r="K37" s="609"/>
      <c r="L37" s="609"/>
      <c r="M37" s="417" t="s">
        <v>803</v>
      </c>
      <c r="N37" s="602"/>
      <c r="O37" s="47"/>
      <c r="P37" s="47"/>
      <c r="U37" s="47"/>
      <c r="X37" s="599"/>
      <c r="AI37" s="45" t="n">
        <v>23</v>
      </c>
    </row>
    <row r="38" customFormat="false" ht="11.25" hidden="false" customHeight="true" outlineLevel="0" collapsed="false">
      <c r="D38" s="114"/>
      <c r="AI38" s="42" t="n">
        <v>11</v>
      </c>
    </row>
    <row r="39" customFormat="false" ht="27" hidden="false" customHeight="true" outlineLevel="0" collapsed="false">
      <c r="D39" s="114"/>
      <c r="E39" s="409" t="s">
        <v>834</v>
      </c>
      <c r="F39" s="488" t="s">
        <v>835</v>
      </c>
      <c r="G39" s="488"/>
      <c r="H39" s="341"/>
      <c r="I39" s="341"/>
      <c r="J39" s="341"/>
      <c r="K39" s="341"/>
      <c r="L39" s="341"/>
      <c r="M39" s="341"/>
      <c r="AI39" s="42" t="n">
        <v>26</v>
      </c>
    </row>
    <row r="40" s="120" customFormat="true" ht="39.75" hidden="false" customHeight="true" outlineLevel="0" collapsed="false">
      <c r="A40" s="598"/>
      <c r="B40" s="47"/>
      <c r="C40" s="47"/>
      <c r="F40" s="488" t="s">
        <v>836</v>
      </c>
      <c r="G40" s="488"/>
      <c r="H40" s="341"/>
      <c r="I40" s="341"/>
      <c r="J40" s="341"/>
      <c r="K40" s="341"/>
      <c r="L40" s="341"/>
      <c r="M40" s="341"/>
      <c r="N40" s="45"/>
      <c r="O40" s="47"/>
      <c r="P40" s="47"/>
      <c r="Q40" s="45"/>
      <c r="R40" s="45"/>
      <c r="S40" s="45"/>
      <c r="T40" s="45"/>
      <c r="U40" s="47"/>
      <c r="V40" s="45"/>
      <c r="W40" s="45"/>
      <c r="X40" s="599"/>
      <c r="Y40" s="45"/>
      <c r="Z40" s="45"/>
      <c r="AA40" s="45"/>
      <c r="AB40" s="45"/>
      <c r="AC40" s="45"/>
      <c r="AD40" s="45"/>
      <c r="AE40" s="47"/>
      <c r="AF40" s="47"/>
      <c r="AG40" s="47"/>
      <c r="AH40" s="47"/>
      <c r="AI40" s="120" t="n">
        <v>38</v>
      </c>
    </row>
    <row r="41" s="120" customFormat="true" ht="11.25" hidden="false" customHeight="true" outlineLevel="0" collapsed="false">
      <c r="A41" s="598"/>
      <c r="B41" s="47"/>
      <c r="C41" s="47"/>
      <c r="N41" s="45"/>
      <c r="O41" s="47"/>
      <c r="P41" s="47"/>
      <c r="Q41" s="45"/>
      <c r="R41" s="45"/>
      <c r="S41" s="45"/>
      <c r="T41" s="45"/>
      <c r="U41" s="47"/>
      <c r="V41" s="45"/>
      <c r="W41" s="45"/>
      <c r="X41" s="599"/>
      <c r="Y41" s="45"/>
      <c r="Z41" s="45"/>
      <c r="AA41" s="45"/>
      <c r="AB41" s="45"/>
      <c r="AC41" s="45"/>
      <c r="AD41" s="45"/>
      <c r="AE41" s="47"/>
      <c r="AF41" s="47"/>
      <c r="AG41" s="47"/>
      <c r="AH41" s="47"/>
      <c r="AI41" s="120" t="n">
        <v>11</v>
      </c>
    </row>
    <row r="42" s="120" customFormat="true" ht="11.25" hidden="false" customHeight="true" outlineLevel="0" collapsed="false">
      <c r="A42" s="598"/>
      <c r="B42" s="47"/>
      <c r="C42" s="47"/>
      <c r="N42" s="45"/>
      <c r="O42" s="47"/>
      <c r="P42" s="47"/>
      <c r="Q42" s="45"/>
      <c r="R42" s="45"/>
      <c r="S42" s="45"/>
      <c r="T42" s="45"/>
      <c r="U42" s="47"/>
      <c r="V42" s="45"/>
      <c r="W42" s="45"/>
      <c r="X42" s="599"/>
      <c r="Y42" s="45"/>
      <c r="Z42" s="45"/>
      <c r="AA42" s="45"/>
      <c r="AB42" s="45"/>
      <c r="AC42" s="45"/>
      <c r="AD42" s="45"/>
      <c r="AE42" s="47"/>
      <c r="AF42" s="47"/>
      <c r="AG42" s="47"/>
      <c r="AH42" s="47"/>
      <c r="AI42" s="120" t="n">
        <v>11</v>
      </c>
    </row>
    <row r="43" s="120" customFormat="true" ht="11.25" hidden="false" customHeight="true" outlineLevel="0" collapsed="false">
      <c r="A43" s="598"/>
      <c r="B43" s="47"/>
      <c r="C43" s="47"/>
      <c r="H43" s="47"/>
      <c r="I43" s="47"/>
      <c r="J43" s="47"/>
      <c r="K43" s="47"/>
      <c r="L43" s="47"/>
      <c r="N43" s="45"/>
      <c r="O43" s="47"/>
      <c r="P43" s="47"/>
      <c r="Q43" s="45"/>
      <c r="R43" s="45"/>
      <c r="S43" s="45"/>
      <c r="T43" s="45"/>
      <c r="U43" s="47"/>
      <c r="V43" s="45"/>
      <c r="W43" s="45"/>
      <c r="X43" s="599"/>
      <c r="Y43" s="45"/>
      <c r="Z43" s="45"/>
      <c r="AA43" s="45"/>
      <c r="AB43" s="45"/>
      <c r="AC43" s="45"/>
      <c r="AD43" s="45"/>
      <c r="AE43" s="47"/>
      <c r="AF43" s="47"/>
      <c r="AG43" s="47"/>
      <c r="AH43" s="47"/>
      <c r="AI43" s="120" t="n">
        <v>11</v>
      </c>
    </row>
    <row r="44" s="120" customFormat="true" ht="11.25" hidden="false" customHeight="true" outlineLevel="0" collapsed="false">
      <c r="A44" s="598"/>
      <c r="B44" s="47"/>
      <c r="C44" s="47"/>
      <c r="N44" s="45"/>
      <c r="O44" s="47"/>
      <c r="P44" s="47"/>
      <c r="Q44" s="45"/>
      <c r="R44" s="45"/>
      <c r="S44" s="45"/>
      <c r="T44" s="45"/>
      <c r="U44" s="47"/>
      <c r="V44" s="45"/>
      <c r="W44" s="45"/>
      <c r="X44" s="599"/>
      <c r="Y44" s="45"/>
      <c r="Z44" s="45"/>
      <c r="AA44" s="45"/>
      <c r="AB44" s="45"/>
      <c r="AC44" s="45"/>
      <c r="AD44" s="45"/>
      <c r="AE44" s="47"/>
      <c r="AF44" s="47"/>
      <c r="AG44" s="47"/>
      <c r="AH44" s="47"/>
      <c r="AI44" s="120" t="n">
        <v>11</v>
      </c>
    </row>
    <row r="45" s="120" customFormat="true" ht="11.25" hidden="false" customHeight="true" outlineLevel="0" collapsed="false">
      <c r="A45" s="598"/>
      <c r="B45" s="47"/>
      <c r="C45" s="47"/>
      <c r="N45" s="45"/>
      <c r="O45" s="47"/>
      <c r="P45" s="47"/>
      <c r="Q45" s="45"/>
      <c r="R45" s="45"/>
      <c r="S45" s="45"/>
      <c r="T45" s="45"/>
      <c r="U45" s="47"/>
      <c r="V45" s="45"/>
      <c r="W45" s="45"/>
      <c r="X45" s="599"/>
      <c r="Y45" s="45"/>
      <c r="Z45" s="45"/>
      <c r="AA45" s="45"/>
      <c r="AB45" s="45"/>
      <c r="AC45" s="45"/>
      <c r="AD45" s="45"/>
      <c r="AE45" s="47"/>
      <c r="AF45" s="47"/>
      <c r="AG45" s="47"/>
      <c r="AH45" s="47"/>
      <c r="AI45" s="120" t="n">
        <v>11</v>
      </c>
    </row>
    <row r="46" s="120" customFormat="true" ht="11.25" hidden="false" customHeight="true" outlineLevel="0" collapsed="false">
      <c r="A46" s="598"/>
      <c r="B46" s="47"/>
      <c r="C46" s="47"/>
      <c r="N46" s="45"/>
      <c r="O46" s="47"/>
      <c r="P46" s="47"/>
      <c r="Q46" s="45"/>
      <c r="R46" s="45"/>
      <c r="S46" s="45"/>
      <c r="T46" s="45"/>
      <c r="U46" s="47"/>
      <c r="V46" s="45"/>
      <c r="W46" s="45"/>
      <c r="X46" s="599"/>
      <c r="Y46" s="45"/>
      <c r="Z46" s="45"/>
      <c r="AA46" s="45"/>
      <c r="AB46" s="45"/>
      <c r="AC46" s="45"/>
      <c r="AD46" s="45"/>
      <c r="AE46" s="47"/>
      <c r="AF46" s="47"/>
      <c r="AG46" s="47"/>
      <c r="AH46" s="47"/>
      <c r="AI46" s="120" t="n">
        <v>11</v>
      </c>
    </row>
    <row r="47" s="120" customFormat="true" ht="11.25" hidden="false" customHeight="true" outlineLevel="0" collapsed="false">
      <c r="A47" s="598"/>
      <c r="B47" s="47"/>
      <c r="C47" s="47"/>
      <c r="N47" s="45"/>
      <c r="O47" s="47"/>
      <c r="P47" s="47"/>
      <c r="Q47" s="45"/>
      <c r="R47" s="45"/>
      <c r="S47" s="45"/>
      <c r="T47" s="45"/>
      <c r="U47" s="47"/>
      <c r="V47" s="45"/>
      <c r="W47" s="45"/>
      <c r="X47" s="599"/>
      <c r="Y47" s="45"/>
      <c r="Z47" s="45"/>
      <c r="AA47" s="45"/>
      <c r="AB47" s="45"/>
      <c r="AC47" s="45"/>
      <c r="AD47" s="45"/>
      <c r="AE47" s="47"/>
      <c r="AF47" s="47"/>
      <c r="AG47" s="47"/>
      <c r="AH47" s="47"/>
      <c r="AI47" s="120" t="n">
        <v>11</v>
      </c>
    </row>
    <row r="48" s="120" customFormat="true" ht="11.25" hidden="false" customHeight="true" outlineLevel="0" collapsed="false">
      <c r="A48" s="598"/>
      <c r="B48" s="47"/>
      <c r="C48" s="47"/>
      <c r="N48" s="45"/>
      <c r="O48" s="47"/>
      <c r="P48" s="47"/>
      <c r="Q48" s="45"/>
      <c r="R48" s="45"/>
      <c r="S48" s="45"/>
      <c r="T48" s="45"/>
      <c r="U48" s="47"/>
      <c r="V48" s="45"/>
      <c r="W48" s="45"/>
      <c r="X48" s="599"/>
      <c r="Y48" s="45"/>
      <c r="Z48" s="45"/>
      <c r="AA48" s="45"/>
      <c r="AB48" s="45"/>
      <c r="AC48" s="45"/>
      <c r="AD48" s="45"/>
      <c r="AE48" s="47"/>
      <c r="AF48" s="47"/>
      <c r="AG48" s="47"/>
      <c r="AH48" s="47"/>
      <c r="AI48" s="120" t="n">
        <v>11</v>
      </c>
    </row>
    <row r="49" s="120" customFormat="true" ht="11.25" hidden="false" customHeight="true" outlineLevel="0" collapsed="false">
      <c r="A49" s="598"/>
      <c r="B49" s="47"/>
      <c r="C49" s="47"/>
      <c r="N49" s="45"/>
      <c r="O49" s="47"/>
      <c r="P49" s="47"/>
      <c r="Q49" s="45"/>
      <c r="R49" s="45"/>
      <c r="S49" s="45"/>
      <c r="T49" s="45"/>
      <c r="U49" s="47"/>
      <c r="V49" s="45"/>
      <c r="W49" s="45"/>
      <c r="X49" s="599"/>
      <c r="Y49" s="45"/>
      <c r="Z49" s="45"/>
      <c r="AA49" s="45"/>
      <c r="AB49" s="45"/>
      <c r="AC49" s="45"/>
      <c r="AD49" s="45"/>
      <c r="AE49" s="47"/>
      <c r="AF49" s="47"/>
      <c r="AG49" s="47"/>
      <c r="AH49" s="47"/>
      <c r="AI49" s="120" t="n">
        <v>11</v>
      </c>
    </row>
    <row r="50" s="120" customFormat="true" ht="11.25" hidden="false" customHeight="true" outlineLevel="0" collapsed="false">
      <c r="A50" s="598"/>
      <c r="B50" s="47"/>
      <c r="C50" s="47"/>
      <c r="N50" s="45"/>
      <c r="O50" s="47"/>
      <c r="P50" s="47"/>
      <c r="Q50" s="45"/>
      <c r="R50" s="45"/>
      <c r="S50" s="45"/>
      <c r="T50" s="45"/>
      <c r="U50" s="47"/>
      <c r="V50" s="45"/>
      <c r="W50" s="45"/>
      <c r="X50" s="599"/>
      <c r="Y50" s="45"/>
      <c r="Z50" s="45"/>
      <c r="AA50" s="45"/>
      <c r="AB50" s="45"/>
      <c r="AC50" s="45"/>
      <c r="AD50" s="45"/>
      <c r="AE50" s="47"/>
      <c r="AF50" s="47"/>
      <c r="AG50" s="47"/>
      <c r="AH50" s="47"/>
      <c r="AI50" s="120" t="n">
        <v>11</v>
      </c>
    </row>
    <row r="51" s="120" customFormat="true" ht="11.25" hidden="false" customHeight="true" outlineLevel="0" collapsed="false">
      <c r="A51" s="598"/>
      <c r="B51" s="47"/>
      <c r="C51" s="47"/>
      <c r="N51" s="45"/>
      <c r="O51" s="47"/>
      <c r="P51" s="47"/>
      <c r="Q51" s="45"/>
      <c r="R51" s="45"/>
      <c r="S51" s="45"/>
      <c r="T51" s="45"/>
      <c r="U51" s="47"/>
      <c r="V51" s="45"/>
      <c r="W51" s="45"/>
      <c r="X51" s="599"/>
      <c r="Y51" s="45"/>
      <c r="Z51" s="45"/>
      <c r="AA51" s="45"/>
      <c r="AB51" s="45"/>
      <c r="AC51" s="45"/>
      <c r="AD51" s="45"/>
      <c r="AE51" s="47"/>
      <c r="AF51" s="47"/>
      <c r="AG51" s="47"/>
      <c r="AH51" s="47"/>
      <c r="AI51" s="120" t="n">
        <v>11</v>
      </c>
    </row>
    <row r="52" s="120" customFormat="true" ht="11.25" hidden="false" customHeight="true" outlineLevel="0" collapsed="false">
      <c r="A52" s="598"/>
      <c r="B52" s="47"/>
      <c r="C52" s="47"/>
      <c r="N52" s="45"/>
      <c r="O52" s="47"/>
      <c r="P52" s="47"/>
      <c r="Q52" s="45"/>
      <c r="R52" s="45"/>
      <c r="S52" s="45"/>
      <c r="T52" s="45"/>
      <c r="U52" s="47"/>
      <c r="V52" s="45"/>
      <c r="W52" s="45"/>
      <c r="X52" s="599"/>
      <c r="Y52" s="45"/>
      <c r="Z52" s="45"/>
      <c r="AA52" s="45"/>
      <c r="AB52" s="45"/>
      <c r="AC52" s="45"/>
      <c r="AD52" s="45"/>
      <c r="AE52" s="47"/>
      <c r="AF52" s="47"/>
      <c r="AG52" s="47"/>
      <c r="AH52" s="47"/>
      <c r="AI52" s="120" t="n">
        <v>11</v>
      </c>
    </row>
    <row r="53" s="120" customFormat="true" ht="11.25" hidden="false" customHeight="true" outlineLevel="0" collapsed="false">
      <c r="A53" s="598"/>
      <c r="B53" s="47"/>
      <c r="C53" s="47"/>
      <c r="N53" s="45"/>
      <c r="O53" s="47"/>
      <c r="P53" s="47"/>
      <c r="Q53" s="45"/>
      <c r="R53" s="45"/>
      <c r="S53" s="45"/>
      <c r="T53" s="45"/>
      <c r="U53" s="47"/>
      <c r="V53" s="45"/>
      <c r="W53" s="45"/>
      <c r="X53" s="599"/>
      <c r="Y53" s="45"/>
      <c r="Z53" s="45"/>
      <c r="AA53" s="45"/>
      <c r="AB53" s="45"/>
      <c r="AC53" s="45"/>
      <c r="AD53" s="45"/>
      <c r="AE53" s="47"/>
      <c r="AF53" s="47"/>
      <c r="AG53" s="47"/>
      <c r="AH53" s="47"/>
      <c r="AI53" s="120" t="n">
        <v>11</v>
      </c>
    </row>
    <row r="54" s="120" customFormat="true" ht="11.25" hidden="false" customHeight="true" outlineLevel="0" collapsed="false">
      <c r="A54" s="598"/>
      <c r="B54" s="47"/>
      <c r="C54" s="47"/>
      <c r="N54" s="45"/>
      <c r="O54" s="47"/>
      <c r="P54" s="47"/>
      <c r="Q54" s="45"/>
      <c r="R54" s="45"/>
      <c r="S54" s="45"/>
      <c r="T54" s="45"/>
      <c r="U54" s="47"/>
      <c r="V54" s="45"/>
      <c r="W54" s="45"/>
      <c r="X54" s="599"/>
      <c r="Y54" s="45"/>
      <c r="Z54" s="45"/>
      <c r="AA54" s="45"/>
      <c r="AB54" s="45"/>
      <c r="AC54" s="45"/>
      <c r="AD54" s="45"/>
      <c r="AE54" s="47"/>
      <c r="AF54" s="47"/>
      <c r="AG54" s="47"/>
      <c r="AH54" s="47"/>
      <c r="AI54" s="120" t="n">
        <v>11</v>
      </c>
    </row>
    <row r="55" s="120" customFormat="true" ht="11.25" hidden="false" customHeight="true" outlineLevel="0" collapsed="false">
      <c r="A55" s="598"/>
      <c r="B55" s="47"/>
      <c r="C55" s="47"/>
      <c r="N55" s="45"/>
      <c r="O55" s="47"/>
      <c r="P55" s="47"/>
      <c r="Q55" s="45"/>
      <c r="R55" s="45"/>
      <c r="S55" s="45"/>
      <c r="T55" s="45"/>
      <c r="U55" s="47"/>
      <c r="V55" s="45"/>
      <c r="W55" s="45"/>
      <c r="X55" s="599"/>
      <c r="Y55" s="45"/>
      <c r="Z55" s="45"/>
      <c r="AA55" s="45"/>
      <c r="AB55" s="45"/>
      <c r="AC55" s="45"/>
      <c r="AD55" s="45"/>
      <c r="AE55" s="47"/>
      <c r="AF55" s="47"/>
      <c r="AG55" s="47"/>
      <c r="AH55" s="47"/>
      <c r="AI55" s="120" t="n">
        <v>11</v>
      </c>
    </row>
    <row r="56" s="120" customFormat="true" ht="11.25" hidden="false" customHeight="true" outlineLevel="0" collapsed="false">
      <c r="A56" s="598"/>
      <c r="B56" s="47"/>
      <c r="C56" s="47"/>
      <c r="N56" s="45"/>
      <c r="O56" s="47"/>
      <c r="P56" s="47"/>
      <c r="Q56" s="45"/>
      <c r="R56" s="45"/>
      <c r="S56" s="45"/>
      <c r="T56" s="45"/>
      <c r="U56" s="47"/>
      <c r="V56" s="45"/>
      <c r="W56" s="45"/>
      <c r="X56" s="599"/>
      <c r="Y56" s="45"/>
      <c r="Z56" s="45"/>
      <c r="AA56" s="45"/>
      <c r="AB56" s="45"/>
      <c r="AC56" s="45"/>
      <c r="AD56" s="45"/>
      <c r="AE56" s="47"/>
      <c r="AF56" s="47"/>
      <c r="AG56" s="47"/>
      <c r="AH56" s="47"/>
      <c r="AI56" s="120" t="n">
        <v>11</v>
      </c>
    </row>
    <row r="57" s="120" customFormat="true" ht="11.25" hidden="false" customHeight="true" outlineLevel="0" collapsed="false">
      <c r="A57" s="598"/>
      <c r="B57" s="47"/>
      <c r="C57" s="47"/>
      <c r="N57" s="45"/>
      <c r="O57" s="47"/>
      <c r="P57" s="47"/>
      <c r="Q57" s="45"/>
      <c r="R57" s="45"/>
      <c r="S57" s="45"/>
      <c r="T57" s="45"/>
      <c r="U57" s="47"/>
      <c r="V57" s="45"/>
      <c r="W57" s="45"/>
      <c r="X57" s="599"/>
      <c r="Y57" s="45"/>
      <c r="Z57" s="45"/>
      <c r="AA57" s="45"/>
      <c r="AB57" s="45"/>
      <c r="AC57" s="45"/>
      <c r="AD57" s="45"/>
      <c r="AE57" s="47"/>
      <c r="AF57" s="47"/>
      <c r="AG57" s="47"/>
      <c r="AH57" s="47"/>
      <c r="AI57" s="120" t="n">
        <v>11</v>
      </c>
    </row>
    <row r="58" s="120" customFormat="true" ht="11.25" hidden="false" customHeight="true" outlineLevel="0" collapsed="false">
      <c r="A58" s="598"/>
      <c r="B58" s="47"/>
      <c r="C58" s="47"/>
      <c r="N58" s="45"/>
      <c r="O58" s="47"/>
      <c r="P58" s="47"/>
      <c r="Q58" s="45"/>
      <c r="R58" s="45"/>
      <c r="S58" s="45"/>
      <c r="T58" s="45"/>
      <c r="U58" s="47"/>
      <c r="V58" s="45"/>
      <c r="W58" s="45"/>
      <c r="X58" s="599"/>
      <c r="Y58" s="45"/>
      <c r="Z58" s="45"/>
      <c r="AA58" s="45"/>
      <c r="AB58" s="45"/>
      <c r="AC58" s="45"/>
      <c r="AD58" s="45"/>
      <c r="AE58" s="47"/>
      <c r="AF58" s="47"/>
      <c r="AG58" s="47"/>
      <c r="AH58" s="47"/>
      <c r="AI58" s="120" t="n">
        <v>11</v>
      </c>
    </row>
    <row r="59" s="120" customFormat="true" ht="11.25" hidden="false" customHeight="true" outlineLevel="0" collapsed="false">
      <c r="A59" s="598"/>
      <c r="B59" s="47"/>
      <c r="C59" s="47"/>
      <c r="N59" s="45"/>
      <c r="O59" s="47"/>
      <c r="P59" s="47"/>
      <c r="Q59" s="45"/>
      <c r="R59" s="45"/>
      <c r="S59" s="45"/>
      <c r="T59" s="45"/>
      <c r="U59" s="47"/>
      <c r="V59" s="45"/>
      <c r="W59" s="45"/>
      <c r="X59" s="599"/>
      <c r="Y59" s="45"/>
      <c r="Z59" s="45"/>
      <c r="AA59" s="45"/>
      <c r="AB59" s="45"/>
      <c r="AC59" s="45"/>
      <c r="AD59" s="45"/>
      <c r="AE59" s="47"/>
      <c r="AF59" s="47"/>
      <c r="AG59" s="47"/>
      <c r="AH59" s="47"/>
      <c r="AI59" s="120" t="n">
        <v>11</v>
      </c>
    </row>
    <row r="60" s="120" customFormat="true" ht="11.25" hidden="false" customHeight="true" outlineLevel="0" collapsed="false">
      <c r="A60" s="598"/>
      <c r="B60" s="47"/>
      <c r="C60" s="47"/>
      <c r="N60" s="45"/>
      <c r="O60" s="47"/>
      <c r="P60" s="47"/>
      <c r="Q60" s="45"/>
      <c r="R60" s="45"/>
      <c r="S60" s="45"/>
      <c r="T60" s="45"/>
      <c r="U60" s="47"/>
      <c r="V60" s="45"/>
      <c r="W60" s="45"/>
      <c r="X60" s="599"/>
      <c r="Y60" s="45"/>
      <c r="Z60" s="45"/>
      <c r="AA60" s="45"/>
      <c r="AB60" s="45"/>
      <c r="AC60" s="45"/>
      <c r="AD60" s="45"/>
      <c r="AE60" s="47"/>
      <c r="AF60" s="47"/>
      <c r="AG60" s="47"/>
      <c r="AH60" s="47"/>
      <c r="AI60" s="120" t="n">
        <v>11</v>
      </c>
    </row>
    <row r="61" s="120" customFormat="true" ht="11.25" hidden="false" customHeight="true" outlineLevel="0" collapsed="false">
      <c r="A61" s="598"/>
      <c r="B61" s="47"/>
      <c r="C61" s="47"/>
      <c r="N61" s="45"/>
      <c r="O61" s="47"/>
      <c r="P61" s="47"/>
      <c r="Q61" s="45"/>
      <c r="R61" s="45"/>
      <c r="S61" s="45"/>
      <c r="T61" s="45"/>
      <c r="U61" s="47"/>
      <c r="V61" s="45"/>
      <c r="W61" s="45"/>
      <c r="X61" s="599"/>
      <c r="Y61" s="45"/>
      <c r="Z61" s="45"/>
      <c r="AA61" s="45"/>
      <c r="AB61" s="45"/>
      <c r="AC61" s="45"/>
      <c r="AD61" s="45"/>
      <c r="AE61" s="47"/>
      <c r="AF61" s="47"/>
      <c r="AG61" s="47"/>
      <c r="AH61" s="47"/>
      <c r="AI61" s="120" t="n">
        <v>11</v>
      </c>
    </row>
    <row r="62" s="120" customFormat="true" ht="11.25" hidden="false" customHeight="true" outlineLevel="0" collapsed="false">
      <c r="A62" s="598"/>
      <c r="B62" s="47"/>
      <c r="C62" s="47"/>
      <c r="N62" s="45"/>
      <c r="O62" s="47"/>
      <c r="P62" s="47"/>
      <c r="Q62" s="45"/>
      <c r="R62" s="45"/>
      <c r="S62" s="45"/>
      <c r="T62" s="45"/>
      <c r="U62" s="47"/>
      <c r="V62" s="45"/>
      <c r="W62" s="45"/>
      <c r="X62" s="599"/>
      <c r="Y62" s="45"/>
      <c r="Z62" s="45"/>
      <c r="AA62" s="45"/>
      <c r="AB62" s="45"/>
      <c r="AC62" s="45"/>
      <c r="AD62" s="45"/>
      <c r="AE62" s="47"/>
      <c r="AF62" s="47"/>
      <c r="AG62" s="47"/>
      <c r="AH62" s="47"/>
      <c r="AI62" s="120" t="n">
        <v>11</v>
      </c>
    </row>
    <row r="63" s="120" customFormat="true" ht="11.25" hidden="false" customHeight="true" outlineLevel="0" collapsed="false">
      <c r="A63" s="598"/>
      <c r="B63" s="47"/>
      <c r="C63" s="47"/>
      <c r="N63" s="45"/>
      <c r="O63" s="47"/>
      <c r="P63" s="47"/>
      <c r="Q63" s="45"/>
      <c r="R63" s="45"/>
      <c r="S63" s="45"/>
      <c r="T63" s="45"/>
      <c r="U63" s="47"/>
      <c r="V63" s="45"/>
      <c r="W63" s="45"/>
      <c r="X63" s="599"/>
      <c r="Y63" s="45"/>
      <c r="Z63" s="45"/>
      <c r="AA63" s="45"/>
      <c r="AB63" s="45"/>
      <c r="AC63" s="45"/>
      <c r="AD63" s="45"/>
      <c r="AE63" s="47"/>
      <c r="AF63" s="47"/>
      <c r="AG63" s="47"/>
      <c r="AH63" s="47"/>
      <c r="AI63" s="120" t="n">
        <v>11</v>
      </c>
    </row>
    <row r="64" s="120" customFormat="true" ht="11.25" hidden="false" customHeight="true" outlineLevel="0" collapsed="false">
      <c r="A64" s="598"/>
      <c r="B64" s="47"/>
      <c r="C64" s="47"/>
      <c r="N64" s="45"/>
      <c r="O64" s="47"/>
      <c r="P64" s="47"/>
      <c r="Q64" s="45"/>
      <c r="R64" s="45"/>
      <c r="S64" s="45"/>
      <c r="T64" s="45"/>
      <c r="U64" s="47"/>
      <c r="V64" s="45"/>
      <c r="W64" s="45"/>
      <c r="X64" s="599"/>
      <c r="Y64" s="45"/>
      <c r="Z64" s="45"/>
      <c r="AA64" s="45"/>
      <c r="AB64" s="45"/>
      <c r="AC64" s="45"/>
      <c r="AD64" s="45"/>
      <c r="AE64" s="47"/>
      <c r="AF64" s="47"/>
      <c r="AG64" s="47"/>
      <c r="AH64" s="47"/>
      <c r="AI64" s="120" t="n">
        <v>11</v>
      </c>
    </row>
    <row r="65" s="120" customFormat="true" ht="11.25" hidden="false" customHeight="true" outlineLevel="0" collapsed="false">
      <c r="A65" s="598"/>
      <c r="B65" s="47"/>
      <c r="C65" s="47"/>
      <c r="N65" s="45"/>
      <c r="O65" s="47"/>
      <c r="P65" s="47"/>
      <c r="Q65" s="45"/>
      <c r="R65" s="45"/>
      <c r="S65" s="45"/>
      <c r="T65" s="45"/>
      <c r="U65" s="47"/>
      <c r="V65" s="45"/>
      <c r="W65" s="45"/>
      <c r="X65" s="599"/>
      <c r="Y65" s="45"/>
      <c r="Z65" s="45"/>
      <c r="AA65" s="45"/>
      <c r="AB65" s="45"/>
      <c r="AC65" s="45"/>
      <c r="AD65" s="45"/>
      <c r="AE65" s="47"/>
      <c r="AF65" s="47"/>
      <c r="AG65" s="47"/>
      <c r="AH65" s="47"/>
      <c r="AI65" s="120" t="n">
        <v>11</v>
      </c>
    </row>
    <row r="66" s="120" customFormat="true" ht="11.25" hidden="false" customHeight="true" outlineLevel="0" collapsed="false">
      <c r="A66" s="598"/>
      <c r="B66" s="47"/>
      <c r="C66" s="47"/>
      <c r="N66" s="45"/>
      <c r="O66" s="47"/>
      <c r="P66" s="47"/>
      <c r="Q66" s="45"/>
      <c r="R66" s="45"/>
      <c r="S66" s="45"/>
      <c r="T66" s="45"/>
      <c r="U66" s="47"/>
      <c r="V66" s="45"/>
      <c r="W66" s="45"/>
      <c r="X66" s="599"/>
      <c r="Y66" s="45"/>
      <c r="Z66" s="45"/>
      <c r="AA66" s="45"/>
      <c r="AB66" s="45"/>
      <c r="AC66" s="45"/>
      <c r="AD66" s="45"/>
      <c r="AE66" s="47"/>
      <c r="AF66" s="47"/>
      <c r="AG66" s="47"/>
      <c r="AH66" s="47"/>
      <c r="AI66" s="120" t="n">
        <v>11</v>
      </c>
    </row>
    <row r="67" s="120" customFormat="true" ht="11.25" hidden="false" customHeight="true" outlineLevel="0" collapsed="false">
      <c r="A67" s="598"/>
      <c r="B67" s="47"/>
      <c r="C67" s="47"/>
      <c r="N67" s="45"/>
      <c r="O67" s="47"/>
      <c r="P67" s="47"/>
      <c r="Q67" s="45"/>
      <c r="R67" s="45"/>
      <c r="S67" s="45"/>
      <c r="T67" s="45"/>
      <c r="U67" s="47"/>
      <c r="V67" s="45"/>
      <c r="W67" s="45"/>
      <c r="X67" s="599"/>
      <c r="Y67" s="45"/>
      <c r="Z67" s="45"/>
      <c r="AA67" s="45"/>
      <c r="AB67" s="45"/>
      <c r="AC67" s="45"/>
      <c r="AD67" s="45"/>
      <c r="AE67" s="47"/>
      <c r="AF67" s="47"/>
      <c r="AG67" s="47"/>
      <c r="AH67" s="47"/>
      <c r="AI67" s="120" t="n">
        <v>11</v>
      </c>
    </row>
    <row r="68" s="120" customFormat="true" ht="11.25" hidden="false" customHeight="true" outlineLevel="0" collapsed="false">
      <c r="A68" s="598"/>
      <c r="B68" s="47"/>
      <c r="C68" s="47"/>
      <c r="N68" s="45"/>
      <c r="O68" s="47"/>
      <c r="P68" s="47"/>
      <c r="Q68" s="45"/>
      <c r="R68" s="45"/>
      <c r="S68" s="45"/>
      <c r="T68" s="45"/>
      <c r="U68" s="47"/>
      <c r="V68" s="45"/>
      <c r="W68" s="45"/>
      <c r="X68" s="599"/>
      <c r="Y68" s="45"/>
      <c r="Z68" s="45"/>
      <c r="AA68" s="45"/>
      <c r="AB68" s="45"/>
      <c r="AC68" s="45"/>
      <c r="AD68" s="45"/>
      <c r="AE68" s="47"/>
      <c r="AF68" s="47"/>
      <c r="AG68" s="47"/>
      <c r="AH68" s="47"/>
      <c r="AI68" s="120" t="n">
        <v>11</v>
      </c>
    </row>
    <row r="69" s="120" customFormat="true" ht="11.25" hidden="false" customHeight="true" outlineLevel="0" collapsed="false">
      <c r="A69" s="598"/>
      <c r="B69" s="47"/>
      <c r="C69" s="47"/>
      <c r="N69" s="45"/>
      <c r="O69" s="47"/>
      <c r="P69" s="47"/>
      <c r="Q69" s="45"/>
      <c r="R69" s="45"/>
      <c r="S69" s="45"/>
      <c r="T69" s="45"/>
      <c r="U69" s="47"/>
      <c r="V69" s="45"/>
      <c r="W69" s="45"/>
      <c r="X69" s="599"/>
      <c r="Y69" s="45"/>
      <c r="Z69" s="45"/>
      <c r="AA69" s="45"/>
      <c r="AB69" s="45"/>
      <c r="AC69" s="45"/>
      <c r="AD69" s="45"/>
      <c r="AE69" s="47"/>
      <c r="AF69" s="47"/>
      <c r="AG69" s="47"/>
      <c r="AH69" s="47"/>
      <c r="AI69" s="120" t="n">
        <v>11</v>
      </c>
    </row>
    <row r="70" s="120" customFormat="true" ht="11.25" hidden="false" customHeight="true" outlineLevel="0" collapsed="false">
      <c r="A70" s="598"/>
      <c r="B70" s="47"/>
      <c r="C70" s="47"/>
      <c r="N70" s="45"/>
      <c r="O70" s="47"/>
      <c r="P70" s="47"/>
      <c r="Q70" s="45"/>
      <c r="R70" s="45"/>
      <c r="S70" s="45"/>
      <c r="T70" s="45"/>
      <c r="U70" s="47"/>
      <c r="V70" s="45"/>
      <c r="W70" s="45"/>
      <c r="X70" s="599"/>
      <c r="Y70" s="45"/>
      <c r="Z70" s="45"/>
      <c r="AA70" s="45"/>
      <c r="AB70" s="45"/>
      <c r="AC70" s="45"/>
      <c r="AD70" s="45"/>
      <c r="AE70" s="47"/>
      <c r="AF70" s="47"/>
      <c r="AG70" s="47"/>
      <c r="AH70" s="47"/>
      <c r="AI70" s="120" t="n">
        <v>11</v>
      </c>
    </row>
    <row r="71" s="120" customFormat="true" ht="11.25" hidden="false" customHeight="true" outlineLevel="0" collapsed="false">
      <c r="A71" s="598"/>
      <c r="B71" s="47"/>
      <c r="C71" s="47"/>
      <c r="N71" s="45"/>
      <c r="O71" s="47"/>
      <c r="P71" s="47"/>
      <c r="Q71" s="45"/>
      <c r="R71" s="45"/>
      <c r="S71" s="45"/>
      <c r="T71" s="45"/>
      <c r="U71" s="47"/>
      <c r="V71" s="45"/>
      <c r="W71" s="45"/>
      <c r="X71" s="599"/>
      <c r="Y71" s="45"/>
      <c r="Z71" s="45"/>
      <c r="AA71" s="45"/>
      <c r="AB71" s="45"/>
      <c r="AC71" s="45"/>
      <c r="AD71" s="45"/>
      <c r="AE71" s="47"/>
      <c r="AF71" s="47"/>
      <c r="AG71" s="47"/>
      <c r="AH71" s="47"/>
      <c r="AI71" s="120" t="n">
        <v>11</v>
      </c>
    </row>
    <row r="72" s="120" customFormat="true" ht="11.25" hidden="false" customHeight="true" outlineLevel="0" collapsed="false">
      <c r="A72" s="598"/>
      <c r="B72" s="47"/>
      <c r="C72" s="47"/>
      <c r="N72" s="45"/>
      <c r="O72" s="47"/>
      <c r="P72" s="47"/>
      <c r="Q72" s="45"/>
      <c r="R72" s="45"/>
      <c r="S72" s="45"/>
      <c r="T72" s="45"/>
      <c r="U72" s="47"/>
      <c r="V72" s="45"/>
      <c r="W72" s="45"/>
      <c r="X72" s="599"/>
      <c r="Y72" s="45"/>
      <c r="Z72" s="45"/>
      <c r="AA72" s="45"/>
      <c r="AB72" s="45"/>
      <c r="AC72" s="45"/>
      <c r="AD72" s="45"/>
      <c r="AE72" s="47"/>
      <c r="AF72" s="47"/>
      <c r="AG72" s="47"/>
      <c r="AH72" s="47"/>
      <c r="AI72" s="120" t="n">
        <v>11</v>
      </c>
    </row>
    <row r="73" s="120" customFormat="true" ht="11.25" hidden="false" customHeight="true" outlineLevel="0" collapsed="false">
      <c r="A73" s="598"/>
      <c r="B73" s="47"/>
      <c r="C73" s="47"/>
      <c r="N73" s="45"/>
      <c r="O73" s="47"/>
      <c r="P73" s="47"/>
      <c r="Q73" s="45"/>
      <c r="R73" s="45"/>
      <c r="S73" s="45"/>
      <c r="T73" s="45"/>
      <c r="U73" s="47"/>
      <c r="V73" s="45"/>
      <c r="W73" s="45"/>
      <c r="X73" s="599"/>
      <c r="Y73" s="45"/>
      <c r="Z73" s="45"/>
      <c r="AA73" s="45"/>
      <c r="AB73" s="45"/>
      <c r="AC73" s="45"/>
      <c r="AD73" s="45"/>
      <c r="AE73" s="47"/>
      <c r="AF73" s="47"/>
      <c r="AG73" s="47"/>
      <c r="AH73" s="47"/>
      <c r="AI73" s="120" t="n">
        <v>11</v>
      </c>
    </row>
    <row r="74" s="120" customFormat="true" ht="11.25" hidden="false" customHeight="true" outlineLevel="0" collapsed="false">
      <c r="A74" s="598"/>
      <c r="B74" s="47"/>
      <c r="C74" s="47"/>
      <c r="N74" s="45"/>
      <c r="O74" s="47"/>
      <c r="P74" s="47"/>
      <c r="Q74" s="45"/>
      <c r="R74" s="45"/>
      <c r="S74" s="45"/>
      <c r="T74" s="45"/>
      <c r="U74" s="47"/>
      <c r="V74" s="45"/>
      <c r="W74" s="45"/>
      <c r="X74" s="599"/>
      <c r="Y74" s="45"/>
      <c r="Z74" s="45"/>
      <c r="AA74" s="45"/>
      <c r="AB74" s="45"/>
      <c r="AC74" s="45"/>
      <c r="AD74" s="45"/>
      <c r="AE74" s="47"/>
      <c r="AF74" s="47"/>
      <c r="AG74" s="47"/>
      <c r="AH74" s="47"/>
      <c r="AI74" s="120" t="n">
        <v>11</v>
      </c>
    </row>
    <row r="75" s="120" customFormat="true" ht="11.25" hidden="false" customHeight="true" outlineLevel="0" collapsed="false">
      <c r="A75" s="598"/>
      <c r="B75" s="47"/>
      <c r="C75" s="47"/>
      <c r="N75" s="45"/>
      <c r="O75" s="47"/>
      <c r="P75" s="47"/>
      <c r="Q75" s="45"/>
      <c r="R75" s="45"/>
      <c r="S75" s="45"/>
      <c r="T75" s="45"/>
      <c r="U75" s="47"/>
      <c r="V75" s="45"/>
      <c r="W75" s="45"/>
      <c r="X75" s="599"/>
      <c r="Y75" s="45"/>
      <c r="Z75" s="45"/>
      <c r="AA75" s="45"/>
      <c r="AB75" s="45"/>
      <c r="AC75" s="45"/>
      <c r="AD75" s="45"/>
      <c r="AE75" s="47"/>
      <c r="AF75" s="47"/>
      <c r="AG75" s="47"/>
      <c r="AH75" s="47"/>
      <c r="AI75" s="120" t="n">
        <v>11</v>
      </c>
    </row>
    <row r="76" s="120" customFormat="true" ht="11.25" hidden="false" customHeight="true" outlineLevel="0" collapsed="false">
      <c r="A76" s="598"/>
      <c r="B76" s="47"/>
      <c r="C76" s="47"/>
      <c r="N76" s="45"/>
      <c r="O76" s="47"/>
      <c r="P76" s="47"/>
      <c r="Q76" s="45"/>
      <c r="R76" s="45"/>
      <c r="S76" s="45"/>
      <c r="T76" s="45"/>
      <c r="U76" s="47"/>
      <c r="V76" s="45"/>
      <c r="W76" s="45"/>
      <c r="X76" s="599"/>
      <c r="Y76" s="45"/>
      <c r="Z76" s="45"/>
      <c r="AA76" s="45"/>
      <c r="AB76" s="45"/>
      <c r="AC76" s="45"/>
      <c r="AD76" s="45"/>
      <c r="AE76" s="47"/>
      <c r="AF76" s="47"/>
      <c r="AG76" s="47"/>
      <c r="AH76" s="47"/>
      <c r="AI76" s="120" t="n">
        <v>11</v>
      </c>
    </row>
    <row r="77" s="120" customFormat="true" ht="11.25" hidden="false" customHeight="true" outlineLevel="0" collapsed="false">
      <c r="A77" s="598"/>
      <c r="B77" s="47"/>
      <c r="C77" s="47"/>
      <c r="N77" s="45"/>
      <c r="O77" s="47"/>
      <c r="P77" s="47"/>
      <c r="Q77" s="45"/>
      <c r="R77" s="45"/>
      <c r="S77" s="45"/>
      <c r="T77" s="45"/>
      <c r="U77" s="47"/>
      <c r="V77" s="45"/>
      <c r="W77" s="45"/>
      <c r="X77" s="599"/>
      <c r="Y77" s="45"/>
      <c r="Z77" s="45"/>
      <c r="AA77" s="45"/>
      <c r="AB77" s="45"/>
      <c r="AC77" s="45"/>
      <c r="AD77" s="45"/>
      <c r="AE77" s="47"/>
      <c r="AF77" s="47"/>
      <c r="AG77" s="47"/>
      <c r="AH77" s="47"/>
      <c r="AI77" s="120" t="n">
        <v>11</v>
      </c>
    </row>
    <row r="78" s="120" customFormat="true" ht="11.25" hidden="false" customHeight="true" outlineLevel="0" collapsed="false">
      <c r="A78" s="598"/>
      <c r="B78" s="47"/>
      <c r="C78" s="47"/>
      <c r="N78" s="45"/>
      <c r="O78" s="47"/>
      <c r="P78" s="47"/>
      <c r="Q78" s="45"/>
      <c r="R78" s="45"/>
      <c r="S78" s="45"/>
      <c r="T78" s="45"/>
      <c r="U78" s="47"/>
      <c r="V78" s="45"/>
      <c r="W78" s="45"/>
      <c r="X78" s="599"/>
      <c r="Y78" s="45"/>
      <c r="Z78" s="45"/>
      <c r="AA78" s="45"/>
      <c r="AB78" s="45"/>
      <c r="AC78" s="45"/>
      <c r="AD78" s="45"/>
      <c r="AE78" s="47"/>
      <c r="AF78" s="47"/>
      <c r="AG78" s="47"/>
      <c r="AH78" s="47"/>
      <c r="AI78" s="120" t="n">
        <v>11</v>
      </c>
    </row>
    <row r="79" s="120" customFormat="true" ht="11.25" hidden="false" customHeight="true" outlineLevel="0" collapsed="false">
      <c r="A79" s="598"/>
      <c r="B79" s="47"/>
      <c r="C79" s="47"/>
      <c r="N79" s="45"/>
      <c r="O79" s="47"/>
      <c r="P79" s="47"/>
      <c r="Q79" s="45"/>
      <c r="R79" s="45"/>
      <c r="S79" s="45"/>
      <c r="T79" s="45"/>
      <c r="U79" s="47"/>
      <c r="V79" s="45"/>
      <c r="W79" s="45"/>
      <c r="X79" s="599"/>
      <c r="Y79" s="45"/>
      <c r="Z79" s="45"/>
      <c r="AA79" s="45"/>
      <c r="AB79" s="45"/>
      <c r="AC79" s="45"/>
      <c r="AD79" s="45"/>
      <c r="AE79" s="47"/>
      <c r="AF79" s="47"/>
      <c r="AG79" s="47"/>
      <c r="AH79" s="47"/>
      <c r="AI79" s="120" t="n">
        <v>11</v>
      </c>
    </row>
    <row r="80" s="120" customFormat="true" ht="11.25" hidden="false" customHeight="true" outlineLevel="0" collapsed="false">
      <c r="A80" s="598"/>
      <c r="B80" s="47"/>
      <c r="C80" s="47"/>
      <c r="N80" s="45"/>
      <c r="O80" s="47"/>
      <c r="P80" s="47"/>
      <c r="Q80" s="45"/>
      <c r="R80" s="45"/>
      <c r="S80" s="45"/>
      <c r="T80" s="45"/>
      <c r="U80" s="47"/>
      <c r="V80" s="45"/>
      <c r="W80" s="45"/>
      <c r="X80" s="599"/>
      <c r="Y80" s="45"/>
      <c r="Z80" s="45"/>
      <c r="AA80" s="45"/>
      <c r="AB80" s="45"/>
      <c r="AC80" s="45"/>
      <c r="AD80" s="45"/>
      <c r="AE80" s="47"/>
      <c r="AF80" s="47"/>
      <c r="AG80" s="47"/>
      <c r="AH80" s="47"/>
      <c r="AI80" s="120" t="n">
        <v>11</v>
      </c>
    </row>
    <row r="81" s="120" customFormat="true" ht="11.25" hidden="false" customHeight="true" outlineLevel="0" collapsed="false">
      <c r="A81" s="598"/>
      <c r="B81" s="47"/>
      <c r="C81" s="47"/>
      <c r="N81" s="45"/>
      <c r="O81" s="47"/>
      <c r="P81" s="47"/>
      <c r="Q81" s="45"/>
      <c r="R81" s="45"/>
      <c r="S81" s="45"/>
      <c r="T81" s="45"/>
      <c r="U81" s="47"/>
      <c r="V81" s="45"/>
      <c r="W81" s="45"/>
      <c r="X81" s="599"/>
      <c r="Y81" s="45"/>
      <c r="Z81" s="45"/>
      <c r="AA81" s="45"/>
      <c r="AB81" s="45"/>
      <c r="AC81" s="45"/>
      <c r="AD81" s="45"/>
      <c r="AE81" s="47"/>
      <c r="AF81" s="47"/>
      <c r="AG81" s="47"/>
      <c r="AH81" s="47"/>
      <c r="AI81" s="120" t="n">
        <v>11</v>
      </c>
    </row>
    <row r="82" s="120" customFormat="true" ht="11.25" hidden="false" customHeight="true" outlineLevel="0" collapsed="false">
      <c r="A82" s="598"/>
      <c r="B82" s="47"/>
      <c r="C82" s="47"/>
      <c r="N82" s="45"/>
      <c r="O82" s="47"/>
      <c r="P82" s="47"/>
      <c r="Q82" s="45"/>
      <c r="R82" s="45"/>
      <c r="S82" s="45"/>
      <c r="T82" s="45"/>
      <c r="U82" s="47"/>
      <c r="V82" s="45"/>
      <c r="W82" s="45"/>
      <c r="X82" s="599"/>
      <c r="Y82" s="45"/>
      <c r="Z82" s="45"/>
      <c r="AA82" s="45"/>
      <c r="AB82" s="45"/>
      <c r="AC82" s="45"/>
      <c r="AD82" s="45"/>
      <c r="AE82" s="47"/>
      <c r="AF82" s="47"/>
      <c r="AG82" s="47"/>
      <c r="AH82" s="47"/>
      <c r="AI82" s="120" t="n">
        <v>11</v>
      </c>
    </row>
    <row r="83" s="120" customFormat="true" ht="11.25" hidden="false" customHeight="true" outlineLevel="0" collapsed="false">
      <c r="A83" s="598"/>
      <c r="B83" s="47"/>
      <c r="C83" s="47"/>
      <c r="N83" s="45"/>
      <c r="O83" s="47"/>
      <c r="P83" s="47"/>
      <c r="Q83" s="45"/>
      <c r="R83" s="45"/>
      <c r="S83" s="45"/>
      <c r="T83" s="45"/>
      <c r="U83" s="47"/>
      <c r="V83" s="45"/>
      <c r="W83" s="45"/>
      <c r="X83" s="599"/>
      <c r="Y83" s="45"/>
      <c r="Z83" s="45"/>
      <c r="AA83" s="45"/>
      <c r="AB83" s="45"/>
      <c r="AC83" s="45"/>
      <c r="AD83" s="45"/>
      <c r="AE83" s="47"/>
      <c r="AF83" s="47"/>
      <c r="AG83" s="47"/>
      <c r="AH83" s="47"/>
      <c r="AI83" s="120" t="n">
        <v>11</v>
      </c>
    </row>
    <row r="84" s="120" customFormat="true" ht="11.25" hidden="false" customHeight="true" outlineLevel="0" collapsed="false">
      <c r="A84" s="598"/>
      <c r="B84" s="47"/>
      <c r="C84" s="47"/>
      <c r="N84" s="45"/>
      <c r="O84" s="47"/>
      <c r="P84" s="47"/>
      <c r="Q84" s="45"/>
      <c r="R84" s="45"/>
      <c r="S84" s="45"/>
      <c r="T84" s="45"/>
      <c r="U84" s="47"/>
      <c r="V84" s="45"/>
      <c r="W84" s="45"/>
      <c r="X84" s="599"/>
      <c r="Y84" s="45"/>
      <c r="Z84" s="45"/>
      <c r="AA84" s="45"/>
      <c r="AB84" s="45"/>
      <c r="AC84" s="45"/>
      <c r="AD84" s="45"/>
      <c r="AE84" s="47"/>
      <c r="AF84" s="47"/>
      <c r="AG84" s="47"/>
      <c r="AH84" s="47"/>
      <c r="AI84" s="120" t="n">
        <v>11</v>
      </c>
    </row>
    <row r="85" s="120" customFormat="true" ht="11.25" hidden="false" customHeight="true" outlineLevel="0" collapsed="false">
      <c r="A85" s="598"/>
      <c r="B85" s="47"/>
      <c r="C85" s="47"/>
      <c r="N85" s="45"/>
      <c r="O85" s="47"/>
      <c r="P85" s="47"/>
      <c r="Q85" s="45"/>
      <c r="R85" s="45"/>
      <c r="S85" s="45"/>
      <c r="T85" s="45"/>
      <c r="U85" s="47"/>
      <c r="V85" s="45"/>
      <c r="W85" s="45"/>
      <c r="X85" s="599"/>
      <c r="Y85" s="45"/>
      <c r="Z85" s="45"/>
      <c r="AA85" s="45"/>
      <c r="AB85" s="45"/>
      <c r="AC85" s="45"/>
      <c r="AD85" s="45"/>
      <c r="AE85" s="47"/>
      <c r="AF85" s="47"/>
      <c r="AG85" s="47"/>
      <c r="AH85" s="47"/>
      <c r="AI85" s="120" t="n">
        <v>11</v>
      </c>
    </row>
    <row r="86" s="120" customFormat="true" ht="11.25" hidden="false" customHeight="true" outlineLevel="0" collapsed="false">
      <c r="A86" s="598"/>
      <c r="B86" s="47"/>
      <c r="C86" s="47"/>
      <c r="N86" s="45"/>
      <c r="O86" s="47"/>
      <c r="P86" s="47"/>
      <c r="Q86" s="45"/>
      <c r="R86" s="45"/>
      <c r="S86" s="45"/>
      <c r="T86" s="45"/>
      <c r="U86" s="47"/>
      <c r="V86" s="45"/>
      <c r="W86" s="45"/>
      <c r="X86" s="599"/>
      <c r="Y86" s="45"/>
      <c r="Z86" s="45"/>
      <c r="AA86" s="45"/>
      <c r="AB86" s="45"/>
      <c r="AC86" s="45"/>
      <c r="AD86" s="45"/>
      <c r="AE86" s="47"/>
      <c r="AF86" s="47"/>
      <c r="AG86" s="47"/>
      <c r="AH86" s="47"/>
      <c r="AI86" s="120" t="n">
        <v>11</v>
      </c>
    </row>
    <row r="87" s="120" customFormat="true" ht="11.25" hidden="false" customHeight="true" outlineLevel="0" collapsed="false">
      <c r="A87" s="598"/>
      <c r="B87" s="47"/>
      <c r="C87" s="47"/>
      <c r="N87" s="45"/>
      <c r="O87" s="47"/>
      <c r="P87" s="47"/>
      <c r="Q87" s="45"/>
      <c r="R87" s="45"/>
      <c r="S87" s="45"/>
      <c r="T87" s="45"/>
      <c r="U87" s="47"/>
      <c r="V87" s="45"/>
      <c r="W87" s="45"/>
      <c r="X87" s="599"/>
      <c r="Y87" s="45"/>
      <c r="Z87" s="45"/>
      <c r="AA87" s="45"/>
      <c r="AB87" s="45"/>
      <c r="AC87" s="45"/>
      <c r="AD87" s="45"/>
      <c r="AE87" s="47"/>
      <c r="AF87" s="47"/>
      <c r="AG87" s="47"/>
      <c r="AH87" s="47"/>
      <c r="AI87" s="120" t="n">
        <v>11</v>
      </c>
    </row>
    <row r="88" s="120" customFormat="true" ht="11.25" hidden="false" customHeight="true" outlineLevel="0" collapsed="false">
      <c r="A88" s="598"/>
      <c r="B88" s="47"/>
      <c r="C88" s="47"/>
      <c r="N88" s="45"/>
      <c r="O88" s="47"/>
      <c r="P88" s="47"/>
      <c r="Q88" s="45"/>
      <c r="R88" s="45"/>
      <c r="S88" s="45"/>
      <c r="T88" s="45"/>
      <c r="U88" s="47"/>
      <c r="V88" s="45"/>
      <c r="W88" s="45"/>
      <c r="X88" s="599"/>
      <c r="Y88" s="45"/>
      <c r="Z88" s="45"/>
      <c r="AA88" s="45"/>
      <c r="AB88" s="45"/>
      <c r="AC88" s="45"/>
      <c r="AD88" s="45"/>
      <c r="AE88" s="47"/>
      <c r="AF88" s="47"/>
      <c r="AG88" s="47"/>
      <c r="AH88" s="47"/>
      <c r="AI88" s="120" t="n">
        <v>11</v>
      </c>
    </row>
    <row r="89" s="120" customFormat="true" ht="11.25" hidden="false" customHeight="true" outlineLevel="0" collapsed="false">
      <c r="A89" s="598"/>
      <c r="B89" s="47"/>
      <c r="C89" s="47"/>
      <c r="N89" s="45"/>
      <c r="O89" s="47"/>
      <c r="P89" s="47"/>
      <c r="Q89" s="45"/>
      <c r="R89" s="45"/>
      <c r="S89" s="45"/>
      <c r="T89" s="45"/>
      <c r="U89" s="47"/>
      <c r="V89" s="45"/>
      <c r="W89" s="45"/>
      <c r="X89" s="599"/>
      <c r="Y89" s="45"/>
      <c r="Z89" s="45"/>
      <c r="AA89" s="45"/>
      <c r="AB89" s="45"/>
      <c r="AC89" s="45"/>
      <c r="AD89" s="45"/>
      <c r="AE89" s="47"/>
      <c r="AF89" s="47"/>
      <c r="AG89" s="47"/>
      <c r="AH89" s="47"/>
      <c r="AI89" s="120" t="n">
        <v>11</v>
      </c>
    </row>
    <row r="90" s="120" customFormat="true" ht="11.25" hidden="false" customHeight="true" outlineLevel="0" collapsed="false">
      <c r="A90" s="598"/>
      <c r="B90" s="47"/>
      <c r="C90" s="47"/>
      <c r="N90" s="45"/>
      <c r="O90" s="47"/>
      <c r="P90" s="47"/>
      <c r="Q90" s="45"/>
      <c r="R90" s="45"/>
      <c r="S90" s="45"/>
      <c r="T90" s="45"/>
      <c r="U90" s="47"/>
      <c r="V90" s="45"/>
      <c r="W90" s="45"/>
      <c r="X90" s="599"/>
      <c r="Y90" s="45"/>
      <c r="Z90" s="45"/>
      <c r="AA90" s="45"/>
      <c r="AB90" s="45"/>
      <c r="AC90" s="45"/>
      <c r="AD90" s="45"/>
      <c r="AE90" s="47"/>
      <c r="AF90" s="47"/>
      <c r="AG90" s="47"/>
      <c r="AH90" s="47"/>
      <c r="AI90" s="120" t="n">
        <v>11</v>
      </c>
    </row>
    <row r="91" s="120" customFormat="true" ht="11.25" hidden="false" customHeight="true" outlineLevel="0" collapsed="false">
      <c r="A91" s="598"/>
      <c r="B91" s="47"/>
      <c r="C91" s="47"/>
      <c r="N91" s="45"/>
      <c r="O91" s="47"/>
      <c r="P91" s="47"/>
      <c r="Q91" s="45"/>
      <c r="R91" s="45"/>
      <c r="S91" s="45"/>
      <c r="T91" s="45"/>
      <c r="U91" s="47"/>
      <c r="V91" s="45"/>
      <c r="W91" s="45"/>
      <c r="X91" s="599"/>
      <c r="Y91" s="45"/>
      <c r="Z91" s="45"/>
      <c r="AA91" s="45"/>
      <c r="AB91" s="45"/>
      <c r="AC91" s="45"/>
      <c r="AD91" s="45"/>
      <c r="AE91" s="47"/>
      <c r="AF91" s="47"/>
      <c r="AG91" s="47"/>
      <c r="AH91" s="47"/>
      <c r="AI91" s="120" t="n">
        <v>11</v>
      </c>
    </row>
    <row r="92" s="120" customFormat="true" ht="11.25" hidden="false" customHeight="true" outlineLevel="0" collapsed="false">
      <c r="A92" s="598"/>
      <c r="B92" s="47"/>
      <c r="C92" s="47"/>
      <c r="N92" s="45"/>
      <c r="O92" s="47"/>
      <c r="P92" s="47"/>
      <c r="Q92" s="45"/>
      <c r="R92" s="45"/>
      <c r="S92" s="45"/>
      <c r="T92" s="45"/>
      <c r="U92" s="47"/>
      <c r="V92" s="45"/>
      <c r="W92" s="45"/>
      <c r="X92" s="599"/>
      <c r="Y92" s="45"/>
      <c r="Z92" s="45"/>
      <c r="AA92" s="45"/>
      <c r="AB92" s="45"/>
      <c r="AC92" s="45"/>
      <c r="AD92" s="45"/>
      <c r="AE92" s="47"/>
      <c r="AF92" s="47"/>
      <c r="AG92" s="47"/>
      <c r="AH92" s="47"/>
      <c r="AI92" s="120" t="n">
        <v>11</v>
      </c>
    </row>
    <row r="93" s="120" customFormat="true" ht="11.25" hidden="false" customHeight="true" outlineLevel="0" collapsed="false">
      <c r="A93" s="598"/>
      <c r="B93" s="47"/>
      <c r="C93" s="47"/>
      <c r="N93" s="45"/>
      <c r="O93" s="47"/>
      <c r="P93" s="47"/>
      <c r="Q93" s="45"/>
      <c r="R93" s="45"/>
      <c r="S93" s="45"/>
      <c r="T93" s="45"/>
      <c r="U93" s="47"/>
      <c r="V93" s="45"/>
      <c r="W93" s="45"/>
      <c r="X93" s="599"/>
      <c r="Y93" s="45"/>
      <c r="Z93" s="45"/>
      <c r="AA93" s="45"/>
      <c r="AB93" s="45"/>
      <c r="AC93" s="45"/>
      <c r="AD93" s="45"/>
      <c r="AE93" s="47"/>
      <c r="AF93" s="47"/>
      <c r="AG93" s="47"/>
      <c r="AH93" s="47"/>
      <c r="AI93" s="120" t="n">
        <v>11</v>
      </c>
    </row>
    <row r="94" s="120" customFormat="true" ht="11.25" hidden="false" customHeight="true" outlineLevel="0" collapsed="false">
      <c r="A94" s="598"/>
      <c r="B94" s="47"/>
      <c r="C94" s="47"/>
      <c r="N94" s="45"/>
      <c r="O94" s="47"/>
      <c r="P94" s="47"/>
      <c r="Q94" s="45"/>
      <c r="R94" s="45"/>
      <c r="S94" s="45"/>
      <c r="T94" s="45"/>
      <c r="U94" s="47"/>
      <c r="V94" s="45"/>
      <c r="W94" s="45"/>
      <c r="X94" s="599"/>
      <c r="Y94" s="45"/>
      <c r="Z94" s="45"/>
      <c r="AA94" s="45"/>
      <c r="AB94" s="45"/>
      <c r="AC94" s="45"/>
      <c r="AD94" s="45"/>
      <c r="AE94" s="47"/>
      <c r="AF94" s="47"/>
      <c r="AG94" s="47"/>
      <c r="AH94" s="47"/>
      <c r="AI94" s="120" t="n">
        <v>11</v>
      </c>
    </row>
    <row r="95" s="120" customFormat="true" ht="11.25" hidden="false" customHeight="true" outlineLevel="0" collapsed="false">
      <c r="A95" s="598"/>
      <c r="B95" s="47"/>
      <c r="C95" s="47"/>
      <c r="N95" s="45"/>
      <c r="O95" s="47"/>
      <c r="P95" s="47"/>
      <c r="Q95" s="45"/>
      <c r="R95" s="45"/>
      <c r="S95" s="45"/>
      <c r="T95" s="45"/>
      <c r="U95" s="47"/>
      <c r="V95" s="45"/>
      <c r="W95" s="45"/>
      <c r="X95" s="599"/>
      <c r="Y95" s="45"/>
      <c r="Z95" s="45"/>
      <c r="AA95" s="45"/>
      <c r="AB95" s="45"/>
      <c r="AC95" s="45"/>
      <c r="AD95" s="45"/>
      <c r="AE95" s="47"/>
      <c r="AF95" s="47"/>
      <c r="AG95" s="47"/>
      <c r="AH95" s="47"/>
      <c r="AI95" s="120" t="n">
        <v>11</v>
      </c>
    </row>
    <row r="96" s="120" customFormat="true" ht="11.25" hidden="false" customHeight="true" outlineLevel="0" collapsed="false">
      <c r="A96" s="598"/>
      <c r="B96" s="47"/>
      <c r="C96" s="47"/>
      <c r="N96" s="45"/>
      <c r="O96" s="47"/>
      <c r="P96" s="47"/>
      <c r="Q96" s="45"/>
      <c r="R96" s="45"/>
      <c r="S96" s="45"/>
      <c r="T96" s="45"/>
      <c r="U96" s="47"/>
      <c r="V96" s="45"/>
      <c r="W96" s="45"/>
      <c r="X96" s="599"/>
      <c r="Y96" s="45"/>
      <c r="Z96" s="45"/>
      <c r="AA96" s="45"/>
      <c r="AB96" s="45"/>
      <c r="AC96" s="45"/>
      <c r="AD96" s="45"/>
      <c r="AE96" s="47"/>
      <c r="AF96" s="47"/>
      <c r="AG96" s="47"/>
      <c r="AH96" s="47"/>
      <c r="AI96" s="120" t="n">
        <v>11</v>
      </c>
    </row>
    <row r="97" s="120" customFormat="true" ht="11.25" hidden="false" customHeight="true" outlineLevel="0" collapsed="false">
      <c r="A97" s="598"/>
      <c r="B97" s="47"/>
      <c r="C97" s="47"/>
      <c r="N97" s="45"/>
      <c r="O97" s="47"/>
      <c r="P97" s="47"/>
      <c r="Q97" s="45"/>
      <c r="R97" s="45"/>
      <c r="S97" s="45"/>
      <c r="T97" s="45"/>
      <c r="U97" s="47"/>
      <c r="V97" s="45"/>
      <c r="W97" s="45"/>
      <c r="X97" s="599"/>
      <c r="Y97" s="45"/>
      <c r="Z97" s="45"/>
      <c r="AA97" s="45"/>
      <c r="AB97" s="45"/>
      <c r="AC97" s="45"/>
      <c r="AD97" s="45"/>
      <c r="AE97" s="47"/>
      <c r="AF97" s="47"/>
      <c r="AG97" s="47"/>
      <c r="AH97" s="47"/>
      <c r="AI97" s="120" t="n">
        <v>11</v>
      </c>
    </row>
    <row r="98" s="120" customFormat="true" ht="11.25" hidden="false" customHeight="true" outlineLevel="0" collapsed="false">
      <c r="A98" s="598"/>
      <c r="B98" s="47"/>
      <c r="C98" s="47"/>
      <c r="N98" s="45"/>
      <c r="O98" s="47"/>
      <c r="P98" s="47"/>
      <c r="Q98" s="45"/>
      <c r="R98" s="45"/>
      <c r="S98" s="45"/>
      <c r="T98" s="45"/>
      <c r="U98" s="47"/>
      <c r="V98" s="45"/>
      <c r="W98" s="45"/>
      <c r="X98" s="599"/>
      <c r="Y98" s="45"/>
      <c r="Z98" s="45"/>
      <c r="AA98" s="45"/>
      <c r="AB98" s="45"/>
      <c r="AC98" s="45"/>
      <c r="AD98" s="45"/>
      <c r="AE98" s="47"/>
      <c r="AF98" s="47"/>
      <c r="AG98" s="47"/>
      <c r="AH98" s="47"/>
      <c r="AI98" s="120" t="n">
        <v>11</v>
      </c>
    </row>
    <row r="99" s="120" customFormat="true" ht="11.25" hidden="false" customHeight="true" outlineLevel="0" collapsed="false">
      <c r="A99" s="598"/>
      <c r="B99" s="47"/>
      <c r="C99" s="47"/>
      <c r="N99" s="45"/>
      <c r="O99" s="47"/>
      <c r="P99" s="47"/>
      <c r="Q99" s="45"/>
      <c r="R99" s="45"/>
      <c r="S99" s="45"/>
      <c r="T99" s="45"/>
      <c r="U99" s="47"/>
      <c r="V99" s="45"/>
      <c r="W99" s="45"/>
      <c r="X99" s="599"/>
      <c r="Y99" s="45"/>
      <c r="Z99" s="45"/>
      <c r="AA99" s="45"/>
      <c r="AB99" s="45"/>
      <c r="AC99" s="45"/>
      <c r="AD99" s="45"/>
      <c r="AE99" s="47"/>
      <c r="AF99" s="47"/>
      <c r="AG99" s="47"/>
      <c r="AH99" s="47"/>
      <c r="AI99" s="120" t="n">
        <v>11</v>
      </c>
    </row>
    <row r="100" s="120" customFormat="true" ht="11.25" hidden="false" customHeight="true" outlineLevel="0" collapsed="false">
      <c r="A100" s="598"/>
      <c r="B100" s="47"/>
      <c r="C100" s="47"/>
      <c r="N100" s="45"/>
      <c r="O100" s="47"/>
      <c r="P100" s="47"/>
      <c r="Q100" s="45"/>
      <c r="R100" s="45"/>
      <c r="S100" s="45"/>
      <c r="T100" s="45"/>
      <c r="U100" s="47"/>
      <c r="V100" s="45"/>
      <c r="W100" s="45"/>
      <c r="X100" s="599"/>
      <c r="Y100" s="45"/>
      <c r="Z100" s="45"/>
      <c r="AA100" s="45"/>
      <c r="AB100" s="45"/>
      <c r="AC100" s="45"/>
      <c r="AD100" s="45"/>
      <c r="AE100" s="47"/>
      <c r="AF100" s="47"/>
      <c r="AG100" s="47"/>
      <c r="AH100" s="47"/>
      <c r="AI100" s="120" t="n">
        <v>11</v>
      </c>
    </row>
    <row r="101" s="120" customFormat="true" ht="11.25" hidden="false" customHeight="true" outlineLevel="0" collapsed="false">
      <c r="A101" s="598"/>
      <c r="B101" s="47"/>
      <c r="C101" s="47"/>
      <c r="N101" s="45"/>
      <c r="O101" s="47"/>
      <c r="P101" s="47"/>
      <c r="Q101" s="45"/>
      <c r="R101" s="45"/>
      <c r="S101" s="45"/>
      <c r="T101" s="45"/>
      <c r="U101" s="47"/>
      <c r="V101" s="45"/>
      <c r="W101" s="45"/>
      <c r="X101" s="599"/>
      <c r="Y101" s="45"/>
      <c r="Z101" s="45"/>
      <c r="AA101" s="45"/>
      <c r="AB101" s="45"/>
      <c r="AC101" s="45"/>
      <c r="AD101" s="45"/>
      <c r="AE101" s="47"/>
      <c r="AF101" s="47"/>
      <c r="AG101" s="47"/>
      <c r="AH101" s="47"/>
      <c r="AI101" s="120" t="n">
        <v>11</v>
      </c>
    </row>
    <row r="102" s="120" customFormat="true" ht="11.25" hidden="false" customHeight="true" outlineLevel="0" collapsed="false">
      <c r="A102" s="598"/>
      <c r="B102" s="47"/>
      <c r="C102" s="47"/>
      <c r="N102" s="45"/>
      <c r="O102" s="47"/>
      <c r="P102" s="47"/>
      <c r="Q102" s="45"/>
      <c r="R102" s="45"/>
      <c r="S102" s="45"/>
      <c r="T102" s="45"/>
      <c r="U102" s="47"/>
      <c r="V102" s="45"/>
      <c r="W102" s="45"/>
      <c r="X102" s="599"/>
      <c r="Y102" s="45"/>
      <c r="Z102" s="45"/>
      <c r="AA102" s="45"/>
      <c r="AB102" s="45"/>
      <c r="AC102" s="45"/>
      <c r="AD102" s="45"/>
      <c r="AE102" s="47"/>
      <c r="AF102" s="47"/>
      <c r="AG102" s="47"/>
      <c r="AH102" s="47"/>
      <c r="AI102" s="120" t="n">
        <v>11</v>
      </c>
    </row>
    <row r="103" s="120" customFormat="true" ht="11.25" hidden="false" customHeight="true" outlineLevel="0" collapsed="false">
      <c r="A103" s="598"/>
      <c r="B103" s="47"/>
      <c r="C103" s="47"/>
      <c r="N103" s="45"/>
      <c r="O103" s="47"/>
      <c r="P103" s="47"/>
      <c r="Q103" s="45"/>
      <c r="R103" s="45"/>
      <c r="S103" s="45"/>
      <c r="T103" s="45"/>
      <c r="U103" s="47"/>
      <c r="V103" s="45"/>
      <c r="W103" s="45"/>
      <c r="X103" s="599"/>
      <c r="Y103" s="45"/>
      <c r="Z103" s="45"/>
      <c r="AA103" s="45"/>
      <c r="AB103" s="45"/>
      <c r="AC103" s="45"/>
      <c r="AD103" s="45"/>
      <c r="AE103" s="47"/>
      <c r="AF103" s="47"/>
      <c r="AG103" s="47"/>
      <c r="AH103" s="47"/>
      <c r="AI103" s="120" t="n">
        <v>11</v>
      </c>
    </row>
    <row r="104" s="120" customFormat="true" ht="11.25" hidden="false" customHeight="true" outlineLevel="0" collapsed="false">
      <c r="A104" s="598"/>
      <c r="B104" s="47"/>
      <c r="C104" s="47"/>
      <c r="N104" s="45"/>
      <c r="O104" s="47"/>
      <c r="P104" s="47"/>
      <c r="Q104" s="45"/>
      <c r="R104" s="45"/>
      <c r="S104" s="45"/>
      <c r="T104" s="45"/>
      <c r="U104" s="47"/>
      <c r="V104" s="45"/>
      <c r="W104" s="45"/>
      <c r="X104" s="599"/>
      <c r="Y104" s="45"/>
      <c r="Z104" s="45"/>
      <c r="AA104" s="45"/>
      <c r="AB104" s="45"/>
      <c r="AC104" s="45"/>
      <c r="AD104" s="45"/>
      <c r="AE104" s="47"/>
      <c r="AF104" s="47"/>
      <c r="AG104" s="47"/>
      <c r="AH104" s="47"/>
      <c r="AI104" s="120" t="n">
        <v>11</v>
      </c>
    </row>
    <row r="105" s="120" customFormat="true" ht="11.25" hidden="false" customHeight="true" outlineLevel="0" collapsed="false">
      <c r="A105" s="598"/>
      <c r="B105" s="47"/>
      <c r="C105" s="47"/>
      <c r="N105" s="45"/>
      <c r="O105" s="47"/>
      <c r="P105" s="47"/>
      <c r="Q105" s="45"/>
      <c r="R105" s="45"/>
      <c r="S105" s="45"/>
      <c r="T105" s="45"/>
      <c r="U105" s="47"/>
      <c r="V105" s="45"/>
      <c r="W105" s="45"/>
      <c r="X105" s="599"/>
      <c r="Y105" s="45"/>
      <c r="Z105" s="45"/>
      <c r="AA105" s="45"/>
      <c r="AB105" s="45"/>
      <c r="AC105" s="45"/>
      <c r="AD105" s="45"/>
      <c r="AE105" s="47"/>
      <c r="AF105" s="47"/>
      <c r="AG105" s="47"/>
      <c r="AH105" s="47"/>
      <c r="AI105" s="120" t="n">
        <v>11</v>
      </c>
    </row>
    <row r="106" s="120" customFormat="true" ht="11.25" hidden="false" customHeight="true" outlineLevel="0" collapsed="false">
      <c r="A106" s="598"/>
      <c r="B106" s="47"/>
      <c r="C106" s="47"/>
      <c r="N106" s="45"/>
      <c r="O106" s="47"/>
      <c r="P106" s="47"/>
      <c r="Q106" s="45"/>
      <c r="R106" s="45"/>
      <c r="S106" s="45"/>
      <c r="T106" s="45"/>
      <c r="U106" s="47"/>
      <c r="V106" s="45"/>
      <c r="W106" s="45"/>
      <c r="X106" s="599"/>
      <c r="Y106" s="45"/>
      <c r="Z106" s="45"/>
      <c r="AA106" s="45"/>
      <c r="AB106" s="45"/>
      <c r="AC106" s="45"/>
      <c r="AD106" s="45"/>
      <c r="AE106" s="47"/>
      <c r="AF106" s="47"/>
      <c r="AG106" s="47"/>
      <c r="AH106" s="47"/>
      <c r="AI106" s="120" t="n">
        <v>11</v>
      </c>
    </row>
    <row r="107" s="120" customFormat="true" ht="11.25" hidden="false" customHeight="true" outlineLevel="0" collapsed="false">
      <c r="A107" s="598"/>
      <c r="B107" s="47"/>
      <c r="C107" s="47"/>
      <c r="N107" s="45"/>
      <c r="O107" s="47"/>
      <c r="P107" s="47"/>
      <c r="Q107" s="45"/>
      <c r="R107" s="45"/>
      <c r="S107" s="45"/>
      <c r="T107" s="45"/>
      <c r="U107" s="47"/>
      <c r="V107" s="45"/>
      <c r="W107" s="45"/>
      <c r="X107" s="599"/>
      <c r="Y107" s="45"/>
      <c r="Z107" s="45"/>
      <c r="AA107" s="45"/>
      <c r="AB107" s="45"/>
      <c r="AC107" s="45"/>
      <c r="AD107" s="45"/>
      <c r="AE107" s="47"/>
      <c r="AF107" s="47"/>
      <c r="AG107" s="47"/>
      <c r="AH107" s="47"/>
      <c r="AI107" s="120" t="n">
        <v>11</v>
      </c>
    </row>
    <row r="108" s="120" customFormat="true" ht="11.25" hidden="false" customHeight="true" outlineLevel="0" collapsed="false">
      <c r="A108" s="598"/>
      <c r="B108" s="47"/>
      <c r="C108" s="47"/>
      <c r="N108" s="45"/>
      <c r="O108" s="47"/>
      <c r="P108" s="47"/>
      <c r="Q108" s="45"/>
      <c r="R108" s="45"/>
      <c r="S108" s="45"/>
      <c r="T108" s="45"/>
      <c r="U108" s="47"/>
      <c r="V108" s="45"/>
      <c r="W108" s="45"/>
      <c r="X108" s="599"/>
      <c r="Y108" s="45"/>
      <c r="Z108" s="45"/>
      <c r="AA108" s="45"/>
      <c r="AB108" s="45"/>
      <c r="AC108" s="45"/>
      <c r="AD108" s="45"/>
      <c r="AE108" s="47"/>
      <c r="AF108" s="47"/>
      <c r="AG108" s="47"/>
      <c r="AH108" s="47"/>
      <c r="AI108" s="120" t="n">
        <v>11</v>
      </c>
    </row>
    <row r="109" s="120" customFormat="true" ht="11.25" hidden="false" customHeight="true" outlineLevel="0" collapsed="false">
      <c r="A109" s="598"/>
      <c r="B109" s="47"/>
      <c r="C109" s="47"/>
      <c r="N109" s="45"/>
      <c r="O109" s="47"/>
      <c r="P109" s="47"/>
      <c r="Q109" s="45"/>
      <c r="R109" s="45"/>
      <c r="S109" s="45"/>
      <c r="T109" s="45"/>
      <c r="U109" s="47"/>
      <c r="V109" s="45"/>
      <c r="W109" s="45"/>
      <c r="X109" s="599"/>
      <c r="Y109" s="45"/>
      <c r="Z109" s="45"/>
      <c r="AA109" s="45"/>
      <c r="AB109" s="45"/>
      <c r="AC109" s="45"/>
      <c r="AD109" s="45"/>
      <c r="AE109" s="47"/>
      <c r="AF109" s="47"/>
      <c r="AG109" s="47"/>
      <c r="AH109" s="47"/>
      <c r="AI109" s="120" t="n">
        <v>11</v>
      </c>
    </row>
    <row r="110" s="120" customFormat="true" ht="11.25" hidden="false" customHeight="true" outlineLevel="0" collapsed="false">
      <c r="A110" s="598"/>
      <c r="B110" s="47"/>
      <c r="C110" s="47"/>
      <c r="N110" s="45"/>
      <c r="O110" s="47"/>
      <c r="P110" s="47"/>
      <c r="Q110" s="45"/>
      <c r="R110" s="45"/>
      <c r="S110" s="45"/>
      <c r="T110" s="45"/>
      <c r="U110" s="47"/>
      <c r="V110" s="45"/>
      <c r="W110" s="45"/>
      <c r="X110" s="599"/>
      <c r="Y110" s="45"/>
      <c r="Z110" s="45"/>
      <c r="AA110" s="45"/>
      <c r="AB110" s="45"/>
      <c r="AC110" s="45"/>
      <c r="AD110" s="45"/>
      <c r="AE110" s="47"/>
      <c r="AF110" s="47"/>
      <c r="AG110" s="47"/>
      <c r="AH110" s="47"/>
      <c r="AI110" s="120" t="n">
        <v>11</v>
      </c>
    </row>
    <row r="111" s="120" customFormat="true" ht="11.25" hidden="false" customHeight="true" outlineLevel="0" collapsed="false">
      <c r="A111" s="598"/>
      <c r="B111" s="47"/>
      <c r="C111" s="47"/>
      <c r="N111" s="45"/>
      <c r="O111" s="47"/>
      <c r="P111" s="47"/>
      <c r="Q111" s="45"/>
      <c r="R111" s="45"/>
      <c r="S111" s="45"/>
      <c r="T111" s="45"/>
      <c r="U111" s="47"/>
      <c r="V111" s="45"/>
      <c r="W111" s="45"/>
      <c r="X111" s="599"/>
      <c r="Y111" s="45"/>
      <c r="Z111" s="45"/>
      <c r="AA111" s="45"/>
      <c r="AB111" s="45"/>
      <c r="AC111" s="45"/>
      <c r="AD111" s="45"/>
      <c r="AE111" s="47"/>
      <c r="AF111" s="47"/>
      <c r="AG111" s="47"/>
      <c r="AH111" s="47"/>
      <c r="AI111" s="120" t="n">
        <v>11</v>
      </c>
    </row>
    <row r="112" s="120" customFormat="true" ht="11.25" hidden="false" customHeight="true" outlineLevel="0" collapsed="false">
      <c r="A112" s="598"/>
      <c r="B112" s="47"/>
      <c r="C112" s="47"/>
      <c r="N112" s="45"/>
      <c r="O112" s="47"/>
      <c r="P112" s="47"/>
      <c r="Q112" s="45"/>
      <c r="R112" s="45"/>
      <c r="S112" s="45"/>
      <c r="T112" s="45"/>
      <c r="U112" s="47"/>
      <c r="V112" s="45"/>
      <c r="W112" s="45"/>
      <c r="X112" s="599"/>
      <c r="Y112" s="45"/>
      <c r="Z112" s="45"/>
      <c r="AA112" s="45"/>
      <c r="AB112" s="45"/>
      <c r="AC112" s="45"/>
      <c r="AD112" s="45"/>
      <c r="AE112" s="47"/>
      <c r="AF112" s="47"/>
      <c r="AG112" s="47"/>
      <c r="AH112" s="47"/>
      <c r="AI112" s="120" t="n">
        <v>11</v>
      </c>
    </row>
    <row r="113" s="120" customFormat="true" ht="11.25" hidden="false" customHeight="true" outlineLevel="0" collapsed="false">
      <c r="A113" s="598"/>
      <c r="B113" s="47"/>
      <c r="C113" s="47"/>
      <c r="N113" s="45"/>
      <c r="O113" s="47"/>
      <c r="P113" s="47"/>
      <c r="Q113" s="45"/>
      <c r="R113" s="45"/>
      <c r="S113" s="45"/>
      <c r="T113" s="45"/>
      <c r="U113" s="47"/>
      <c r="V113" s="45"/>
      <c r="W113" s="45"/>
      <c r="X113" s="599"/>
      <c r="Y113" s="45"/>
      <c r="Z113" s="45"/>
      <c r="AA113" s="45"/>
      <c r="AB113" s="45"/>
      <c r="AC113" s="45"/>
      <c r="AD113" s="45"/>
      <c r="AE113" s="47"/>
      <c r="AF113" s="47"/>
      <c r="AG113" s="47"/>
      <c r="AH113" s="47"/>
      <c r="AI113" s="120" t="n">
        <v>11</v>
      </c>
    </row>
    <row r="114" s="120" customFormat="true" ht="11.25" hidden="false" customHeight="true" outlineLevel="0" collapsed="false">
      <c r="A114" s="598"/>
      <c r="B114" s="47"/>
      <c r="C114" s="47"/>
      <c r="N114" s="45"/>
      <c r="O114" s="47"/>
      <c r="P114" s="47"/>
      <c r="Q114" s="45"/>
      <c r="R114" s="45"/>
      <c r="S114" s="45"/>
      <c r="T114" s="45"/>
      <c r="U114" s="47"/>
      <c r="V114" s="45"/>
      <c r="W114" s="45"/>
      <c r="X114" s="599"/>
      <c r="Y114" s="45"/>
      <c r="Z114" s="45"/>
      <c r="AA114" s="45"/>
      <c r="AB114" s="45"/>
      <c r="AC114" s="45"/>
      <c r="AD114" s="45"/>
      <c r="AE114" s="47"/>
      <c r="AF114" s="47"/>
      <c r="AG114" s="47"/>
      <c r="AH114" s="47"/>
      <c r="AI114" s="120" t="n">
        <v>11</v>
      </c>
    </row>
    <row r="115" s="120" customFormat="true" ht="11.25" hidden="false" customHeight="true" outlineLevel="0" collapsed="false">
      <c r="A115" s="598"/>
      <c r="B115" s="47"/>
      <c r="C115" s="47"/>
      <c r="N115" s="45"/>
      <c r="O115" s="47"/>
      <c r="P115" s="47"/>
      <c r="Q115" s="45"/>
      <c r="R115" s="45"/>
      <c r="S115" s="45"/>
      <c r="T115" s="45"/>
      <c r="U115" s="47"/>
      <c r="V115" s="45"/>
      <c r="W115" s="45"/>
      <c r="X115" s="599"/>
      <c r="Y115" s="45"/>
      <c r="Z115" s="45"/>
      <c r="AA115" s="45"/>
      <c r="AB115" s="45"/>
      <c r="AC115" s="45"/>
      <c r="AD115" s="45"/>
      <c r="AE115" s="47"/>
      <c r="AF115" s="47"/>
      <c r="AG115" s="47"/>
      <c r="AH115" s="47"/>
      <c r="AI115" s="120" t="n">
        <v>11</v>
      </c>
    </row>
    <row r="116" s="120" customFormat="true" ht="11.25" hidden="false" customHeight="true" outlineLevel="0" collapsed="false">
      <c r="A116" s="598"/>
      <c r="B116" s="47"/>
      <c r="C116" s="47"/>
      <c r="N116" s="45"/>
      <c r="O116" s="47"/>
      <c r="P116" s="47"/>
      <c r="Q116" s="45"/>
      <c r="R116" s="45"/>
      <c r="S116" s="45"/>
      <c r="T116" s="45"/>
      <c r="U116" s="47"/>
      <c r="V116" s="45"/>
      <c r="W116" s="45"/>
      <c r="X116" s="599"/>
      <c r="Y116" s="45"/>
      <c r="Z116" s="45"/>
      <c r="AA116" s="45"/>
      <c r="AB116" s="45"/>
      <c r="AC116" s="45"/>
      <c r="AD116" s="45"/>
      <c r="AE116" s="47"/>
      <c r="AF116" s="47"/>
      <c r="AG116" s="47"/>
      <c r="AH116" s="47"/>
      <c r="AI116" s="120" t="n">
        <v>11</v>
      </c>
    </row>
    <row r="117" s="120" customFormat="true" ht="11.25" hidden="false" customHeight="true" outlineLevel="0" collapsed="false">
      <c r="A117" s="598"/>
      <c r="B117" s="47"/>
      <c r="C117" s="47"/>
      <c r="N117" s="45"/>
      <c r="O117" s="47"/>
      <c r="P117" s="47"/>
      <c r="Q117" s="45"/>
      <c r="R117" s="45"/>
      <c r="S117" s="45"/>
      <c r="T117" s="45"/>
      <c r="U117" s="47"/>
      <c r="V117" s="45"/>
      <c r="W117" s="45"/>
      <c r="X117" s="599"/>
      <c r="Y117" s="45"/>
      <c r="Z117" s="45"/>
      <c r="AA117" s="45"/>
      <c r="AB117" s="45"/>
      <c r="AC117" s="45"/>
      <c r="AD117" s="45"/>
      <c r="AE117" s="47"/>
      <c r="AF117" s="47"/>
      <c r="AG117" s="47"/>
      <c r="AH117" s="47"/>
      <c r="AI117" s="120" t="n">
        <v>11</v>
      </c>
    </row>
    <row r="118" s="120" customFormat="true" ht="11.25" hidden="false" customHeight="true" outlineLevel="0" collapsed="false">
      <c r="A118" s="598"/>
      <c r="B118" s="47"/>
      <c r="C118" s="47"/>
      <c r="N118" s="45"/>
      <c r="O118" s="47"/>
      <c r="P118" s="47"/>
      <c r="Q118" s="45"/>
      <c r="R118" s="45"/>
      <c r="S118" s="45"/>
      <c r="T118" s="45"/>
      <c r="U118" s="47"/>
      <c r="V118" s="45"/>
      <c r="W118" s="45"/>
      <c r="X118" s="599"/>
      <c r="Y118" s="45"/>
      <c r="Z118" s="45"/>
      <c r="AA118" s="45"/>
      <c r="AB118" s="45"/>
      <c r="AC118" s="45"/>
      <c r="AD118" s="45"/>
      <c r="AE118" s="47"/>
      <c r="AF118" s="47"/>
      <c r="AG118" s="47"/>
      <c r="AH118" s="47"/>
      <c r="AI118" s="120" t="n">
        <v>11</v>
      </c>
    </row>
    <row r="119" s="120" customFormat="true" ht="11.25" hidden="false" customHeight="true" outlineLevel="0" collapsed="false">
      <c r="A119" s="598"/>
      <c r="B119" s="47"/>
      <c r="C119" s="47"/>
      <c r="N119" s="45"/>
      <c r="O119" s="47"/>
      <c r="P119" s="47"/>
      <c r="Q119" s="45"/>
      <c r="R119" s="45"/>
      <c r="S119" s="45"/>
      <c r="T119" s="45"/>
      <c r="U119" s="47"/>
      <c r="V119" s="45"/>
      <c r="W119" s="45"/>
      <c r="X119" s="599"/>
      <c r="Y119" s="45"/>
      <c r="Z119" s="45"/>
      <c r="AA119" s="45"/>
      <c r="AB119" s="45"/>
      <c r="AC119" s="45"/>
      <c r="AD119" s="45"/>
      <c r="AE119" s="47"/>
      <c r="AF119" s="47"/>
      <c r="AG119" s="47"/>
      <c r="AH119" s="47"/>
      <c r="AI119" s="120" t="n">
        <v>11</v>
      </c>
    </row>
    <row r="120" s="120" customFormat="true" ht="11.25" hidden="false" customHeight="true" outlineLevel="0" collapsed="false">
      <c r="A120" s="598"/>
      <c r="B120" s="47"/>
      <c r="C120" s="47"/>
      <c r="N120" s="45"/>
      <c r="O120" s="47"/>
      <c r="P120" s="47"/>
      <c r="Q120" s="45"/>
      <c r="R120" s="45"/>
      <c r="S120" s="45"/>
      <c r="T120" s="45"/>
      <c r="U120" s="47"/>
      <c r="V120" s="45"/>
      <c r="W120" s="45"/>
      <c r="X120" s="599"/>
      <c r="Y120" s="45"/>
      <c r="Z120" s="45"/>
      <c r="AA120" s="45"/>
      <c r="AB120" s="45"/>
      <c r="AC120" s="45"/>
      <c r="AD120" s="45"/>
      <c r="AE120" s="47"/>
      <c r="AF120" s="47"/>
      <c r="AG120" s="47"/>
      <c r="AH120" s="47"/>
      <c r="AI120" s="120" t="n">
        <v>11</v>
      </c>
    </row>
    <row r="121" s="120" customFormat="true" ht="11.25" hidden="false" customHeight="true" outlineLevel="0" collapsed="false">
      <c r="A121" s="598"/>
      <c r="B121" s="47"/>
      <c r="C121" s="47"/>
      <c r="N121" s="45"/>
      <c r="O121" s="47"/>
      <c r="P121" s="47"/>
      <c r="Q121" s="45"/>
      <c r="R121" s="45"/>
      <c r="S121" s="45"/>
      <c r="T121" s="45"/>
      <c r="U121" s="47"/>
      <c r="V121" s="45"/>
      <c r="W121" s="45"/>
      <c r="X121" s="599"/>
      <c r="Y121" s="45"/>
      <c r="Z121" s="45"/>
      <c r="AA121" s="45"/>
      <c r="AB121" s="45"/>
      <c r="AC121" s="45"/>
      <c r="AD121" s="45"/>
      <c r="AE121" s="47"/>
      <c r="AF121" s="47"/>
      <c r="AG121" s="47"/>
      <c r="AH121" s="47"/>
      <c r="AI121" s="120" t="n">
        <v>11</v>
      </c>
    </row>
    <row r="122" s="120" customFormat="true" ht="11.25" hidden="false" customHeight="true" outlineLevel="0" collapsed="false">
      <c r="A122" s="598"/>
      <c r="B122" s="47"/>
      <c r="C122" s="47"/>
      <c r="N122" s="45"/>
      <c r="O122" s="47"/>
      <c r="P122" s="47"/>
      <c r="Q122" s="45"/>
      <c r="R122" s="45"/>
      <c r="S122" s="45"/>
      <c r="T122" s="45"/>
      <c r="U122" s="47"/>
      <c r="V122" s="45"/>
      <c r="W122" s="45"/>
      <c r="X122" s="599"/>
      <c r="Y122" s="45"/>
      <c r="Z122" s="45"/>
      <c r="AA122" s="45"/>
      <c r="AB122" s="45"/>
      <c r="AC122" s="45"/>
      <c r="AD122" s="45"/>
      <c r="AE122" s="47"/>
      <c r="AF122" s="47"/>
      <c r="AG122" s="47"/>
      <c r="AH122" s="47"/>
      <c r="AI122" s="120" t="n">
        <v>11</v>
      </c>
    </row>
    <row r="123" s="120" customFormat="true" ht="11.25" hidden="false" customHeight="true" outlineLevel="0" collapsed="false">
      <c r="A123" s="598"/>
      <c r="B123" s="47"/>
      <c r="C123" s="47"/>
      <c r="N123" s="45"/>
      <c r="O123" s="47"/>
      <c r="P123" s="47"/>
      <c r="Q123" s="45"/>
      <c r="R123" s="45"/>
      <c r="S123" s="45"/>
      <c r="T123" s="45"/>
      <c r="U123" s="47"/>
      <c r="V123" s="45"/>
      <c r="W123" s="45"/>
      <c r="X123" s="599"/>
      <c r="Y123" s="45"/>
      <c r="Z123" s="45"/>
      <c r="AA123" s="45"/>
      <c r="AB123" s="45"/>
      <c r="AC123" s="45"/>
      <c r="AD123" s="45"/>
      <c r="AE123" s="47"/>
      <c r="AF123" s="47"/>
      <c r="AG123" s="47"/>
      <c r="AH123" s="47"/>
      <c r="AI123" s="120" t="n">
        <v>11</v>
      </c>
    </row>
    <row r="124" s="120" customFormat="true" ht="11.25" hidden="false" customHeight="true" outlineLevel="0" collapsed="false">
      <c r="A124" s="598"/>
      <c r="B124" s="47"/>
      <c r="C124" s="47"/>
      <c r="N124" s="45"/>
      <c r="O124" s="47"/>
      <c r="P124" s="47"/>
      <c r="Q124" s="45"/>
      <c r="R124" s="45"/>
      <c r="S124" s="45"/>
      <c r="T124" s="45"/>
      <c r="U124" s="47"/>
      <c r="V124" s="45"/>
      <c r="W124" s="45"/>
      <c r="X124" s="599"/>
      <c r="Y124" s="45"/>
      <c r="Z124" s="45"/>
      <c r="AA124" s="45"/>
      <c r="AB124" s="45"/>
      <c r="AC124" s="45"/>
      <c r="AD124" s="45"/>
      <c r="AE124" s="47"/>
      <c r="AF124" s="47"/>
      <c r="AG124" s="47"/>
      <c r="AH124" s="47"/>
      <c r="AI124" s="120" t="n">
        <v>11</v>
      </c>
    </row>
    <row r="125" s="120" customFormat="true" ht="11.25" hidden="false" customHeight="true" outlineLevel="0" collapsed="false">
      <c r="A125" s="598"/>
      <c r="B125" s="47"/>
      <c r="C125" s="47"/>
      <c r="N125" s="45"/>
      <c r="O125" s="47"/>
      <c r="P125" s="47"/>
      <c r="Q125" s="45"/>
      <c r="R125" s="45"/>
      <c r="S125" s="45"/>
      <c r="T125" s="45"/>
      <c r="U125" s="47"/>
      <c r="V125" s="45"/>
      <c r="W125" s="45"/>
      <c r="X125" s="599"/>
      <c r="Y125" s="45"/>
      <c r="Z125" s="45"/>
      <c r="AA125" s="45"/>
      <c r="AB125" s="45"/>
      <c r="AC125" s="45"/>
      <c r="AD125" s="45"/>
      <c r="AE125" s="47"/>
      <c r="AF125" s="47"/>
      <c r="AG125" s="47"/>
      <c r="AH125" s="47"/>
      <c r="AI125" s="120" t="n">
        <v>11</v>
      </c>
    </row>
    <row r="126" s="120" customFormat="true" ht="11.25" hidden="false" customHeight="true" outlineLevel="0" collapsed="false">
      <c r="A126" s="598"/>
      <c r="B126" s="47"/>
      <c r="C126" s="47"/>
      <c r="N126" s="45"/>
      <c r="O126" s="47"/>
      <c r="P126" s="47"/>
      <c r="Q126" s="45"/>
      <c r="R126" s="45"/>
      <c r="S126" s="45"/>
      <c r="T126" s="45"/>
      <c r="U126" s="47"/>
      <c r="V126" s="45"/>
      <c r="W126" s="45"/>
      <c r="X126" s="599"/>
      <c r="Y126" s="45"/>
      <c r="Z126" s="45"/>
      <c r="AA126" s="45"/>
      <c r="AB126" s="45"/>
      <c r="AC126" s="45"/>
      <c r="AD126" s="45"/>
      <c r="AE126" s="47"/>
      <c r="AF126" s="47"/>
      <c r="AG126" s="47"/>
      <c r="AH126" s="47"/>
      <c r="AI126" s="120" t="n">
        <v>11</v>
      </c>
    </row>
    <row r="127" s="120" customFormat="true" ht="11.25" hidden="false" customHeight="true" outlineLevel="0" collapsed="false">
      <c r="A127" s="598"/>
      <c r="B127" s="47"/>
      <c r="C127" s="47"/>
      <c r="N127" s="45"/>
      <c r="O127" s="47"/>
      <c r="P127" s="47"/>
      <c r="Q127" s="45"/>
      <c r="R127" s="45"/>
      <c r="S127" s="45"/>
      <c r="T127" s="45"/>
      <c r="U127" s="47"/>
      <c r="V127" s="45"/>
      <c r="W127" s="45"/>
      <c r="X127" s="599"/>
      <c r="Y127" s="45"/>
      <c r="Z127" s="45"/>
      <c r="AA127" s="45"/>
      <c r="AB127" s="45"/>
      <c r="AC127" s="45"/>
      <c r="AD127" s="45"/>
      <c r="AE127" s="47"/>
      <c r="AF127" s="47"/>
      <c r="AG127" s="47"/>
      <c r="AH127" s="47"/>
      <c r="AI127" s="120" t="n">
        <v>11</v>
      </c>
    </row>
    <row r="128" s="120" customFormat="true" ht="11.25" hidden="false" customHeight="true" outlineLevel="0" collapsed="false">
      <c r="A128" s="598"/>
      <c r="B128" s="47"/>
      <c r="C128" s="47"/>
      <c r="N128" s="45"/>
      <c r="O128" s="47"/>
      <c r="P128" s="47"/>
      <c r="Q128" s="45"/>
      <c r="R128" s="45"/>
      <c r="S128" s="45"/>
      <c r="T128" s="45"/>
      <c r="U128" s="47"/>
      <c r="V128" s="45"/>
      <c r="W128" s="45"/>
      <c r="X128" s="599"/>
      <c r="Y128" s="45"/>
      <c r="Z128" s="45"/>
      <c r="AA128" s="45"/>
      <c r="AB128" s="45"/>
      <c r="AC128" s="45"/>
      <c r="AD128" s="45"/>
      <c r="AE128" s="47"/>
      <c r="AF128" s="47"/>
      <c r="AG128" s="47"/>
      <c r="AH128" s="47"/>
      <c r="AI128" s="120" t="n">
        <v>11</v>
      </c>
    </row>
    <row r="129" s="120" customFormat="true" ht="11.25" hidden="false" customHeight="true" outlineLevel="0" collapsed="false">
      <c r="A129" s="598"/>
      <c r="B129" s="47"/>
      <c r="C129" s="47"/>
      <c r="N129" s="45"/>
      <c r="O129" s="47"/>
      <c r="P129" s="47"/>
      <c r="Q129" s="45"/>
      <c r="R129" s="45"/>
      <c r="S129" s="45"/>
      <c r="T129" s="45"/>
      <c r="U129" s="47"/>
      <c r="V129" s="45"/>
      <c r="W129" s="45"/>
      <c r="X129" s="599"/>
      <c r="Y129" s="45"/>
      <c r="Z129" s="45"/>
      <c r="AA129" s="45"/>
      <c r="AB129" s="45"/>
      <c r="AC129" s="45"/>
      <c r="AD129" s="45"/>
      <c r="AE129" s="47"/>
      <c r="AF129" s="47"/>
      <c r="AG129" s="47"/>
      <c r="AH129" s="47"/>
      <c r="AI129" s="120" t="n">
        <v>11</v>
      </c>
    </row>
    <row r="130" s="120" customFormat="true" ht="11.25" hidden="false" customHeight="true" outlineLevel="0" collapsed="false">
      <c r="A130" s="598"/>
      <c r="B130" s="47"/>
      <c r="C130" s="47"/>
      <c r="N130" s="45"/>
      <c r="O130" s="47"/>
      <c r="P130" s="47"/>
      <c r="Q130" s="45"/>
      <c r="R130" s="45"/>
      <c r="S130" s="45"/>
      <c r="T130" s="45"/>
      <c r="U130" s="47"/>
      <c r="V130" s="45"/>
      <c r="W130" s="45"/>
      <c r="X130" s="599"/>
      <c r="Y130" s="45"/>
      <c r="Z130" s="45"/>
      <c r="AA130" s="45"/>
      <c r="AB130" s="45"/>
      <c r="AC130" s="45"/>
      <c r="AD130" s="45"/>
      <c r="AE130" s="47"/>
      <c r="AF130" s="47"/>
      <c r="AG130" s="47"/>
      <c r="AH130" s="47"/>
      <c r="AI130" s="120" t="n">
        <v>11</v>
      </c>
    </row>
    <row r="131" s="120" customFormat="true" ht="11.25" hidden="false" customHeight="true" outlineLevel="0" collapsed="false">
      <c r="A131" s="598"/>
      <c r="B131" s="47"/>
      <c r="C131" s="47"/>
      <c r="N131" s="45"/>
      <c r="O131" s="47"/>
      <c r="P131" s="47"/>
      <c r="Q131" s="45"/>
      <c r="R131" s="45"/>
      <c r="S131" s="45"/>
      <c r="T131" s="45"/>
      <c r="U131" s="47"/>
      <c r="V131" s="45"/>
      <c r="W131" s="45"/>
      <c r="X131" s="599"/>
      <c r="Y131" s="45"/>
      <c r="Z131" s="45"/>
      <c r="AA131" s="45"/>
      <c r="AB131" s="45"/>
      <c r="AC131" s="45"/>
      <c r="AD131" s="45"/>
      <c r="AE131" s="47"/>
      <c r="AF131" s="47"/>
      <c r="AG131" s="47"/>
      <c r="AH131" s="47"/>
      <c r="AI131" s="120" t="n">
        <v>11</v>
      </c>
    </row>
    <row r="132" s="120" customFormat="true" ht="11.25" hidden="false" customHeight="true" outlineLevel="0" collapsed="false">
      <c r="A132" s="598"/>
      <c r="B132" s="47"/>
      <c r="C132" s="47"/>
      <c r="N132" s="45"/>
      <c r="O132" s="47"/>
      <c r="P132" s="47"/>
      <c r="Q132" s="45"/>
      <c r="R132" s="45"/>
      <c r="S132" s="45"/>
      <c r="T132" s="45"/>
      <c r="U132" s="47"/>
      <c r="V132" s="45"/>
      <c r="W132" s="45"/>
      <c r="X132" s="599"/>
      <c r="Y132" s="45"/>
      <c r="Z132" s="45"/>
      <c r="AA132" s="45"/>
      <c r="AB132" s="45"/>
      <c r="AC132" s="45"/>
      <c r="AD132" s="45"/>
      <c r="AE132" s="47"/>
      <c r="AF132" s="47"/>
      <c r="AG132" s="47"/>
      <c r="AH132" s="47"/>
      <c r="AI132" s="120" t="n">
        <v>11</v>
      </c>
    </row>
    <row r="133" s="120" customFormat="true" ht="11.25" hidden="false" customHeight="true" outlineLevel="0" collapsed="false">
      <c r="A133" s="598"/>
      <c r="B133" s="47"/>
      <c r="C133" s="47"/>
      <c r="N133" s="45"/>
      <c r="O133" s="47"/>
      <c r="P133" s="47"/>
      <c r="Q133" s="45"/>
      <c r="R133" s="45"/>
      <c r="S133" s="45"/>
      <c r="T133" s="45"/>
      <c r="U133" s="47"/>
      <c r="V133" s="45"/>
      <c r="W133" s="45"/>
      <c r="X133" s="599"/>
      <c r="Y133" s="45"/>
      <c r="Z133" s="45"/>
      <c r="AA133" s="45"/>
      <c r="AB133" s="45"/>
      <c r="AC133" s="45"/>
      <c r="AD133" s="45"/>
      <c r="AE133" s="47"/>
      <c r="AF133" s="47"/>
      <c r="AG133" s="47"/>
      <c r="AH133" s="47"/>
      <c r="AI133" s="120" t="n">
        <v>11</v>
      </c>
    </row>
    <row r="134" s="120" customFormat="true" ht="11.25" hidden="false" customHeight="true" outlineLevel="0" collapsed="false">
      <c r="A134" s="598"/>
      <c r="B134" s="47"/>
      <c r="C134" s="47"/>
      <c r="N134" s="45"/>
      <c r="O134" s="47"/>
      <c r="P134" s="47"/>
      <c r="Q134" s="45"/>
      <c r="R134" s="45"/>
      <c r="S134" s="45"/>
      <c r="T134" s="45"/>
      <c r="U134" s="47"/>
      <c r="V134" s="45"/>
      <c r="W134" s="45"/>
      <c r="X134" s="599"/>
      <c r="Y134" s="45"/>
      <c r="Z134" s="45"/>
      <c r="AA134" s="45"/>
      <c r="AB134" s="45"/>
      <c r="AC134" s="45"/>
      <c r="AD134" s="45"/>
      <c r="AE134" s="47"/>
      <c r="AF134" s="47"/>
      <c r="AG134" s="47"/>
      <c r="AH134" s="47"/>
      <c r="AI134" s="120" t="n">
        <v>11</v>
      </c>
    </row>
    <row r="135" s="120" customFormat="true" ht="11.25" hidden="false" customHeight="true" outlineLevel="0" collapsed="false">
      <c r="A135" s="598"/>
      <c r="B135" s="47"/>
      <c r="C135" s="47"/>
      <c r="N135" s="45"/>
      <c r="O135" s="47"/>
      <c r="P135" s="47"/>
      <c r="Q135" s="45"/>
      <c r="R135" s="45"/>
      <c r="S135" s="45"/>
      <c r="T135" s="45"/>
      <c r="U135" s="47"/>
      <c r="V135" s="45"/>
      <c r="W135" s="45"/>
      <c r="X135" s="599"/>
      <c r="Y135" s="45"/>
      <c r="Z135" s="45"/>
      <c r="AA135" s="45"/>
      <c r="AB135" s="45"/>
      <c r="AC135" s="45"/>
      <c r="AD135" s="45"/>
      <c r="AE135" s="47"/>
      <c r="AF135" s="47"/>
      <c r="AG135" s="47"/>
      <c r="AH135" s="47"/>
      <c r="AI135" s="120" t="n">
        <v>11</v>
      </c>
    </row>
    <row r="136" s="120" customFormat="true" ht="11.25" hidden="false" customHeight="true" outlineLevel="0" collapsed="false">
      <c r="A136" s="598"/>
      <c r="B136" s="47"/>
      <c r="C136" s="47"/>
      <c r="N136" s="45"/>
      <c r="O136" s="47"/>
      <c r="P136" s="47"/>
      <c r="Q136" s="45"/>
      <c r="R136" s="45"/>
      <c r="S136" s="45"/>
      <c r="T136" s="45"/>
      <c r="U136" s="47"/>
      <c r="V136" s="45"/>
      <c r="W136" s="45"/>
      <c r="X136" s="599"/>
      <c r="Y136" s="45"/>
      <c r="Z136" s="45"/>
      <c r="AA136" s="45"/>
      <c r="AB136" s="45"/>
      <c r="AC136" s="45"/>
      <c r="AD136" s="45"/>
      <c r="AE136" s="47"/>
      <c r="AF136" s="47"/>
      <c r="AG136" s="47"/>
      <c r="AH136" s="47"/>
      <c r="AI136" s="120" t="n">
        <v>11</v>
      </c>
    </row>
    <row r="137" s="120" customFormat="true" ht="11.25" hidden="false" customHeight="true" outlineLevel="0" collapsed="false">
      <c r="A137" s="598"/>
      <c r="B137" s="47"/>
      <c r="C137" s="47"/>
      <c r="N137" s="45"/>
      <c r="O137" s="47"/>
      <c r="P137" s="47"/>
      <c r="Q137" s="45"/>
      <c r="R137" s="45"/>
      <c r="S137" s="45"/>
      <c r="T137" s="45"/>
      <c r="U137" s="47"/>
      <c r="V137" s="45"/>
      <c r="W137" s="45"/>
      <c r="X137" s="599"/>
      <c r="Y137" s="45"/>
      <c r="Z137" s="45"/>
      <c r="AA137" s="45"/>
      <c r="AB137" s="45"/>
      <c r="AC137" s="45"/>
      <c r="AD137" s="45"/>
      <c r="AE137" s="47"/>
      <c r="AF137" s="47"/>
      <c r="AG137" s="47"/>
      <c r="AH137" s="47"/>
      <c r="AI137" s="120" t="n">
        <v>11</v>
      </c>
    </row>
    <row r="138" s="120" customFormat="true" ht="11.25" hidden="false" customHeight="true" outlineLevel="0" collapsed="false">
      <c r="A138" s="598"/>
      <c r="B138" s="47"/>
      <c r="C138" s="47"/>
      <c r="N138" s="45"/>
      <c r="O138" s="47"/>
      <c r="P138" s="47"/>
      <c r="Q138" s="45"/>
      <c r="R138" s="45"/>
      <c r="S138" s="45"/>
      <c r="T138" s="45"/>
      <c r="U138" s="47"/>
      <c r="V138" s="45"/>
      <c r="W138" s="45"/>
      <c r="X138" s="599"/>
      <c r="Y138" s="45"/>
      <c r="Z138" s="45"/>
      <c r="AA138" s="45"/>
      <c r="AB138" s="45"/>
      <c r="AC138" s="45"/>
      <c r="AD138" s="45"/>
      <c r="AE138" s="47"/>
      <c r="AF138" s="47"/>
      <c r="AG138" s="47"/>
      <c r="AH138" s="47"/>
      <c r="AI138" s="120" t="n">
        <v>11</v>
      </c>
    </row>
    <row r="139" s="120" customFormat="true" ht="11.25" hidden="false" customHeight="true" outlineLevel="0" collapsed="false">
      <c r="A139" s="598"/>
      <c r="B139" s="47"/>
      <c r="C139" s="47"/>
      <c r="N139" s="45"/>
      <c r="O139" s="47"/>
      <c r="P139" s="47"/>
      <c r="Q139" s="45"/>
      <c r="R139" s="45"/>
      <c r="S139" s="45"/>
      <c r="T139" s="45"/>
      <c r="U139" s="47"/>
      <c r="V139" s="45"/>
      <c r="W139" s="45"/>
      <c r="X139" s="599"/>
      <c r="Y139" s="45"/>
      <c r="Z139" s="45"/>
      <c r="AA139" s="45"/>
      <c r="AB139" s="45"/>
      <c r="AC139" s="45"/>
      <c r="AD139" s="45"/>
      <c r="AE139" s="47"/>
      <c r="AF139" s="47"/>
      <c r="AG139" s="47"/>
      <c r="AH139" s="47"/>
      <c r="AI139" s="120" t="n">
        <v>11</v>
      </c>
    </row>
    <row r="140" s="120" customFormat="true" ht="11.25" hidden="false" customHeight="true" outlineLevel="0" collapsed="false">
      <c r="A140" s="598"/>
      <c r="B140" s="47"/>
      <c r="C140" s="47"/>
      <c r="N140" s="45"/>
      <c r="O140" s="47"/>
      <c r="P140" s="47"/>
      <c r="Q140" s="45"/>
      <c r="R140" s="45"/>
      <c r="S140" s="45"/>
      <c r="T140" s="45"/>
      <c r="U140" s="47"/>
      <c r="V140" s="45"/>
      <c r="W140" s="45"/>
      <c r="X140" s="599"/>
      <c r="Y140" s="45"/>
      <c r="Z140" s="45"/>
      <c r="AA140" s="45"/>
      <c r="AB140" s="45"/>
      <c r="AC140" s="45"/>
      <c r="AD140" s="45"/>
      <c r="AE140" s="47"/>
      <c r="AF140" s="47"/>
      <c r="AG140" s="47"/>
      <c r="AH140" s="47"/>
      <c r="AI140" s="120" t="n">
        <v>11</v>
      </c>
    </row>
    <row r="141" s="120" customFormat="true" ht="11.25" hidden="false" customHeight="true" outlineLevel="0" collapsed="false">
      <c r="A141" s="598"/>
      <c r="B141" s="47"/>
      <c r="C141" s="47"/>
      <c r="N141" s="45"/>
      <c r="O141" s="47"/>
      <c r="P141" s="47"/>
      <c r="Q141" s="45"/>
      <c r="R141" s="45"/>
      <c r="S141" s="45"/>
      <c r="T141" s="45"/>
      <c r="U141" s="47"/>
      <c r="V141" s="45"/>
      <c r="W141" s="45"/>
      <c r="X141" s="599"/>
      <c r="Y141" s="45"/>
      <c r="Z141" s="45"/>
      <c r="AA141" s="45"/>
      <c r="AB141" s="45"/>
      <c r="AC141" s="45"/>
      <c r="AD141" s="45"/>
      <c r="AE141" s="47"/>
      <c r="AF141" s="47"/>
      <c r="AG141" s="47"/>
      <c r="AH141" s="47"/>
      <c r="AI141" s="120" t="n">
        <v>11</v>
      </c>
    </row>
    <row r="142" s="120" customFormat="true" ht="11.25" hidden="false" customHeight="true" outlineLevel="0" collapsed="false">
      <c r="A142" s="598"/>
      <c r="B142" s="47"/>
      <c r="C142" s="47"/>
      <c r="N142" s="45"/>
      <c r="O142" s="47"/>
      <c r="P142" s="47"/>
      <c r="Q142" s="45"/>
      <c r="R142" s="45"/>
      <c r="S142" s="45"/>
      <c r="T142" s="45"/>
      <c r="U142" s="47"/>
      <c r="V142" s="45"/>
      <c r="W142" s="45"/>
      <c r="X142" s="599"/>
      <c r="Y142" s="45"/>
      <c r="Z142" s="45"/>
      <c r="AA142" s="45"/>
      <c r="AB142" s="45"/>
      <c r="AC142" s="45"/>
      <c r="AD142" s="45"/>
      <c r="AE142" s="47"/>
      <c r="AF142" s="47"/>
      <c r="AG142" s="47"/>
      <c r="AH142" s="47"/>
      <c r="AI142" s="120" t="n">
        <v>11</v>
      </c>
    </row>
    <row r="143" s="120" customFormat="true" ht="11.25" hidden="false" customHeight="true" outlineLevel="0" collapsed="false">
      <c r="A143" s="598"/>
      <c r="B143" s="47"/>
      <c r="C143" s="47"/>
      <c r="N143" s="45"/>
      <c r="O143" s="47"/>
      <c r="P143" s="47"/>
      <c r="Q143" s="45"/>
      <c r="R143" s="45"/>
      <c r="S143" s="45"/>
      <c r="T143" s="45"/>
      <c r="U143" s="47"/>
      <c r="V143" s="45"/>
      <c r="W143" s="45"/>
      <c r="X143" s="599"/>
      <c r="Y143" s="45"/>
      <c r="Z143" s="45"/>
      <c r="AA143" s="45"/>
      <c r="AB143" s="45"/>
      <c r="AC143" s="45"/>
      <c r="AD143" s="45"/>
      <c r="AE143" s="47"/>
      <c r="AF143" s="47"/>
      <c r="AG143" s="47"/>
      <c r="AH143" s="47"/>
      <c r="AI143" s="120" t="n">
        <v>11</v>
      </c>
    </row>
    <row r="144" s="120" customFormat="true" ht="11.25" hidden="false" customHeight="true" outlineLevel="0" collapsed="false">
      <c r="A144" s="598"/>
      <c r="B144" s="47"/>
      <c r="C144" s="47"/>
      <c r="N144" s="45"/>
      <c r="O144" s="47"/>
      <c r="P144" s="47"/>
      <c r="Q144" s="45"/>
      <c r="R144" s="45"/>
      <c r="S144" s="45"/>
      <c r="T144" s="45"/>
      <c r="U144" s="47"/>
      <c r="V144" s="45"/>
      <c r="W144" s="45"/>
      <c r="X144" s="599"/>
      <c r="Y144" s="45"/>
      <c r="Z144" s="45"/>
      <c r="AA144" s="45"/>
      <c r="AB144" s="45"/>
      <c r="AC144" s="45"/>
      <c r="AD144" s="45"/>
      <c r="AE144" s="47"/>
      <c r="AF144" s="47"/>
      <c r="AG144" s="47"/>
      <c r="AH144" s="47"/>
      <c r="AI144" s="120" t="n">
        <v>11</v>
      </c>
    </row>
    <row r="145" s="120" customFormat="true" ht="11.25" hidden="false" customHeight="true" outlineLevel="0" collapsed="false">
      <c r="A145" s="598"/>
      <c r="B145" s="47"/>
      <c r="C145" s="47"/>
      <c r="N145" s="45"/>
      <c r="O145" s="47"/>
      <c r="P145" s="47"/>
      <c r="Q145" s="45"/>
      <c r="R145" s="45"/>
      <c r="S145" s="45"/>
      <c r="T145" s="45"/>
      <c r="U145" s="47"/>
      <c r="V145" s="45"/>
      <c r="W145" s="45"/>
      <c r="X145" s="599"/>
      <c r="Y145" s="45"/>
      <c r="Z145" s="45"/>
      <c r="AA145" s="45"/>
      <c r="AB145" s="45"/>
      <c r="AC145" s="45"/>
      <c r="AD145" s="45"/>
      <c r="AE145" s="47"/>
      <c r="AF145" s="47"/>
      <c r="AG145" s="47"/>
      <c r="AH145" s="47"/>
      <c r="AI145" s="120" t="n">
        <v>11</v>
      </c>
    </row>
    <row r="146" s="120" customFormat="true" ht="11.25" hidden="false" customHeight="true" outlineLevel="0" collapsed="false">
      <c r="A146" s="598"/>
      <c r="B146" s="47"/>
      <c r="C146" s="47"/>
      <c r="N146" s="45"/>
      <c r="O146" s="47"/>
      <c r="P146" s="47"/>
      <c r="Q146" s="45"/>
      <c r="R146" s="45"/>
      <c r="S146" s="45"/>
      <c r="T146" s="45"/>
      <c r="U146" s="47"/>
      <c r="V146" s="45"/>
      <c r="W146" s="45"/>
      <c r="X146" s="599"/>
      <c r="Y146" s="45"/>
      <c r="Z146" s="45"/>
      <c r="AA146" s="45"/>
      <c r="AB146" s="45"/>
      <c r="AC146" s="45"/>
      <c r="AD146" s="45"/>
      <c r="AE146" s="47"/>
      <c r="AF146" s="47"/>
      <c r="AG146" s="47"/>
      <c r="AH146" s="47"/>
      <c r="AI146" s="120" t="n">
        <v>11</v>
      </c>
    </row>
    <row r="147" s="120" customFormat="true" ht="11.25" hidden="false" customHeight="true" outlineLevel="0" collapsed="false">
      <c r="A147" s="598"/>
      <c r="B147" s="47"/>
      <c r="C147" s="47"/>
      <c r="N147" s="45"/>
      <c r="O147" s="47"/>
      <c r="P147" s="47"/>
      <c r="Q147" s="45"/>
      <c r="R147" s="45"/>
      <c r="S147" s="45"/>
      <c r="T147" s="45"/>
      <c r="U147" s="47"/>
      <c r="V147" s="45"/>
      <c r="W147" s="45"/>
      <c r="X147" s="599"/>
      <c r="Y147" s="45"/>
      <c r="Z147" s="45"/>
      <c r="AA147" s="45"/>
      <c r="AB147" s="45"/>
      <c r="AC147" s="45"/>
      <c r="AD147" s="45"/>
      <c r="AE147" s="47"/>
      <c r="AF147" s="47"/>
      <c r="AG147" s="47"/>
      <c r="AH147" s="47"/>
      <c r="AI147" s="120" t="n">
        <v>11</v>
      </c>
    </row>
    <row r="148" s="120" customFormat="true" ht="11.25" hidden="false" customHeight="true" outlineLevel="0" collapsed="false">
      <c r="A148" s="598"/>
      <c r="B148" s="47"/>
      <c r="C148" s="47"/>
      <c r="N148" s="45"/>
      <c r="O148" s="47"/>
      <c r="P148" s="47"/>
      <c r="Q148" s="45"/>
      <c r="R148" s="45"/>
      <c r="S148" s="45"/>
      <c r="T148" s="45"/>
      <c r="U148" s="47"/>
      <c r="V148" s="45"/>
      <c r="W148" s="45"/>
      <c r="X148" s="599"/>
      <c r="Y148" s="45"/>
      <c r="Z148" s="45"/>
      <c r="AA148" s="45"/>
      <c r="AB148" s="45"/>
      <c r="AC148" s="45"/>
      <c r="AD148" s="45"/>
      <c r="AE148" s="47"/>
      <c r="AF148" s="47"/>
      <c r="AG148" s="47"/>
      <c r="AH148" s="47"/>
      <c r="AI148" s="120" t="n">
        <v>11</v>
      </c>
    </row>
    <row r="149" s="120" customFormat="true" ht="11.25" hidden="false" customHeight="true" outlineLevel="0" collapsed="false">
      <c r="A149" s="598"/>
      <c r="B149" s="47"/>
      <c r="C149" s="47"/>
      <c r="N149" s="45"/>
      <c r="O149" s="47"/>
      <c r="P149" s="47"/>
      <c r="Q149" s="45"/>
      <c r="R149" s="45"/>
      <c r="S149" s="45"/>
      <c r="T149" s="45"/>
      <c r="U149" s="47"/>
      <c r="V149" s="45"/>
      <c r="W149" s="45"/>
      <c r="X149" s="599"/>
      <c r="Y149" s="45"/>
      <c r="Z149" s="45"/>
      <c r="AA149" s="45"/>
      <c r="AB149" s="45"/>
      <c r="AC149" s="45"/>
      <c r="AD149" s="45"/>
      <c r="AE149" s="47"/>
      <c r="AF149" s="47"/>
      <c r="AG149" s="47"/>
      <c r="AH149" s="47"/>
      <c r="AI149" s="120" t="n">
        <v>11</v>
      </c>
    </row>
    <row r="150" s="120" customFormat="true" ht="11.25" hidden="false" customHeight="true" outlineLevel="0" collapsed="false">
      <c r="A150" s="598"/>
      <c r="B150" s="47"/>
      <c r="C150" s="47"/>
      <c r="N150" s="45"/>
      <c r="O150" s="47"/>
      <c r="P150" s="47"/>
      <c r="Q150" s="45"/>
      <c r="R150" s="45"/>
      <c r="S150" s="45"/>
      <c r="T150" s="45"/>
      <c r="U150" s="47"/>
      <c r="V150" s="45"/>
      <c r="W150" s="45"/>
      <c r="X150" s="599"/>
      <c r="Y150" s="45"/>
      <c r="Z150" s="45"/>
      <c r="AA150" s="45"/>
      <c r="AB150" s="45"/>
      <c r="AC150" s="45"/>
      <c r="AD150" s="45"/>
      <c r="AE150" s="47"/>
      <c r="AF150" s="47"/>
      <c r="AG150" s="47"/>
      <c r="AH150" s="47"/>
      <c r="AI150" s="120" t="n">
        <v>11</v>
      </c>
    </row>
    <row r="151" s="120" customFormat="true" ht="11.25" hidden="false" customHeight="true" outlineLevel="0" collapsed="false">
      <c r="A151" s="598"/>
      <c r="B151" s="47"/>
      <c r="C151" s="47"/>
      <c r="N151" s="45"/>
      <c r="O151" s="47"/>
      <c r="P151" s="47"/>
      <c r="Q151" s="45"/>
      <c r="R151" s="45"/>
      <c r="S151" s="45"/>
      <c r="T151" s="45"/>
      <c r="U151" s="47"/>
      <c r="V151" s="45"/>
      <c r="W151" s="45"/>
      <c r="X151" s="599"/>
      <c r="Y151" s="45"/>
      <c r="Z151" s="45"/>
      <c r="AA151" s="45"/>
      <c r="AB151" s="45"/>
      <c r="AC151" s="45"/>
      <c r="AD151" s="45"/>
      <c r="AE151" s="47"/>
      <c r="AF151" s="47"/>
      <c r="AG151" s="47"/>
      <c r="AH151" s="47"/>
      <c r="AI151" s="120" t="n">
        <v>11</v>
      </c>
    </row>
    <row r="152" s="120" customFormat="true" ht="11.25" hidden="false" customHeight="true" outlineLevel="0" collapsed="false">
      <c r="A152" s="598"/>
      <c r="B152" s="47"/>
      <c r="C152" s="47"/>
      <c r="N152" s="45"/>
      <c r="O152" s="47"/>
      <c r="P152" s="47"/>
      <c r="Q152" s="45"/>
      <c r="R152" s="45"/>
      <c r="S152" s="45"/>
      <c r="T152" s="45"/>
      <c r="U152" s="47"/>
      <c r="V152" s="45"/>
      <c r="W152" s="45"/>
      <c r="X152" s="599"/>
      <c r="Y152" s="45"/>
      <c r="Z152" s="45"/>
      <c r="AA152" s="45"/>
      <c r="AB152" s="45"/>
      <c r="AC152" s="45"/>
      <c r="AD152" s="45"/>
      <c r="AE152" s="47"/>
      <c r="AF152" s="47"/>
      <c r="AG152" s="47"/>
      <c r="AH152" s="47"/>
      <c r="AI152" s="120" t="n">
        <v>11</v>
      </c>
    </row>
    <row r="153" s="120" customFormat="true" ht="11.25" hidden="false" customHeight="true" outlineLevel="0" collapsed="false">
      <c r="A153" s="598"/>
      <c r="B153" s="47"/>
      <c r="C153" s="47"/>
      <c r="N153" s="45"/>
      <c r="O153" s="47"/>
      <c r="P153" s="47"/>
      <c r="Q153" s="45"/>
      <c r="R153" s="45"/>
      <c r="S153" s="45"/>
      <c r="T153" s="45"/>
      <c r="U153" s="47"/>
      <c r="V153" s="45"/>
      <c r="W153" s="45"/>
      <c r="X153" s="599"/>
      <c r="Y153" s="45"/>
      <c r="Z153" s="45"/>
      <c r="AA153" s="45"/>
      <c r="AB153" s="45"/>
      <c r="AC153" s="45"/>
      <c r="AD153" s="45"/>
      <c r="AE153" s="47"/>
      <c r="AF153" s="47"/>
      <c r="AG153" s="47"/>
      <c r="AH153" s="47"/>
      <c r="AI153" s="120" t="n">
        <v>11</v>
      </c>
    </row>
    <row r="154" s="120" customFormat="true" ht="11.25" hidden="false" customHeight="true" outlineLevel="0" collapsed="false">
      <c r="A154" s="598"/>
      <c r="B154" s="47"/>
      <c r="C154" s="47"/>
      <c r="N154" s="45"/>
      <c r="O154" s="47"/>
      <c r="P154" s="47"/>
      <c r="Q154" s="45"/>
      <c r="R154" s="45"/>
      <c r="S154" s="45"/>
      <c r="T154" s="45"/>
      <c r="U154" s="47"/>
      <c r="V154" s="45"/>
      <c r="W154" s="45"/>
      <c r="X154" s="599"/>
      <c r="Y154" s="45"/>
      <c r="Z154" s="45"/>
      <c r="AA154" s="45"/>
      <c r="AB154" s="45"/>
      <c r="AC154" s="45"/>
      <c r="AD154" s="45"/>
      <c r="AE154" s="47"/>
      <c r="AF154" s="47"/>
      <c r="AG154" s="47"/>
      <c r="AH154" s="47"/>
      <c r="AI154" s="120" t="n">
        <v>11</v>
      </c>
    </row>
    <row r="155" s="120" customFormat="true" ht="11.25" hidden="false" customHeight="true" outlineLevel="0" collapsed="false">
      <c r="A155" s="598"/>
      <c r="B155" s="47"/>
      <c r="C155" s="47"/>
      <c r="N155" s="45"/>
      <c r="O155" s="47"/>
      <c r="P155" s="47"/>
      <c r="Q155" s="45"/>
      <c r="R155" s="45"/>
      <c r="S155" s="45"/>
      <c r="T155" s="45"/>
      <c r="U155" s="47"/>
      <c r="V155" s="45"/>
      <c r="W155" s="45"/>
      <c r="X155" s="599"/>
      <c r="Y155" s="45"/>
      <c r="Z155" s="45"/>
      <c r="AA155" s="45"/>
      <c r="AB155" s="45"/>
      <c r="AC155" s="45"/>
      <c r="AD155" s="45"/>
      <c r="AE155" s="47"/>
      <c r="AF155" s="47"/>
      <c r="AG155" s="47"/>
      <c r="AH155" s="47"/>
      <c r="AI155" s="120" t="n">
        <v>11</v>
      </c>
    </row>
    <row r="156" s="120" customFormat="true" ht="11.25" hidden="false" customHeight="true" outlineLevel="0" collapsed="false">
      <c r="A156" s="598"/>
      <c r="B156" s="47"/>
      <c r="C156" s="47"/>
      <c r="N156" s="45"/>
      <c r="O156" s="47"/>
      <c r="P156" s="47"/>
      <c r="Q156" s="45"/>
      <c r="R156" s="45"/>
      <c r="S156" s="45"/>
      <c r="T156" s="45"/>
      <c r="U156" s="47"/>
      <c r="V156" s="45"/>
      <c r="W156" s="45"/>
      <c r="X156" s="599"/>
      <c r="Y156" s="45"/>
      <c r="Z156" s="45"/>
      <c r="AA156" s="45"/>
      <c r="AB156" s="45"/>
      <c r="AC156" s="45"/>
      <c r="AD156" s="45"/>
      <c r="AE156" s="47"/>
      <c r="AF156" s="47"/>
      <c r="AG156" s="47"/>
      <c r="AH156" s="47"/>
      <c r="AI156" s="120" t="n">
        <v>11</v>
      </c>
    </row>
    <row r="157" s="120" customFormat="true" ht="11.25" hidden="false" customHeight="true" outlineLevel="0" collapsed="false">
      <c r="A157" s="598"/>
      <c r="B157" s="47"/>
      <c r="C157" s="47"/>
      <c r="N157" s="45"/>
      <c r="O157" s="47"/>
      <c r="P157" s="47"/>
      <c r="Q157" s="45"/>
      <c r="R157" s="45"/>
      <c r="S157" s="45"/>
      <c r="T157" s="45"/>
      <c r="U157" s="47"/>
      <c r="V157" s="45"/>
      <c r="W157" s="45"/>
      <c r="X157" s="599"/>
      <c r="Y157" s="45"/>
      <c r="Z157" s="45"/>
      <c r="AA157" s="45"/>
      <c r="AB157" s="45"/>
      <c r="AC157" s="45"/>
      <c r="AD157" s="45"/>
      <c r="AE157" s="47"/>
      <c r="AF157" s="47"/>
      <c r="AG157" s="47"/>
      <c r="AH157" s="47"/>
      <c r="AI157" s="120" t="n">
        <v>11</v>
      </c>
    </row>
    <row r="158" s="120" customFormat="true" ht="11.25" hidden="false" customHeight="true" outlineLevel="0" collapsed="false">
      <c r="A158" s="598"/>
      <c r="B158" s="47"/>
      <c r="C158" s="47"/>
      <c r="N158" s="45"/>
      <c r="O158" s="47"/>
      <c r="P158" s="47"/>
      <c r="Q158" s="45"/>
      <c r="R158" s="45"/>
      <c r="S158" s="45"/>
      <c r="T158" s="45"/>
      <c r="U158" s="47"/>
      <c r="V158" s="45"/>
      <c r="W158" s="45"/>
      <c r="X158" s="599"/>
      <c r="Y158" s="45"/>
      <c r="Z158" s="45"/>
      <c r="AA158" s="45"/>
      <c r="AB158" s="45"/>
      <c r="AC158" s="45"/>
      <c r="AD158" s="45"/>
      <c r="AE158" s="47"/>
      <c r="AF158" s="47"/>
      <c r="AG158" s="47"/>
      <c r="AH158" s="47"/>
      <c r="AI158" s="120" t="n">
        <v>11</v>
      </c>
    </row>
    <row r="159" s="120" customFormat="true" ht="11.25" hidden="false" customHeight="true" outlineLevel="0" collapsed="false">
      <c r="A159" s="598"/>
      <c r="B159" s="47"/>
      <c r="C159" s="47"/>
      <c r="N159" s="45"/>
      <c r="O159" s="47"/>
      <c r="P159" s="47"/>
      <c r="Q159" s="45"/>
      <c r="R159" s="45"/>
      <c r="S159" s="45"/>
      <c r="T159" s="45"/>
      <c r="U159" s="47"/>
      <c r="V159" s="45"/>
      <c r="W159" s="45"/>
      <c r="X159" s="599"/>
      <c r="Y159" s="45"/>
      <c r="Z159" s="45"/>
      <c r="AA159" s="45"/>
      <c r="AB159" s="45"/>
      <c r="AC159" s="45"/>
      <c r="AD159" s="45"/>
      <c r="AE159" s="47"/>
      <c r="AF159" s="47"/>
      <c r="AG159" s="47"/>
      <c r="AH159" s="47"/>
      <c r="AI159" s="120" t="n">
        <v>11</v>
      </c>
    </row>
    <row r="160" s="120" customFormat="true" ht="11.25" hidden="false" customHeight="true" outlineLevel="0" collapsed="false">
      <c r="A160" s="598"/>
      <c r="B160" s="47"/>
      <c r="C160" s="47"/>
      <c r="N160" s="45"/>
      <c r="O160" s="47"/>
      <c r="P160" s="47"/>
      <c r="Q160" s="45"/>
      <c r="R160" s="45"/>
      <c r="S160" s="45"/>
      <c r="T160" s="45"/>
      <c r="U160" s="47"/>
      <c r="V160" s="45"/>
      <c r="W160" s="45"/>
      <c r="X160" s="599"/>
      <c r="Y160" s="45"/>
      <c r="Z160" s="45"/>
      <c r="AA160" s="45"/>
      <c r="AB160" s="45"/>
      <c r="AC160" s="45"/>
      <c r="AD160" s="45"/>
      <c r="AE160" s="47"/>
      <c r="AF160" s="47"/>
      <c r="AG160" s="47"/>
      <c r="AH160" s="47"/>
      <c r="AI160" s="120" t="n">
        <v>11</v>
      </c>
    </row>
    <row r="161" s="120" customFormat="true" ht="11.25" hidden="false" customHeight="true" outlineLevel="0" collapsed="false">
      <c r="A161" s="598"/>
      <c r="B161" s="47"/>
      <c r="C161" s="47"/>
      <c r="N161" s="45"/>
      <c r="O161" s="47"/>
      <c r="P161" s="47"/>
      <c r="Q161" s="45"/>
      <c r="R161" s="45"/>
      <c r="S161" s="45"/>
      <c r="T161" s="45"/>
      <c r="U161" s="47"/>
      <c r="V161" s="45"/>
      <c r="W161" s="45"/>
      <c r="X161" s="599"/>
      <c r="Y161" s="45"/>
      <c r="Z161" s="45"/>
      <c r="AA161" s="45"/>
      <c r="AB161" s="45"/>
      <c r="AC161" s="45"/>
      <c r="AD161" s="45"/>
      <c r="AE161" s="47"/>
      <c r="AF161" s="47"/>
      <c r="AG161" s="47"/>
      <c r="AH161" s="47"/>
      <c r="AI161" s="120" t="n">
        <v>11</v>
      </c>
    </row>
    <row r="162" s="120" customFormat="true" ht="11.25" hidden="false" customHeight="true" outlineLevel="0" collapsed="false">
      <c r="A162" s="598"/>
      <c r="B162" s="47"/>
      <c r="C162" s="47"/>
      <c r="N162" s="45"/>
      <c r="O162" s="47"/>
      <c r="P162" s="47"/>
      <c r="Q162" s="45"/>
      <c r="R162" s="45"/>
      <c r="S162" s="45"/>
      <c r="T162" s="45"/>
      <c r="U162" s="47"/>
      <c r="V162" s="45"/>
      <c r="W162" s="45"/>
      <c r="X162" s="599"/>
      <c r="Y162" s="45"/>
      <c r="Z162" s="45"/>
      <c r="AA162" s="45"/>
      <c r="AB162" s="45"/>
      <c r="AC162" s="45"/>
      <c r="AD162" s="45"/>
      <c r="AE162" s="47"/>
      <c r="AF162" s="47"/>
      <c r="AG162" s="47"/>
      <c r="AH162" s="47"/>
      <c r="AI162" s="120" t="n">
        <v>11</v>
      </c>
    </row>
    <row r="163" s="120" customFormat="true" ht="11.25" hidden="false" customHeight="true" outlineLevel="0" collapsed="false">
      <c r="A163" s="598"/>
      <c r="B163" s="47"/>
      <c r="C163" s="47"/>
      <c r="N163" s="45"/>
      <c r="O163" s="47"/>
      <c r="P163" s="47"/>
      <c r="Q163" s="45"/>
      <c r="R163" s="45"/>
      <c r="S163" s="45"/>
      <c r="T163" s="45"/>
      <c r="U163" s="47"/>
      <c r="V163" s="45"/>
      <c r="W163" s="45"/>
      <c r="X163" s="599"/>
      <c r="Y163" s="45"/>
      <c r="Z163" s="45"/>
      <c r="AA163" s="45"/>
      <c r="AB163" s="45"/>
      <c r="AC163" s="45"/>
      <c r="AD163" s="45"/>
      <c r="AE163" s="47"/>
      <c r="AF163" s="47"/>
      <c r="AG163" s="47"/>
      <c r="AH163" s="47"/>
      <c r="AI163" s="120" t="n">
        <v>11</v>
      </c>
    </row>
    <row r="164" s="120" customFormat="true" ht="11.25" hidden="false" customHeight="true" outlineLevel="0" collapsed="false">
      <c r="A164" s="598"/>
      <c r="B164" s="47"/>
      <c r="C164" s="47"/>
      <c r="N164" s="45"/>
      <c r="O164" s="47"/>
      <c r="P164" s="47"/>
      <c r="Q164" s="45"/>
      <c r="R164" s="45"/>
      <c r="S164" s="45"/>
      <c r="T164" s="45"/>
      <c r="U164" s="47"/>
      <c r="V164" s="45"/>
      <c r="W164" s="45"/>
      <c r="X164" s="599"/>
      <c r="Y164" s="45"/>
      <c r="Z164" s="45"/>
      <c r="AA164" s="45"/>
      <c r="AB164" s="45"/>
      <c r="AC164" s="45"/>
      <c r="AD164" s="45"/>
      <c r="AE164" s="47"/>
      <c r="AF164" s="47"/>
      <c r="AG164" s="47"/>
      <c r="AH164" s="47"/>
      <c r="AI164" s="120" t="n">
        <v>11</v>
      </c>
    </row>
    <row r="165" s="120" customFormat="true" ht="11.25" hidden="false" customHeight="true" outlineLevel="0" collapsed="false">
      <c r="A165" s="598"/>
      <c r="B165" s="47"/>
      <c r="C165" s="47"/>
      <c r="N165" s="45"/>
      <c r="O165" s="47"/>
      <c r="P165" s="47"/>
      <c r="Q165" s="45"/>
      <c r="R165" s="45"/>
      <c r="S165" s="45"/>
      <c r="T165" s="45"/>
      <c r="U165" s="47"/>
      <c r="V165" s="45"/>
      <c r="W165" s="45"/>
      <c r="X165" s="599"/>
      <c r="Y165" s="45"/>
      <c r="Z165" s="45"/>
      <c r="AA165" s="45"/>
      <c r="AB165" s="45"/>
      <c r="AC165" s="45"/>
      <c r="AD165" s="45"/>
      <c r="AE165" s="47"/>
      <c r="AF165" s="47"/>
      <c r="AG165" s="47"/>
      <c r="AH165" s="47"/>
      <c r="AI165" s="120" t="n">
        <v>11</v>
      </c>
    </row>
    <row r="166" s="120" customFormat="true" ht="11.25" hidden="false" customHeight="true" outlineLevel="0" collapsed="false">
      <c r="A166" s="598"/>
      <c r="B166" s="47"/>
      <c r="C166" s="47"/>
      <c r="N166" s="45"/>
      <c r="O166" s="47"/>
      <c r="P166" s="47"/>
      <c r="Q166" s="45"/>
      <c r="R166" s="45"/>
      <c r="S166" s="45"/>
      <c r="T166" s="45"/>
      <c r="U166" s="47"/>
      <c r="V166" s="45"/>
      <c r="W166" s="45"/>
      <c r="X166" s="599"/>
      <c r="Y166" s="45"/>
      <c r="Z166" s="45"/>
      <c r="AA166" s="45"/>
      <c r="AB166" s="45"/>
      <c r="AC166" s="45"/>
      <c r="AD166" s="45"/>
      <c r="AE166" s="47"/>
      <c r="AF166" s="47"/>
      <c r="AG166" s="47"/>
      <c r="AH166" s="47"/>
      <c r="AI166" s="120" t="n">
        <v>11</v>
      </c>
    </row>
    <row r="167" s="120" customFormat="true" ht="11.25" hidden="false" customHeight="true" outlineLevel="0" collapsed="false">
      <c r="A167" s="598"/>
      <c r="B167" s="47"/>
      <c r="C167" s="47"/>
      <c r="N167" s="45"/>
      <c r="O167" s="47"/>
      <c r="P167" s="47"/>
      <c r="Q167" s="45"/>
      <c r="R167" s="45"/>
      <c r="S167" s="45"/>
      <c r="T167" s="45"/>
      <c r="U167" s="47"/>
      <c r="V167" s="45"/>
      <c r="W167" s="45"/>
      <c r="X167" s="599"/>
      <c r="Y167" s="45"/>
      <c r="Z167" s="45"/>
      <c r="AA167" s="45"/>
      <c r="AB167" s="45"/>
      <c r="AC167" s="45"/>
      <c r="AD167" s="45"/>
      <c r="AE167" s="47"/>
      <c r="AF167" s="47"/>
      <c r="AG167" s="47"/>
      <c r="AH167" s="47"/>
      <c r="AI167" s="120" t="n">
        <v>11</v>
      </c>
    </row>
    <row r="168" s="120" customFormat="true" ht="11.25" hidden="false" customHeight="true" outlineLevel="0" collapsed="false">
      <c r="A168" s="598"/>
      <c r="B168" s="47"/>
      <c r="C168" s="47"/>
      <c r="N168" s="45"/>
      <c r="O168" s="47"/>
      <c r="P168" s="47"/>
      <c r="Q168" s="45"/>
      <c r="R168" s="45"/>
      <c r="S168" s="45"/>
      <c r="T168" s="45"/>
      <c r="U168" s="47"/>
      <c r="V168" s="45"/>
      <c r="W168" s="45"/>
      <c r="X168" s="599"/>
      <c r="Y168" s="45"/>
      <c r="Z168" s="45"/>
      <c r="AA168" s="45"/>
      <c r="AB168" s="45"/>
      <c r="AC168" s="45"/>
      <c r="AD168" s="45"/>
      <c r="AE168" s="47"/>
      <c r="AF168" s="47"/>
      <c r="AG168" s="47"/>
      <c r="AH168" s="47"/>
      <c r="AI168" s="120" t="n">
        <v>11</v>
      </c>
    </row>
    <row r="169" s="120" customFormat="true" ht="11.25" hidden="false" customHeight="true" outlineLevel="0" collapsed="false">
      <c r="A169" s="598"/>
      <c r="B169" s="47"/>
      <c r="C169" s="47"/>
      <c r="N169" s="45"/>
      <c r="O169" s="47"/>
      <c r="P169" s="47"/>
      <c r="Q169" s="45"/>
      <c r="R169" s="45"/>
      <c r="S169" s="45"/>
      <c r="T169" s="45"/>
      <c r="U169" s="47"/>
      <c r="V169" s="45"/>
      <c r="W169" s="45"/>
      <c r="X169" s="599"/>
      <c r="Y169" s="45"/>
      <c r="Z169" s="45"/>
      <c r="AA169" s="45"/>
      <c r="AB169" s="45"/>
      <c r="AC169" s="45"/>
      <c r="AD169" s="45"/>
      <c r="AE169" s="47"/>
      <c r="AF169" s="47"/>
      <c r="AG169" s="47"/>
      <c r="AH169" s="47"/>
      <c r="AI169" s="120" t="n">
        <v>11</v>
      </c>
    </row>
    <row r="170" s="120" customFormat="true" ht="11.25" hidden="false" customHeight="true" outlineLevel="0" collapsed="false">
      <c r="A170" s="598"/>
      <c r="B170" s="47"/>
      <c r="C170" s="47"/>
      <c r="N170" s="45"/>
      <c r="O170" s="47"/>
      <c r="P170" s="47"/>
      <c r="Q170" s="45"/>
      <c r="R170" s="45"/>
      <c r="S170" s="45"/>
      <c r="T170" s="45"/>
      <c r="U170" s="47"/>
      <c r="V170" s="45"/>
      <c r="W170" s="45"/>
      <c r="X170" s="599"/>
      <c r="Y170" s="45"/>
      <c r="Z170" s="45"/>
      <c r="AA170" s="45"/>
      <c r="AB170" s="45"/>
      <c r="AC170" s="45"/>
      <c r="AD170" s="45"/>
      <c r="AE170" s="47"/>
      <c r="AF170" s="47"/>
      <c r="AG170" s="47"/>
      <c r="AH170" s="47"/>
      <c r="AI170" s="120" t="n">
        <v>11</v>
      </c>
    </row>
    <row r="171" s="120" customFormat="true" ht="11.25" hidden="false" customHeight="true" outlineLevel="0" collapsed="false">
      <c r="A171" s="598"/>
      <c r="B171" s="47"/>
      <c r="C171" s="47"/>
      <c r="N171" s="45"/>
      <c r="O171" s="47"/>
      <c r="P171" s="47"/>
      <c r="Q171" s="45"/>
      <c r="R171" s="45"/>
      <c r="S171" s="45"/>
      <c r="T171" s="45"/>
      <c r="U171" s="47"/>
      <c r="V171" s="45"/>
      <c r="W171" s="45"/>
      <c r="X171" s="599"/>
      <c r="Y171" s="45"/>
      <c r="Z171" s="45"/>
      <c r="AA171" s="45"/>
      <c r="AB171" s="45"/>
      <c r="AC171" s="45"/>
      <c r="AD171" s="45"/>
      <c r="AE171" s="47"/>
      <c r="AF171" s="47"/>
      <c r="AG171" s="47"/>
      <c r="AH171" s="47"/>
      <c r="AI171" s="120" t="n">
        <v>11</v>
      </c>
    </row>
    <row r="172" s="120" customFormat="true" ht="11.25" hidden="false" customHeight="true" outlineLevel="0" collapsed="false">
      <c r="A172" s="598"/>
      <c r="B172" s="47"/>
      <c r="C172" s="47"/>
      <c r="N172" s="45"/>
      <c r="O172" s="47"/>
      <c r="P172" s="47"/>
      <c r="Q172" s="45"/>
      <c r="R172" s="45"/>
      <c r="S172" s="45"/>
      <c r="T172" s="45"/>
      <c r="U172" s="47"/>
      <c r="V172" s="45"/>
      <c r="W172" s="45"/>
      <c r="X172" s="599"/>
      <c r="Y172" s="45"/>
      <c r="Z172" s="45"/>
      <c r="AA172" s="45"/>
      <c r="AB172" s="45"/>
      <c r="AC172" s="45"/>
      <c r="AD172" s="45"/>
      <c r="AE172" s="47"/>
      <c r="AF172" s="47"/>
      <c r="AG172" s="47"/>
      <c r="AH172" s="47"/>
      <c r="AI172" s="120" t="n">
        <v>11</v>
      </c>
    </row>
    <row r="173" s="120" customFormat="true" ht="11.25" hidden="false" customHeight="true" outlineLevel="0" collapsed="false">
      <c r="A173" s="598"/>
      <c r="B173" s="47"/>
      <c r="C173" s="47"/>
      <c r="N173" s="45"/>
      <c r="O173" s="47"/>
      <c r="P173" s="47"/>
      <c r="Q173" s="45"/>
      <c r="R173" s="45"/>
      <c r="S173" s="45"/>
      <c r="T173" s="45"/>
      <c r="U173" s="47"/>
      <c r="V173" s="45"/>
      <c r="W173" s="45"/>
      <c r="X173" s="599"/>
      <c r="Y173" s="45"/>
      <c r="Z173" s="45"/>
      <c r="AA173" s="45"/>
      <c r="AB173" s="45"/>
      <c r="AC173" s="45"/>
      <c r="AD173" s="45"/>
      <c r="AE173" s="47"/>
      <c r="AF173" s="47"/>
      <c r="AG173" s="47"/>
      <c r="AH173" s="47"/>
      <c r="AI173" s="120" t="n">
        <v>11</v>
      </c>
    </row>
    <row r="174" s="120" customFormat="true" ht="11.25" hidden="false" customHeight="true" outlineLevel="0" collapsed="false">
      <c r="A174" s="598"/>
      <c r="B174" s="47"/>
      <c r="C174" s="47"/>
      <c r="N174" s="45"/>
      <c r="O174" s="47"/>
      <c r="P174" s="47"/>
      <c r="Q174" s="45"/>
      <c r="R174" s="45"/>
      <c r="S174" s="45"/>
      <c r="T174" s="45"/>
      <c r="U174" s="47"/>
      <c r="V174" s="45"/>
      <c r="W174" s="45"/>
      <c r="X174" s="599"/>
      <c r="Y174" s="45"/>
      <c r="Z174" s="45"/>
      <c r="AA174" s="45"/>
      <c r="AB174" s="45"/>
      <c r="AC174" s="45"/>
      <c r="AD174" s="45"/>
      <c r="AE174" s="47"/>
      <c r="AF174" s="47"/>
      <c r="AG174" s="47"/>
      <c r="AH174" s="47"/>
      <c r="AI174" s="120" t="n">
        <v>11</v>
      </c>
    </row>
    <row r="175" s="120" customFormat="true" ht="11.25" hidden="false" customHeight="true" outlineLevel="0" collapsed="false">
      <c r="A175" s="598"/>
      <c r="B175" s="47"/>
      <c r="C175" s="47"/>
      <c r="N175" s="45"/>
      <c r="O175" s="47"/>
      <c r="P175" s="47"/>
      <c r="Q175" s="45"/>
      <c r="R175" s="45"/>
      <c r="S175" s="45"/>
      <c r="T175" s="45"/>
      <c r="U175" s="47"/>
      <c r="V175" s="45"/>
      <c r="W175" s="45"/>
      <c r="X175" s="599"/>
      <c r="Y175" s="45"/>
      <c r="Z175" s="45"/>
      <c r="AA175" s="45"/>
      <c r="AB175" s="45"/>
      <c r="AC175" s="45"/>
      <c r="AD175" s="45"/>
      <c r="AE175" s="47"/>
      <c r="AF175" s="47"/>
      <c r="AG175" s="47"/>
      <c r="AH175" s="47"/>
      <c r="AI175" s="120" t="n">
        <v>11</v>
      </c>
    </row>
    <row r="176" s="120" customFormat="true" ht="11.25" hidden="false" customHeight="true" outlineLevel="0" collapsed="false">
      <c r="A176" s="598"/>
      <c r="B176" s="47"/>
      <c r="C176" s="47"/>
      <c r="N176" s="45"/>
      <c r="O176" s="47"/>
      <c r="P176" s="47"/>
      <c r="Q176" s="45"/>
      <c r="R176" s="45"/>
      <c r="S176" s="45"/>
      <c r="T176" s="45"/>
      <c r="U176" s="47"/>
      <c r="V176" s="45"/>
      <c r="W176" s="45"/>
      <c r="X176" s="599"/>
      <c r="Y176" s="45"/>
      <c r="Z176" s="45"/>
      <c r="AA176" s="45"/>
      <c r="AB176" s="45"/>
      <c r="AC176" s="45"/>
      <c r="AD176" s="45"/>
      <c r="AE176" s="47"/>
      <c r="AF176" s="47"/>
      <c r="AG176" s="47"/>
      <c r="AH176" s="47"/>
      <c r="AI176" s="120" t="n">
        <v>11</v>
      </c>
    </row>
    <row r="177" s="120" customFormat="true" ht="11.25" hidden="false" customHeight="true" outlineLevel="0" collapsed="false">
      <c r="A177" s="598"/>
      <c r="B177" s="47"/>
      <c r="C177" s="47"/>
      <c r="N177" s="45"/>
      <c r="O177" s="47"/>
      <c r="P177" s="47"/>
      <c r="Q177" s="45"/>
      <c r="R177" s="45"/>
      <c r="S177" s="45"/>
      <c r="T177" s="45"/>
      <c r="U177" s="47"/>
      <c r="V177" s="45"/>
      <c r="W177" s="45"/>
      <c r="X177" s="599"/>
      <c r="Y177" s="45"/>
      <c r="Z177" s="45"/>
      <c r="AA177" s="45"/>
      <c r="AB177" s="45"/>
      <c r="AC177" s="45"/>
      <c r="AD177" s="45"/>
      <c r="AE177" s="47"/>
      <c r="AF177" s="47"/>
      <c r="AG177" s="47"/>
      <c r="AH177" s="47"/>
      <c r="AI177" s="120" t="n">
        <v>11</v>
      </c>
    </row>
    <row r="178" s="120" customFormat="true" ht="11.25" hidden="false" customHeight="true" outlineLevel="0" collapsed="false">
      <c r="A178" s="598"/>
      <c r="B178" s="47"/>
      <c r="C178" s="47"/>
      <c r="N178" s="45"/>
      <c r="O178" s="47"/>
      <c r="P178" s="47"/>
      <c r="Q178" s="45"/>
      <c r="R178" s="45"/>
      <c r="S178" s="45"/>
      <c r="T178" s="45"/>
      <c r="U178" s="47"/>
      <c r="V178" s="45"/>
      <c r="W178" s="45"/>
      <c r="X178" s="599"/>
      <c r="Y178" s="45"/>
      <c r="Z178" s="45"/>
      <c r="AA178" s="45"/>
      <c r="AB178" s="45"/>
      <c r="AC178" s="45"/>
      <c r="AD178" s="45"/>
      <c r="AE178" s="47"/>
      <c r="AF178" s="47"/>
      <c r="AG178" s="47"/>
      <c r="AH178" s="47"/>
      <c r="AI178" s="120" t="n">
        <v>11</v>
      </c>
    </row>
    <row r="179" s="120" customFormat="true" ht="11.25" hidden="false" customHeight="true" outlineLevel="0" collapsed="false">
      <c r="A179" s="598"/>
      <c r="B179" s="47"/>
      <c r="C179" s="47"/>
      <c r="N179" s="45"/>
      <c r="O179" s="47"/>
      <c r="P179" s="47"/>
      <c r="Q179" s="45"/>
      <c r="R179" s="45"/>
      <c r="S179" s="45"/>
      <c r="T179" s="45"/>
      <c r="U179" s="47"/>
      <c r="V179" s="45"/>
      <c r="W179" s="45"/>
      <c r="X179" s="599"/>
      <c r="Y179" s="45"/>
      <c r="Z179" s="45"/>
      <c r="AA179" s="45"/>
      <c r="AB179" s="45"/>
      <c r="AC179" s="45"/>
      <c r="AD179" s="45"/>
      <c r="AE179" s="47"/>
      <c r="AF179" s="47"/>
      <c r="AG179" s="47"/>
      <c r="AH179" s="47"/>
      <c r="AI179" s="120" t="n">
        <v>11</v>
      </c>
    </row>
    <row r="180" s="120" customFormat="true" ht="11.25" hidden="false" customHeight="true" outlineLevel="0" collapsed="false">
      <c r="A180" s="598"/>
      <c r="B180" s="47"/>
      <c r="C180" s="47"/>
      <c r="N180" s="45"/>
      <c r="O180" s="47"/>
      <c r="P180" s="47"/>
      <c r="Q180" s="45"/>
      <c r="R180" s="45"/>
      <c r="S180" s="45"/>
      <c r="T180" s="45"/>
      <c r="U180" s="47"/>
      <c r="V180" s="45"/>
      <c r="W180" s="45"/>
      <c r="X180" s="599"/>
      <c r="Y180" s="45"/>
      <c r="Z180" s="45"/>
      <c r="AA180" s="45"/>
      <c r="AB180" s="45"/>
      <c r="AC180" s="45"/>
      <c r="AD180" s="45"/>
      <c r="AE180" s="47"/>
      <c r="AF180" s="47"/>
      <c r="AG180" s="47"/>
      <c r="AH180" s="47"/>
      <c r="AI180" s="120" t="n">
        <v>11</v>
      </c>
    </row>
    <row r="181" s="120" customFormat="true" ht="11.25" hidden="false" customHeight="true" outlineLevel="0" collapsed="false">
      <c r="A181" s="598"/>
      <c r="B181" s="47"/>
      <c r="C181" s="47"/>
      <c r="N181" s="45"/>
      <c r="O181" s="47"/>
      <c r="P181" s="47"/>
      <c r="Q181" s="45"/>
      <c r="R181" s="45"/>
      <c r="S181" s="45"/>
      <c r="T181" s="45"/>
      <c r="U181" s="47"/>
      <c r="V181" s="45"/>
      <c r="W181" s="45"/>
      <c r="X181" s="599"/>
      <c r="Y181" s="45"/>
      <c r="Z181" s="45"/>
      <c r="AA181" s="45"/>
      <c r="AB181" s="45"/>
      <c r="AC181" s="45"/>
      <c r="AD181" s="45"/>
      <c r="AE181" s="47"/>
      <c r="AF181" s="47"/>
      <c r="AG181" s="47"/>
      <c r="AH181" s="47"/>
      <c r="AI181" s="120" t="n">
        <v>11</v>
      </c>
    </row>
    <row r="182" s="120" customFormat="true" ht="11.25" hidden="false" customHeight="true" outlineLevel="0" collapsed="false">
      <c r="A182" s="598"/>
      <c r="B182" s="47"/>
      <c r="C182" s="47"/>
      <c r="N182" s="45"/>
      <c r="O182" s="47"/>
      <c r="P182" s="47"/>
      <c r="Q182" s="45"/>
      <c r="R182" s="45"/>
      <c r="S182" s="45"/>
      <c r="T182" s="45"/>
      <c r="U182" s="47"/>
      <c r="V182" s="45"/>
      <c r="W182" s="45"/>
      <c r="X182" s="599"/>
      <c r="Y182" s="45"/>
      <c r="Z182" s="45"/>
      <c r="AA182" s="45"/>
      <c r="AB182" s="45"/>
      <c r="AC182" s="45"/>
      <c r="AD182" s="45"/>
      <c r="AE182" s="47"/>
      <c r="AF182" s="47"/>
      <c r="AG182" s="47"/>
      <c r="AH182" s="47"/>
      <c r="AI182" s="120" t="n">
        <v>11</v>
      </c>
    </row>
    <row r="183" s="120" customFormat="true" ht="11.25" hidden="false" customHeight="true" outlineLevel="0" collapsed="false">
      <c r="A183" s="598"/>
      <c r="B183" s="47"/>
      <c r="C183" s="47"/>
      <c r="N183" s="45"/>
      <c r="O183" s="47"/>
      <c r="P183" s="47"/>
      <c r="Q183" s="45"/>
      <c r="R183" s="45"/>
      <c r="S183" s="45"/>
      <c r="T183" s="45"/>
      <c r="U183" s="47"/>
      <c r="V183" s="45"/>
      <c r="W183" s="45"/>
      <c r="X183" s="599"/>
      <c r="Y183" s="45"/>
      <c r="Z183" s="45"/>
      <c r="AA183" s="45"/>
      <c r="AB183" s="45"/>
      <c r="AC183" s="45"/>
      <c r="AD183" s="45"/>
      <c r="AE183" s="47"/>
      <c r="AF183" s="47"/>
      <c r="AG183" s="47"/>
      <c r="AH183" s="47"/>
      <c r="AI183" s="120" t="n">
        <v>11</v>
      </c>
    </row>
    <row r="184" s="120" customFormat="true" ht="11.25" hidden="false" customHeight="true" outlineLevel="0" collapsed="false">
      <c r="A184" s="598"/>
      <c r="B184" s="47"/>
      <c r="C184" s="47"/>
      <c r="N184" s="45"/>
      <c r="O184" s="47"/>
      <c r="P184" s="47"/>
      <c r="Q184" s="45"/>
      <c r="R184" s="45"/>
      <c r="S184" s="45"/>
      <c r="T184" s="45"/>
      <c r="U184" s="47"/>
      <c r="V184" s="45"/>
      <c r="W184" s="45"/>
      <c r="X184" s="599"/>
      <c r="Y184" s="45"/>
      <c r="Z184" s="45"/>
      <c r="AA184" s="45"/>
      <c r="AB184" s="45"/>
      <c r="AC184" s="45"/>
      <c r="AD184" s="45"/>
      <c r="AE184" s="47"/>
      <c r="AF184" s="47"/>
      <c r="AG184" s="47"/>
      <c r="AH184" s="47"/>
      <c r="AI184" s="120" t="n">
        <v>11</v>
      </c>
    </row>
    <row r="185" s="120" customFormat="true" ht="11.25" hidden="false" customHeight="true" outlineLevel="0" collapsed="false">
      <c r="A185" s="598"/>
      <c r="B185" s="47"/>
      <c r="C185" s="47"/>
      <c r="N185" s="45"/>
      <c r="O185" s="47"/>
      <c r="P185" s="47"/>
      <c r="Q185" s="45"/>
      <c r="R185" s="45"/>
      <c r="S185" s="45"/>
      <c r="T185" s="45"/>
      <c r="U185" s="47"/>
      <c r="V185" s="45"/>
      <c r="W185" s="45"/>
      <c r="X185" s="599"/>
      <c r="Y185" s="45"/>
      <c r="Z185" s="45"/>
      <c r="AA185" s="45"/>
      <c r="AB185" s="45"/>
      <c r="AC185" s="45"/>
      <c r="AD185" s="45"/>
      <c r="AE185" s="47"/>
      <c r="AF185" s="47"/>
      <c r="AG185" s="47"/>
      <c r="AH185" s="47"/>
      <c r="AI185" s="120" t="n">
        <v>11</v>
      </c>
    </row>
    <row r="186" s="120" customFormat="true" ht="11.25" hidden="false" customHeight="true" outlineLevel="0" collapsed="false">
      <c r="A186" s="598"/>
      <c r="B186" s="47"/>
      <c r="C186" s="47"/>
      <c r="N186" s="45"/>
      <c r="O186" s="47"/>
      <c r="P186" s="47"/>
      <c r="Q186" s="45"/>
      <c r="R186" s="45"/>
      <c r="S186" s="45"/>
      <c r="T186" s="45"/>
      <c r="U186" s="47"/>
      <c r="V186" s="45"/>
      <c r="W186" s="45"/>
      <c r="X186" s="599"/>
      <c r="Y186" s="45"/>
      <c r="Z186" s="45"/>
      <c r="AA186" s="45"/>
      <c r="AB186" s="45"/>
      <c r="AC186" s="45"/>
      <c r="AD186" s="45"/>
      <c r="AE186" s="47"/>
      <c r="AF186" s="47"/>
      <c r="AG186" s="47"/>
      <c r="AH186" s="47"/>
      <c r="AI186" s="120" t="n">
        <v>11</v>
      </c>
    </row>
    <row r="187" s="120" customFormat="true" ht="11.25" hidden="false" customHeight="true" outlineLevel="0" collapsed="false">
      <c r="A187" s="598"/>
      <c r="B187" s="47"/>
      <c r="C187" s="47"/>
      <c r="N187" s="45"/>
      <c r="O187" s="47"/>
      <c r="P187" s="47"/>
      <c r="Q187" s="45"/>
      <c r="R187" s="45"/>
      <c r="S187" s="45"/>
      <c r="T187" s="45"/>
      <c r="U187" s="47"/>
      <c r="V187" s="45"/>
      <c r="W187" s="45"/>
      <c r="X187" s="599"/>
      <c r="Y187" s="45"/>
      <c r="Z187" s="45"/>
      <c r="AA187" s="45"/>
      <c r="AB187" s="45"/>
      <c r="AC187" s="45"/>
      <c r="AD187" s="45"/>
      <c r="AE187" s="47"/>
      <c r="AF187" s="47"/>
      <c r="AG187" s="47"/>
      <c r="AH187" s="47"/>
      <c r="AI187" s="120" t="n">
        <v>11</v>
      </c>
    </row>
    <row r="188" s="120" customFormat="true" ht="11.25" hidden="false" customHeight="true" outlineLevel="0" collapsed="false">
      <c r="A188" s="598"/>
      <c r="B188" s="47"/>
      <c r="C188" s="47"/>
      <c r="N188" s="45"/>
      <c r="O188" s="47"/>
      <c r="P188" s="47"/>
      <c r="Q188" s="45"/>
      <c r="R188" s="45"/>
      <c r="S188" s="45"/>
      <c r="T188" s="45"/>
      <c r="U188" s="47"/>
      <c r="V188" s="45"/>
      <c r="W188" s="45"/>
      <c r="X188" s="599"/>
      <c r="Y188" s="45"/>
      <c r="Z188" s="45"/>
      <c r="AA188" s="45"/>
      <c r="AB188" s="45"/>
      <c r="AC188" s="45"/>
      <c r="AD188" s="45"/>
      <c r="AE188" s="47"/>
      <c r="AF188" s="47"/>
      <c r="AG188" s="47"/>
      <c r="AH188" s="47"/>
      <c r="AI188" s="120" t="n">
        <v>11</v>
      </c>
    </row>
    <row r="189" s="120" customFormat="true" ht="11.25" hidden="false" customHeight="true" outlineLevel="0" collapsed="false">
      <c r="A189" s="598"/>
      <c r="B189" s="47"/>
      <c r="C189" s="47"/>
      <c r="N189" s="45"/>
      <c r="O189" s="47"/>
      <c r="P189" s="47"/>
      <c r="Q189" s="45"/>
      <c r="R189" s="45"/>
      <c r="S189" s="45"/>
      <c r="T189" s="45"/>
      <c r="U189" s="47"/>
      <c r="V189" s="45"/>
      <c r="W189" s="45"/>
      <c r="X189" s="599"/>
      <c r="Y189" s="45"/>
      <c r="Z189" s="45"/>
      <c r="AA189" s="45"/>
      <c r="AB189" s="45"/>
      <c r="AC189" s="45"/>
      <c r="AD189" s="45"/>
      <c r="AE189" s="47"/>
      <c r="AF189" s="47"/>
      <c r="AG189" s="47"/>
      <c r="AH189" s="47"/>
      <c r="AI189" s="120" t="n">
        <v>11</v>
      </c>
    </row>
    <row r="190" s="120" customFormat="true" ht="11.25" hidden="false" customHeight="true" outlineLevel="0" collapsed="false">
      <c r="A190" s="598"/>
      <c r="B190" s="47"/>
      <c r="C190" s="47"/>
      <c r="N190" s="45"/>
      <c r="O190" s="47"/>
      <c r="P190" s="47"/>
      <c r="Q190" s="45"/>
      <c r="R190" s="45"/>
      <c r="S190" s="45"/>
      <c r="T190" s="45"/>
      <c r="U190" s="47"/>
      <c r="V190" s="45"/>
      <c r="W190" s="45"/>
      <c r="X190" s="599"/>
      <c r="Y190" s="45"/>
      <c r="Z190" s="45"/>
      <c r="AA190" s="45"/>
      <c r="AB190" s="45"/>
      <c r="AC190" s="45"/>
      <c r="AD190" s="45"/>
      <c r="AE190" s="47"/>
      <c r="AF190" s="47"/>
      <c r="AG190" s="47"/>
      <c r="AH190" s="47"/>
      <c r="AI190" s="120" t="n">
        <v>11</v>
      </c>
    </row>
    <row r="191" s="120" customFormat="true" ht="11.25" hidden="false" customHeight="true" outlineLevel="0" collapsed="false">
      <c r="A191" s="598"/>
      <c r="B191" s="47"/>
      <c r="C191" s="47"/>
      <c r="N191" s="45"/>
      <c r="O191" s="47"/>
      <c r="P191" s="47"/>
      <c r="Q191" s="45"/>
      <c r="R191" s="45"/>
      <c r="S191" s="45"/>
      <c r="T191" s="45"/>
      <c r="U191" s="47"/>
      <c r="V191" s="45"/>
      <c r="W191" s="45"/>
      <c r="X191" s="599"/>
      <c r="Y191" s="45"/>
      <c r="Z191" s="45"/>
      <c r="AA191" s="45"/>
      <c r="AB191" s="45"/>
      <c r="AC191" s="45"/>
      <c r="AD191" s="45"/>
      <c r="AE191" s="47"/>
      <c r="AF191" s="47"/>
      <c r="AG191" s="47"/>
      <c r="AH191" s="47"/>
      <c r="AI191" s="120" t="n">
        <v>11</v>
      </c>
    </row>
    <row r="192" s="120" customFormat="true" ht="11.25" hidden="false" customHeight="true" outlineLevel="0" collapsed="false">
      <c r="A192" s="598"/>
      <c r="B192" s="47"/>
      <c r="C192" s="47"/>
      <c r="N192" s="45"/>
      <c r="O192" s="47"/>
      <c r="P192" s="47"/>
      <c r="Q192" s="45"/>
      <c r="R192" s="45"/>
      <c r="S192" s="45"/>
      <c r="T192" s="45"/>
      <c r="U192" s="47"/>
      <c r="V192" s="45"/>
      <c r="W192" s="45"/>
      <c r="X192" s="599"/>
      <c r="Y192" s="45"/>
      <c r="Z192" s="45"/>
      <c r="AA192" s="45"/>
      <c r="AB192" s="45"/>
      <c r="AC192" s="45"/>
      <c r="AD192" s="45"/>
      <c r="AE192" s="47"/>
      <c r="AF192" s="47"/>
      <c r="AG192" s="47"/>
      <c r="AH192" s="47"/>
      <c r="AI192" s="120" t="n">
        <v>11</v>
      </c>
    </row>
    <row r="193" s="120" customFormat="true" ht="11.25" hidden="false" customHeight="true" outlineLevel="0" collapsed="false">
      <c r="A193" s="598"/>
      <c r="B193" s="47"/>
      <c r="C193" s="47"/>
      <c r="N193" s="45"/>
      <c r="O193" s="47"/>
      <c r="P193" s="47"/>
      <c r="Q193" s="45"/>
      <c r="R193" s="45"/>
      <c r="S193" s="45"/>
      <c r="T193" s="45"/>
      <c r="U193" s="47"/>
      <c r="V193" s="45"/>
      <c r="W193" s="45"/>
      <c r="X193" s="599"/>
      <c r="Y193" s="45"/>
      <c r="Z193" s="45"/>
      <c r="AA193" s="45"/>
      <c r="AB193" s="45"/>
      <c r="AC193" s="45"/>
      <c r="AD193" s="45"/>
      <c r="AE193" s="47"/>
      <c r="AF193" s="47"/>
      <c r="AG193" s="47"/>
      <c r="AH193" s="47"/>
      <c r="AI193" s="120" t="n">
        <v>11</v>
      </c>
    </row>
    <row r="194" s="120" customFormat="true" ht="11.25" hidden="false" customHeight="true" outlineLevel="0" collapsed="false">
      <c r="A194" s="598"/>
      <c r="B194" s="47"/>
      <c r="C194" s="47"/>
      <c r="N194" s="45"/>
      <c r="O194" s="47"/>
      <c r="P194" s="47"/>
      <c r="Q194" s="45"/>
      <c r="R194" s="45"/>
      <c r="S194" s="45"/>
      <c r="T194" s="45"/>
      <c r="U194" s="47"/>
      <c r="V194" s="45"/>
      <c r="W194" s="45"/>
      <c r="X194" s="599"/>
      <c r="Y194" s="45"/>
      <c r="Z194" s="45"/>
      <c r="AA194" s="45"/>
      <c r="AB194" s="45"/>
      <c r="AC194" s="45"/>
      <c r="AD194" s="45"/>
      <c r="AE194" s="47"/>
      <c r="AF194" s="47"/>
      <c r="AG194" s="47"/>
      <c r="AH194" s="47"/>
      <c r="AI194" s="120" t="n">
        <v>11</v>
      </c>
    </row>
    <row r="195" s="120" customFormat="true" ht="11.25" hidden="false" customHeight="true" outlineLevel="0" collapsed="false">
      <c r="A195" s="598"/>
      <c r="B195" s="47"/>
      <c r="C195" s="47"/>
      <c r="N195" s="45"/>
      <c r="O195" s="47"/>
      <c r="P195" s="47"/>
      <c r="Q195" s="45"/>
      <c r="R195" s="45"/>
      <c r="S195" s="45"/>
      <c r="T195" s="45"/>
      <c r="U195" s="47"/>
      <c r="V195" s="45"/>
      <c r="W195" s="45"/>
      <c r="X195" s="599"/>
      <c r="Y195" s="45"/>
      <c r="Z195" s="45"/>
      <c r="AA195" s="45"/>
      <c r="AB195" s="45"/>
      <c r="AC195" s="45"/>
      <c r="AD195" s="45"/>
      <c r="AE195" s="47"/>
      <c r="AF195" s="47"/>
      <c r="AG195" s="47"/>
      <c r="AH195" s="47"/>
      <c r="AI195" s="120" t="n">
        <v>11</v>
      </c>
    </row>
    <row r="196" customFormat="false" ht="11.25" hidden="false" customHeight="true" outlineLevel="0" collapsed="false">
      <c r="AI196" s="42" t="n">
        <v>11</v>
      </c>
    </row>
    <row r="197" customFormat="false" ht="11.25" hidden="false" customHeight="true" outlineLevel="0" collapsed="false">
      <c r="AI197" s="42" t="n">
        <v>11</v>
      </c>
    </row>
    <row r="198" customFormat="false" ht="11.25" hidden="false" customHeight="true" outlineLevel="0" collapsed="false">
      <c r="AI198" s="42" t="n">
        <v>11</v>
      </c>
    </row>
    <row r="199" customFormat="false" ht="11.25" hidden="false" customHeight="true" outlineLevel="0" collapsed="false">
      <c r="A199" s="669"/>
      <c r="B199" s="42"/>
      <c r="N199" s="42"/>
      <c r="Q199" s="42"/>
      <c r="R199" s="42"/>
      <c r="S199" s="42"/>
      <c r="T199" s="42"/>
      <c r="V199" s="42"/>
      <c r="W199" s="42"/>
      <c r="X199" s="42"/>
      <c r="Y199" s="42"/>
      <c r="Z199" s="42"/>
      <c r="AA199" s="42"/>
      <c r="AB199" s="42"/>
      <c r="AC199" s="42"/>
      <c r="AD199" s="42"/>
      <c r="AE199" s="42"/>
      <c r="AF199" s="42"/>
      <c r="AG199" s="42"/>
      <c r="AH199" s="42"/>
      <c r="AI199" s="42" t="n">
        <v>11</v>
      </c>
    </row>
    <row r="200" customFormat="false" ht="11.25" hidden="false" customHeight="true" outlineLevel="0" collapsed="false">
      <c r="A200" s="669"/>
      <c r="B200" s="42"/>
      <c r="N200" s="42"/>
      <c r="Q200" s="42"/>
      <c r="R200" s="42"/>
      <c r="S200" s="42"/>
      <c r="T200" s="42"/>
      <c r="V200" s="42"/>
      <c r="W200" s="42"/>
      <c r="X200" s="42"/>
      <c r="Y200" s="42"/>
      <c r="Z200" s="42"/>
      <c r="AA200" s="42"/>
      <c r="AB200" s="42"/>
      <c r="AC200" s="42"/>
      <c r="AD200" s="42"/>
      <c r="AE200" s="42"/>
      <c r="AF200" s="42"/>
      <c r="AG200" s="42"/>
      <c r="AH200" s="42"/>
      <c r="AI200" s="42" t="n">
        <v>11</v>
      </c>
    </row>
    <row r="201" customFormat="false" ht="11.25" hidden="false" customHeight="true" outlineLevel="0" collapsed="false">
      <c r="A201" s="669"/>
      <c r="B201" s="42"/>
      <c r="N201" s="42"/>
      <c r="Q201" s="42"/>
      <c r="R201" s="42"/>
      <c r="S201" s="42"/>
      <c r="T201" s="42"/>
      <c r="V201" s="42"/>
      <c r="W201" s="42"/>
      <c r="X201" s="42"/>
      <c r="Y201" s="42"/>
      <c r="Z201" s="42"/>
      <c r="AA201" s="42"/>
      <c r="AB201" s="42"/>
      <c r="AC201" s="42"/>
      <c r="AD201" s="42"/>
      <c r="AE201" s="42"/>
      <c r="AF201" s="42"/>
      <c r="AG201" s="42"/>
      <c r="AH201" s="42"/>
      <c r="AI201" s="42" t="n">
        <v>11</v>
      </c>
    </row>
    <row r="202" customFormat="false" ht="11.25" hidden="false" customHeight="true" outlineLevel="0" collapsed="false">
      <c r="A202" s="669"/>
      <c r="B202" s="42"/>
      <c r="N202" s="42"/>
      <c r="Q202" s="42"/>
      <c r="R202" s="42"/>
      <c r="S202" s="42"/>
      <c r="T202" s="42"/>
      <c r="V202" s="42"/>
      <c r="W202" s="42"/>
      <c r="X202" s="42"/>
      <c r="Y202" s="42"/>
      <c r="Z202" s="42"/>
      <c r="AA202" s="42"/>
      <c r="AB202" s="42"/>
      <c r="AC202" s="42"/>
      <c r="AD202" s="42"/>
      <c r="AE202" s="42"/>
      <c r="AF202" s="42"/>
      <c r="AG202" s="42"/>
      <c r="AH202" s="42"/>
      <c r="AI202" s="42" t="n">
        <v>11</v>
      </c>
    </row>
    <row r="203" customFormat="false" ht="11.25" hidden="false" customHeight="true" outlineLevel="0" collapsed="false">
      <c r="A203" s="669"/>
      <c r="B203" s="42"/>
      <c r="N203" s="42"/>
      <c r="Q203" s="42"/>
      <c r="R203" s="42"/>
      <c r="S203" s="42"/>
      <c r="T203" s="42"/>
      <c r="V203" s="42"/>
      <c r="W203" s="42"/>
      <c r="X203" s="42"/>
      <c r="Y203" s="42"/>
      <c r="Z203" s="42"/>
      <c r="AA203" s="42"/>
      <c r="AB203" s="42"/>
      <c r="AC203" s="42"/>
      <c r="AD203" s="42"/>
      <c r="AE203" s="42"/>
      <c r="AF203" s="42"/>
      <c r="AG203" s="42"/>
      <c r="AH203" s="42"/>
      <c r="AI203" s="42" t="n">
        <v>11</v>
      </c>
    </row>
    <row r="204" customFormat="false" ht="11.25" hidden="false" customHeight="true" outlineLevel="0" collapsed="false">
      <c r="A204" s="669"/>
      <c r="B204" s="42"/>
      <c r="N204" s="42"/>
      <c r="Q204" s="42"/>
      <c r="R204" s="42"/>
      <c r="S204" s="42"/>
      <c r="T204" s="42"/>
      <c r="V204" s="42"/>
      <c r="W204" s="42"/>
      <c r="X204" s="42"/>
      <c r="Y204" s="42"/>
      <c r="Z204" s="42"/>
      <c r="AA204" s="42"/>
      <c r="AB204" s="42"/>
      <c r="AC204" s="42"/>
      <c r="AD204" s="42"/>
      <c r="AE204" s="42"/>
      <c r="AF204" s="42"/>
      <c r="AG204" s="42"/>
      <c r="AH204" s="42"/>
      <c r="AI204" s="42" t="n">
        <v>11</v>
      </c>
    </row>
    <row r="205" customFormat="false" ht="11.25" hidden="false" customHeight="true" outlineLevel="0" collapsed="false">
      <c r="A205" s="669"/>
      <c r="B205" s="42"/>
      <c r="N205" s="42"/>
      <c r="Q205" s="42"/>
      <c r="R205" s="42"/>
      <c r="S205" s="42"/>
      <c r="T205" s="42"/>
      <c r="V205" s="42"/>
      <c r="W205" s="42"/>
      <c r="X205" s="42"/>
      <c r="Y205" s="42"/>
      <c r="Z205" s="42"/>
      <c r="AA205" s="42"/>
      <c r="AB205" s="42"/>
      <c r="AC205" s="42"/>
      <c r="AD205" s="42"/>
      <c r="AE205" s="42"/>
      <c r="AF205" s="42"/>
      <c r="AG205" s="42"/>
      <c r="AH205" s="42"/>
      <c r="AI205" s="42" t="n">
        <v>11</v>
      </c>
    </row>
    <row r="206" customFormat="false" ht="11.25" hidden="false" customHeight="true" outlineLevel="0" collapsed="false">
      <c r="A206" s="669"/>
      <c r="B206" s="42"/>
      <c r="N206" s="42"/>
      <c r="Q206" s="42"/>
      <c r="R206" s="42"/>
      <c r="S206" s="42"/>
      <c r="T206" s="42"/>
      <c r="V206" s="42"/>
      <c r="W206" s="42"/>
      <c r="X206" s="42"/>
      <c r="Y206" s="42"/>
      <c r="Z206" s="42"/>
      <c r="AA206" s="42"/>
      <c r="AB206" s="42"/>
      <c r="AC206" s="42"/>
      <c r="AD206" s="42"/>
      <c r="AE206" s="42"/>
      <c r="AF206" s="42"/>
      <c r="AG206" s="42"/>
      <c r="AH206" s="42"/>
      <c r="AI206" s="42" t="n">
        <v>11</v>
      </c>
    </row>
    <row r="207" customFormat="false" ht="11.25" hidden="false" customHeight="true" outlineLevel="0" collapsed="false">
      <c r="A207" s="669"/>
      <c r="B207" s="42"/>
      <c r="N207" s="42"/>
      <c r="Q207" s="42"/>
      <c r="R207" s="42"/>
      <c r="S207" s="42"/>
      <c r="T207" s="42"/>
      <c r="V207" s="42"/>
      <c r="W207" s="42"/>
      <c r="X207" s="42"/>
      <c r="Y207" s="42"/>
      <c r="Z207" s="42"/>
      <c r="AA207" s="42"/>
      <c r="AB207" s="42"/>
      <c r="AC207" s="42"/>
      <c r="AD207" s="42"/>
      <c r="AE207" s="42"/>
      <c r="AF207" s="42"/>
      <c r="AG207" s="42"/>
      <c r="AH207" s="42"/>
      <c r="AI207" s="42" t="n">
        <v>11</v>
      </c>
    </row>
    <row r="208" customFormat="false" ht="11.25" hidden="false" customHeight="true" outlineLevel="0" collapsed="false">
      <c r="A208" s="669"/>
      <c r="B208" s="42"/>
      <c r="N208" s="42"/>
      <c r="Q208" s="42"/>
      <c r="R208" s="42"/>
      <c r="S208" s="42"/>
      <c r="T208" s="42"/>
      <c r="V208" s="42"/>
      <c r="W208" s="42"/>
      <c r="X208" s="42"/>
      <c r="Y208" s="42"/>
      <c r="Z208" s="42"/>
      <c r="AA208" s="42"/>
      <c r="AB208" s="42"/>
      <c r="AC208" s="42"/>
      <c r="AD208" s="42"/>
      <c r="AE208" s="42"/>
      <c r="AF208" s="42"/>
      <c r="AG208" s="42"/>
      <c r="AH208" s="42"/>
      <c r="AI208" s="42" t="n">
        <v>11</v>
      </c>
    </row>
    <row r="209" customFormat="false" ht="11.25" hidden="false" customHeight="true" outlineLevel="0" collapsed="false">
      <c r="A209" s="669"/>
      <c r="B209" s="42"/>
      <c r="N209" s="42"/>
      <c r="Q209" s="42"/>
      <c r="R209" s="42"/>
      <c r="S209" s="42"/>
      <c r="T209" s="42"/>
      <c r="V209" s="42"/>
      <c r="W209" s="42"/>
      <c r="X209" s="42"/>
      <c r="Y209" s="42"/>
      <c r="Z209" s="42"/>
      <c r="AA209" s="42"/>
      <c r="AB209" s="42"/>
      <c r="AC209" s="42"/>
      <c r="AD209" s="42"/>
      <c r="AE209" s="42"/>
      <c r="AF209" s="42"/>
      <c r="AG209" s="42"/>
      <c r="AH209" s="42"/>
      <c r="AI209" s="42" t="n">
        <v>11</v>
      </c>
    </row>
    <row r="210" customFormat="false" ht="11.25" hidden="true" customHeight="true" outlineLevel="0" collapsed="false">
      <c r="A210" s="598" t="s">
        <v>81</v>
      </c>
      <c r="B210" s="45" t="n">
        <v>0</v>
      </c>
      <c r="C210" s="47" t="n">
        <v>0</v>
      </c>
      <c r="D210" s="42" t="n">
        <v>3</v>
      </c>
      <c r="E210" s="42" t="n">
        <v>7</v>
      </c>
      <c r="F210" s="42" t="n">
        <v>54</v>
      </c>
      <c r="G210" s="42" t="n">
        <v>10</v>
      </c>
      <c r="H210" s="42" t="n">
        <v>0</v>
      </c>
      <c r="I210" s="42" t="n">
        <v>40</v>
      </c>
      <c r="J210" s="42" t="n">
        <v>0</v>
      </c>
      <c r="K210" s="42" t="n">
        <v>0</v>
      </c>
      <c r="L210" s="42" t="n">
        <v>0</v>
      </c>
      <c r="M210" s="42" t="n">
        <v>102</v>
      </c>
      <c r="N210" s="45" t="n">
        <v>9</v>
      </c>
      <c r="O210" s="47" t="n">
        <v>5</v>
      </c>
      <c r="P210" s="47" t="n">
        <v>3</v>
      </c>
      <c r="Q210" s="45" t="n">
        <v>3</v>
      </c>
      <c r="R210" s="45" t="n">
        <v>3</v>
      </c>
      <c r="S210" s="45" t="n">
        <v>3</v>
      </c>
      <c r="T210" s="45" t="n">
        <v>3</v>
      </c>
      <c r="U210" s="47" t="n">
        <v>10</v>
      </c>
      <c r="V210" s="45" t="n">
        <v>34</v>
      </c>
      <c r="W210" s="45" t="n">
        <v>9</v>
      </c>
      <c r="X210" s="599" t="n">
        <v>8</v>
      </c>
      <c r="Y210" s="45" t="n">
        <v>8</v>
      </c>
      <c r="Z210" s="45" t="n">
        <v>8</v>
      </c>
      <c r="AA210" s="45" t="n">
        <v>8</v>
      </c>
      <c r="AB210" s="45" t="n">
        <v>8</v>
      </c>
      <c r="AC210" s="45" t="n">
        <v>8</v>
      </c>
      <c r="AD210" s="45" t="n">
        <v>8</v>
      </c>
      <c r="AE210" s="45" t="n">
        <v>8</v>
      </c>
      <c r="AF210" s="45" t="n">
        <v>8</v>
      </c>
      <c r="AG210" s="45" t="n">
        <v>8</v>
      </c>
      <c r="AH210" s="45" t="n">
        <v>8</v>
      </c>
      <c r="AI210" s="42" t="n">
        <v>11</v>
      </c>
    </row>
  </sheetData>
  <mergeCells count="9">
    <mergeCell ref="E6:I6"/>
    <mergeCell ref="E7:I7"/>
    <mergeCell ref="F10:G10"/>
    <mergeCell ref="M10:M14"/>
    <mergeCell ref="F11:G11"/>
    <mergeCell ref="F12:G12"/>
    <mergeCell ref="E13:G13"/>
    <mergeCell ref="F39:G39"/>
    <mergeCell ref="F40:G40"/>
  </mergeCells>
  <dataValidations count="5">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28:L28"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2:L2 H15:L15 H17:L27 H31:L31 H36:L3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35:L35"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0:L30"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32:L34" type="decimal">
      <formula1>-9.99999999999999E+037</formula1>
      <formula2>9.99999999999999E+037</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D10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L32" activeCellId="0" sqref="L32"/>
    </sheetView>
  </sheetViews>
  <sheetFormatPr defaultColWidth="10.57421875" defaultRowHeight="11.25" zeroHeight="false" outlineLevelRow="0" outlineLevelCol="0"/>
  <cols>
    <col collapsed="false" customWidth="true" hidden="true" outlineLevel="0" max="1" min="1" style="113" width="9.14"/>
    <col collapsed="false" customWidth="true" hidden="true" outlineLevel="0" max="2" min="2" style="47" width="3.57"/>
    <col collapsed="false" customWidth="true" hidden="false" outlineLevel="0" max="3" min="3" style="42" width="3"/>
    <col collapsed="false" customWidth="true" hidden="false" outlineLevel="0" max="4" min="4" style="42" width="7"/>
    <col collapsed="false" customWidth="true" hidden="false" outlineLevel="0" max="5" min="5" style="42" width="69"/>
    <col collapsed="false" customWidth="true" hidden="false" outlineLevel="0" max="6" min="6" style="42" width="10"/>
    <col collapsed="false" customWidth="true" hidden="true" outlineLevel="0" max="8" min="7" style="42" width="44"/>
    <col collapsed="false" customWidth="true" hidden="false" outlineLevel="0" max="9" min="9" style="42" width="44"/>
    <col collapsed="false" customWidth="true" hidden="false" outlineLevel="0" max="10" min="10" style="42" width="43"/>
    <col collapsed="false" customWidth="true" hidden="false" outlineLevel="0" max="16" min="11" style="42" width="44"/>
    <col collapsed="false" customWidth="true" hidden="false" outlineLevel="0" max="17" min="17" style="42" width="73"/>
    <col collapsed="false" customWidth="true" hidden="false" outlineLevel="0" max="18" min="18" style="42" width="3"/>
    <col collapsed="false" customWidth="true" hidden="false" outlineLevel="0" max="29" min="19" style="42" width="10"/>
    <col collapsed="false" customWidth="false" hidden="true" outlineLevel="0" max="30" min="30" style="42" width="10.57"/>
  </cols>
  <sheetData>
    <row r="1" s="45" customFormat="true" ht="22.5" hidden="true" customHeight="true" outlineLevel="0" collapsed="false">
      <c r="A1" s="113"/>
      <c r="B1" s="47"/>
      <c r="G1" s="45" t="n">
        <v>4</v>
      </c>
      <c r="I1" s="45" t="n">
        <v>4</v>
      </c>
      <c r="K1" s="45" t="n">
        <v>4</v>
      </c>
      <c r="M1" s="45" t="n">
        <v>4</v>
      </c>
      <c r="O1" s="45" t="n">
        <v>4</v>
      </c>
      <c r="Q1" s="45" t="n">
        <v>5</v>
      </c>
      <c r="AD1" s="45" t="s">
        <v>14</v>
      </c>
    </row>
    <row r="2" customFormat="false" ht="3" hidden="false" customHeight="true" outlineLevel="0" collapsed="false">
      <c r="AD2" s="42" t="n">
        <v>3</v>
      </c>
    </row>
    <row r="3" customFormat="false" ht="78.75" hidden="false" customHeight="true" outlineLevel="0" collapsed="false">
      <c r="D3" s="176" t="str">
        <f aca="false">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76"/>
      <c r="F3" s="176"/>
      <c r="AD3" s="42" t="n">
        <v>75</v>
      </c>
    </row>
    <row r="4" s="42" customFormat="true" ht="21" hidden="false" customHeight="true" outlineLevel="0" collapsed="false">
      <c r="A4" s="113"/>
      <c r="B4" s="47"/>
      <c r="D4" s="261" t="str">
        <f aca="false">IF(org=0,"Не определено",org)</f>
        <v>ООО "Газпром теплоэнерго Ярославль"</v>
      </c>
      <c r="E4" s="261"/>
      <c r="F4" s="261"/>
      <c r="AD4" s="42" t="n">
        <v>20</v>
      </c>
    </row>
    <row r="5" customFormat="false" ht="11.25" hidden="false" customHeight="true" outlineLevel="0" collapsed="false">
      <c r="H5" s="292"/>
      <c r="J5" s="292"/>
      <c r="L5" s="292"/>
      <c r="N5" s="292"/>
      <c r="P5" s="292"/>
      <c r="AD5" s="42" t="n">
        <v>11</v>
      </c>
    </row>
    <row r="6" customFormat="false" ht="0.75" hidden="false" customHeight="true" outlineLevel="0" collapsed="false">
      <c r="E6" s="43"/>
      <c r="F6" s="672"/>
      <c r="G6" s="738"/>
      <c r="H6" s="738"/>
      <c r="I6" s="738" t="s">
        <v>127</v>
      </c>
      <c r="J6" s="738"/>
      <c r="K6" s="738" t="s">
        <v>131</v>
      </c>
      <c r="L6" s="738"/>
      <c r="M6" s="738" t="s">
        <v>132</v>
      </c>
      <c r="N6" s="738"/>
      <c r="O6" s="738" t="s">
        <v>134</v>
      </c>
      <c r="P6" s="738"/>
      <c r="AD6" s="42" t="n">
        <v>1</v>
      </c>
    </row>
    <row r="7" customFormat="false" ht="11.25" hidden="false" customHeight="true" outlineLevel="0" collapsed="false">
      <c r="D7" s="614"/>
      <c r="E7" s="615" t="s">
        <v>116</v>
      </c>
      <c r="F7" s="615"/>
      <c r="G7" s="739" t="str">
        <f aca="false">IF(G6="","",INDEX(DIFFERENTIATION_UNMERGE_VD,MATCH(G6,DIFFERENTIATION_ID_DIFF,0)))</f>
        <v/>
      </c>
      <c r="H7" s="739"/>
      <c r="I7" s="739" t="str">
        <f aca="false">IF(I6="","",INDEX(DIFFERENTIATION_UNMERGE_VD,MATCH(I6,DIFFERENTIATION_ID_DIFF,0)))</f>
        <v>Производство тепловой энергии. Некомбинированная выработка</v>
      </c>
      <c r="J7" s="739"/>
      <c r="K7" s="739" t="str">
        <f aca="false">IF(K6="","",INDEX(DIFFERENTIATION_UNMERGE_VD,MATCH(K6,DIFFERENTIATION_ID_DIFF,0)))</f>
        <v>Производство тепловой энергии. Некомбинированная выработка</v>
      </c>
      <c r="L7" s="739"/>
      <c r="M7" s="739" t="str">
        <f aca="false">IF(M6="","",INDEX(DIFFERENTIATION_UNMERGE_VD,MATCH(M6,DIFFERENTIATION_ID_DIFF,0)))</f>
        <v>Производство тепловой энергии. Некомбинированная выработка</v>
      </c>
      <c r="N7" s="739"/>
      <c r="O7" s="739" t="str">
        <f aca="false">IF(O6="","",INDEX(DIFFERENTIATION_UNMERGE_VD,MATCH(O6,DIFFERENTIATION_ID_DIFF,0)))</f>
        <v>Производство. Теплоноситель</v>
      </c>
      <c r="P7" s="739"/>
      <c r="Q7" s="134"/>
      <c r="AD7" s="42" t="n">
        <v>11</v>
      </c>
    </row>
    <row r="8" customFormat="false" ht="11.25" hidden="false" customHeight="true" outlineLevel="0" collapsed="false">
      <c r="D8" s="614"/>
      <c r="E8" s="615" t="s">
        <v>577</v>
      </c>
      <c r="F8" s="615"/>
      <c r="G8" s="739" t="str">
        <f aca="false">IF(G6="","",INDEX(DIFFERENTIATION_UNMERGE_AREA,MATCH(G6,DIFFERENTIATION_ID_DIFF,0)))</f>
        <v/>
      </c>
      <c r="H8" s="739"/>
      <c r="I8" s="739" t="str">
        <f aca="false">IF(I6="","",INDEX(DIFFERENTIATION_UNMERGE_AREA,MATCH(I6,DIFFERENTIATION_ID_DIFF,0)))</f>
        <v>Территория 1</v>
      </c>
      <c r="J8" s="739"/>
      <c r="K8" s="739" t="str">
        <f aca="false">IF(K6="","",INDEX(DIFFERENTIATION_UNMERGE_AREA,MATCH(K6,DIFFERENTIATION_ID_DIFF,0)))</f>
        <v>Территория 2</v>
      </c>
      <c r="L8" s="739"/>
      <c r="M8" s="739" t="str">
        <f aca="false">IF(M6="","",INDEX(DIFFERENTIATION_UNMERGE_AREA,MATCH(M6,DIFFERENTIATION_ID_DIFF,0)))</f>
        <v>Территория 3</v>
      </c>
      <c r="N8" s="739"/>
      <c r="O8" s="739" t="str">
        <f aca="false">IF(O6="","",INDEX(DIFFERENTIATION_UNMERGE_AREA,MATCH(O6,DIFFERENTIATION_ID_DIFF,0)))</f>
        <v>Территория 1</v>
      </c>
      <c r="P8" s="739"/>
      <c r="Q8" s="134"/>
      <c r="AD8" s="42" t="n">
        <v>11</v>
      </c>
    </row>
    <row r="9" customFormat="false" ht="11.25" hidden="false" customHeight="true" outlineLevel="0" collapsed="false">
      <c r="D9" s="614"/>
      <c r="E9" s="615" t="s">
        <v>578</v>
      </c>
      <c r="F9" s="615"/>
      <c r="G9" s="739" t="str">
        <f aca="false">IF(G6="","",INDEX(DIFFERENTIATION_UNMERGE_SYSTEM,MATCH(G6,DIFFERENTIATION_ID_DIFF,0)))</f>
        <v/>
      </c>
      <c r="H9" s="739"/>
      <c r="I9" s="739" t="str">
        <f aca="false">IF(I6="","",INDEX(DIFFERENTIATION_UNMERGE_SYSTEM,MATCH(I6,DIFFERENTIATION_ID_DIFF,0)))</f>
        <v>без дифференциации</v>
      </c>
      <c r="J9" s="739"/>
      <c r="K9" s="739" t="str">
        <f aca="false">IF(K6="","",INDEX(DIFFERENTIATION_UNMERGE_SYSTEM,MATCH(K6,DIFFERENTIATION_ID_DIFF,0)))</f>
        <v>без дифференциации</v>
      </c>
      <c r="L9" s="739"/>
      <c r="M9" s="739" t="str">
        <f aca="false">IF(M6="","",INDEX(DIFFERENTIATION_UNMERGE_SYSTEM,MATCH(M6,DIFFERENTIATION_ID_DIFF,0)))</f>
        <v>без дифференциации</v>
      </c>
      <c r="N9" s="739"/>
      <c r="O9" s="739" t="str">
        <f aca="false">IF(O6="","",INDEX(DIFFERENTIATION_UNMERGE_SYSTEM,MATCH(O6,DIFFERENTIATION_ID_DIFF,0)))</f>
        <v>без дифференциации</v>
      </c>
      <c r="P9" s="739"/>
      <c r="Q9" s="134"/>
      <c r="AD9" s="42" t="n">
        <v>11</v>
      </c>
    </row>
    <row r="10" s="42" customFormat="true" ht="11.25" hidden="false" customHeight="true" outlineLevel="0" collapsed="false">
      <c r="A10" s="113"/>
      <c r="B10" s="47"/>
      <c r="D10" s="134" t="s">
        <v>313</v>
      </c>
      <c r="E10" s="134"/>
      <c r="F10" s="134"/>
      <c r="G10" s="134"/>
      <c r="H10" s="134"/>
      <c r="I10" s="134"/>
      <c r="J10" s="134"/>
      <c r="K10" s="716"/>
      <c r="L10" s="716"/>
      <c r="M10" s="716"/>
      <c r="N10" s="716"/>
      <c r="O10" s="716"/>
      <c r="P10" s="716"/>
      <c r="Q10" s="134"/>
      <c r="AD10" s="42" t="n">
        <v>11</v>
      </c>
    </row>
    <row r="11" s="42" customFormat="true" ht="24" hidden="false" customHeight="true" outlineLevel="0" collapsed="false">
      <c r="A11" s="488"/>
      <c r="B11" s="488"/>
      <c r="C11" s="341"/>
      <c r="D11" s="146" t="s">
        <v>87</v>
      </c>
      <c r="E11" s="146" t="s">
        <v>837</v>
      </c>
      <c r="F11" s="146" t="s">
        <v>579</v>
      </c>
      <c r="G11" s="146" t="s">
        <v>316</v>
      </c>
      <c r="H11" s="146" t="s">
        <v>403</v>
      </c>
      <c r="I11" s="146" t="s">
        <v>316</v>
      </c>
      <c r="J11" s="265" t="s">
        <v>403</v>
      </c>
      <c r="K11" s="146" t="s">
        <v>316</v>
      </c>
      <c r="L11" s="146" t="s">
        <v>403</v>
      </c>
      <c r="M11" s="146" t="s">
        <v>316</v>
      </c>
      <c r="N11" s="146" t="s">
        <v>403</v>
      </c>
      <c r="O11" s="146" t="s">
        <v>316</v>
      </c>
      <c r="P11" s="146" t="s">
        <v>403</v>
      </c>
      <c r="Q11" s="134"/>
      <c r="R11" s="488"/>
      <c r="AD11" s="42" t="n">
        <v>23</v>
      </c>
    </row>
    <row r="12" s="47" customFormat="true" ht="10.5" hidden="false" customHeight="true" outlineLevel="0" collapsed="false">
      <c r="A12" s="456"/>
      <c r="D12" s="456" t="s">
        <v>120</v>
      </c>
      <c r="E12" s="456" t="s">
        <v>102</v>
      </c>
      <c r="F12" s="456" t="s">
        <v>89</v>
      </c>
      <c r="G12" s="121" t="str">
        <f aca="false">G1&amp;".1"</f>
        <v>4.1</v>
      </c>
      <c r="H12" s="121" t="str">
        <f aca="false">G1&amp;".2"</f>
        <v>4.2</v>
      </c>
      <c r="I12" s="121" t="str">
        <f aca="false">I1&amp;".1"</f>
        <v>4.1</v>
      </c>
      <c r="J12" s="121" t="str">
        <f aca="false">I1&amp;".2"</f>
        <v>4.2</v>
      </c>
      <c r="K12" s="121" t="str">
        <f aca="false">K1&amp;".1"</f>
        <v>4.1</v>
      </c>
      <c r="L12" s="121" t="str">
        <f aca="false">K1&amp;".2"</f>
        <v>4.2</v>
      </c>
      <c r="M12" s="121" t="str">
        <f aca="false">M1&amp;".1"</f>
        <v>4.1</v>
      </c>
      <c r="N12" s="121" t="str">
        <f aca="false">M1&amp;".2"</f>
        <v>4.2</v>
      </c>
      <c r="O12" s="121" t="str">
        <f aca="false">O1&amp;".1"</f>
        <v>4.1</v>
      </c>
      <c r="P12" s="121" t="str">
        <f aca="false">O1&amp;".2"</f>
        <v>4.2</v>
      </c>
      <c r="Q12" s="121"/>
      <c r="AD12" s="47" t="n">
        <v>10</v>
      </c>
    </row>
    <row r="13" customFormat="false" ht="22.5" hidden="false" customHeight="true" outlineLevel="0" collapsed="false">
      <c r="A13" s="740" t="s">
        <v>838</v>
      </c>
      <c r="D13" s="198" t="s">
        <v>120</v>
      </c>
      <c r="E13" s="619" t="s">
        <v>839</v>
      </c>
      <c r="F13" s="135" t="s">
        <v>840</v>
      </c>
      <c r="G13" s="620"/>
      <c r="H13" s="741"/>
      <c r="I13" s="620" t="n">
        <v>0</v>
      </c>
      <c r="J13" s="741"/>
      <c r="K13" s="620" t="n">
        <v>0</v>
      </c>
      <c r="L13" s="741"/>
      <c r="M13" s="620" t="n">
        <v>0</v>
      </c>
      <c r="N13" s="741"/>
      <c r="O13" s="620" t="n">
        <v>0</v>
      </c>
      <c r="P13" s="741"/>
      <c r="Q13" s="417" t="s">
        <v>841</v>
      </c>
      <c r="R13" s="742"/>
      <c r="AD13" s="42" t="n">
        <v>0</v>
      </c>
    </row>
    <row r="14" customFormat="false" ht="22.5" hidden="false" customHeight="true" outlineLevel="0" collapsed="false">
      <c r="A14" s="740"/>
      <c r="D14" s="198" t="s">
        <v>102</v>
      </c>
      <c r="E14" s="619" t="s">
        <v>842</v>
      </c>
      <c r="F14" s="135" t="s">
        <v>843</v>
      </c>
      <c r="G14" s="620"/>
      <c r="H14" s="741"/>
      <c r="I14" s="620" t="n">
        <v>0</v>
      </c>
      <c r="J14" s="741"/>
      <c r="K14" s="620" t="n">
        <v>0</v>
      </c>
      <c r="L14" s="741"/>
      <c r="M14" s="620" t="n">
        <v>0</v>
      </c>
      <c r="N14" s="741"/>
      <c r="O14" s="620" t="n">
        <v>0</v>
      </c>
      <c r="P14" s="741"/>
      <c r="Q14" s="417" t="s">
        <v>844</v>
      </c>
      <c r="R14" s="742"/>
      <c r="AD14" s="42" t="n">
        <v>0</v>
      </c>
    </row>
    <row r="15" s="42" customFormat="true" ht="78.75" hidden="false" customHeight="true" outlineLevel="0" collapsed="false">
      <c r="A15" s="740"/>
      <c r="B15" s="47"/>
      <c r="D15" s="198" t="s">
        <v>89</v>
      </c>
      <c r="E15" s="619" t="s">
        <v>845</v>
      </c>
      <c r="F15" s="146" t="s">
        <v>319</v>
      </c>
      <c r="G15" s="146" t="s">
        <v>319</v>
      </c>
      <c r="H15" s="334"/>
      <c r="I15" s="146" t="s">
        <v>319</v>
      </c>
      <c r="J15" s="334"/>
      <c r="K15" s="146" t="s">
        <v>319</v>
      </c>
      <c r="L15" s="334"/>
      <c r="M15" s="146" t="s">
        <v>319</v>
      </c>
      <c r="N15" s="334"/>
      <c r="O15" s="146" t="s">
        <v>319</v>
      </c>
      <c r="P15" s="334"/>
      <c r="Q15" s="417" t="s">
        <v>846</v>
      </c>
      <c r="R15" s="742"/>
      <c r="AD15" s="42" t="n">
        <v>0</v>
      </c>
    </row>
    <row r="16" s="42" customFormat="true" ht="22.5" hidden="false" customHeight="true" outlineLevel="0" collapsed="false">
      <c r="A16" s="740"/>
      <c r="B16" s="47"/>
      <c r="D16" s="198" t="s">
        <v>337</v>
      </c>
      <c r="E16" s="568" t="s">
        <v>847</v>
      </c>
      <c r="F16" s="146" t="s">
        <v>848</v>
      </c>
      <c r="G16" s="743"/>
      <c r="H16" s="334"/>
      <c r="I16" s="743" t="n">
        <v>0</v>
      </c>
      <c r="J16" s="334"/>
      <c r="K16" s="743" t="n">
        <v>0</v>
      </c>
      <c r="L16" s="334"/>
      <c r="M16" s="743" t="n">
        <v>0</v>
      </c>
      <c r="N16" s="334"/>
      <c r="O16" s="743" t="n">
        <v>0</v>
      </c>
      <c r="P16" s="334"/>
      <c r="Q16" s="417"/>
      <c r="R16" s="742"/>
      <c r="AD16" s="42" t="n">
        <v>0</v>
      </c>
    </row>
    <row r="17" s="42" customFormat="true" ht="22.5" hidden="false" customHeight="true" outlineLevel="0" collapsed="false">
      <c r="A17" s="740"/>
      <c r="B17" s="47"/>
      <c r="D17" s="198" t="s">
        <v>345</v>
      </c>
      <c r="E17" s="568" t="s">
        <v>849</v>
      </c>
      <c r="F17" s="146" t="s">
        <v>850</v>
      </c>
      <c r="G17" s="743"/>
      <c r="H17" s="334"/>
      <c r="I17" s="743" t="n">
        <v>0</v>
      </c>
      <c r="J17" s="334"/>
      <c r="K17" s="743" t="n">
        <v>0</v>
      </c>
      <c r="L17" s="334"/>
      <c r="M17" s="743" t="n">
        <v>0</v>
      </c>
      <c r="N17" s="334"/>
      <c r="O17" s="743" t="n">
        <v>0</v>
      </c>
      <c r="P17" s="334"/>
      <c r="Q17" s="417"/>
      <c r="R17" s="742"/>
      <c r="AD17" s="42" t="n">
        <v>0</v>
      </c>
    </row>
    <row r="18" s="42" customFormat="true" ht="33.75" hidden="false" customHeight="true" outlineLevel="0" collapsed="false">
      <c r="A18" s="740"/>
      <c r="B18" s="47"/>
      <c r="D18" s="198" t="s">
        <v>347</v>
      </c>
      <c r="E18" s="568" t="s">
        <v>851</v>
      </c>
      <c r="F18" s="146" t="s">
        <v>587</v>
      </c>
      <c r="G18" s="744"/>
      <c r="H18" s="334"/>
      <c r="I18" s="744" t="n">
        <v>0</v>
      </c>
      <c r="J18" s="334"/>
      <c r="K18" s="744" t="n">
        <v>0</v>
      </c>
      <c r="L18" s="334"/>
      <c r="M18" s="744" t="n">
        <v>0</v>
      </c>
      <c r="N18" s="334"/>
      <c r="O18" s="744" t="n">
        <v>0</v>
      </c>
      <c r="P18" s="334"/>
      <c r="Q18" s="417"/>
      <c r="R18" s="742"/>
      <c r="AD18" s="42" t="n">
        <v>0</v>
      </c>
    </row>
    <row r="19" customFormat="false" ht="101.25" hidden="false" customHeight="true" outlineLevel="0" collapsed="false">
      <c r="A19" s="740"/>
      <c r="D19" s="198" t="s">
        <v>90</v>
      </c>
      <c r="E19" s="619" t="s">
        <v>852</v>
      </c>
      <c r="F19" s="135" t="s">
        <v>559</v>
      </c>
      <c r="G19" s="333"/>
      <c r="H19" s="741"/>
      <c r="I19" s="333" t="s">
        <v>853</v>
      </c>
      <c r="J19" s="741"/>
      <c r="K19" s="333" t="s">
        <v>853</v>
      </c>
      <c r="L19" s="741"/>
      <c r="M19" s="333" t="s">
        <v>853</v>
      </c>
      <c r="N19" s="741"/>
      <c r="O19" s="333" t="s">
        <v>853</v>
      </c>
      <c r="P19" s="741"/>
      <c r="Q19" s="417" t="s">
        <v>854</v>
      </c>
      <c r="R19" s="742"/>
      <c r="AD19" s="42" t="n">
        <v>0</v>
      </c>
    </row>
    <row r="20" s="42" customFormat="true" ht="18.75" hidden="false" customHeight="true" outlineLevel="0" collapsed="false">
      <c r="A20" s="740"/>
      <c r="C20" s="117"/>
      <c r="D20" s="198" t="s">
        <v>784</v>
      </c>
      <c r="E20" s="568" t="s">
        <v>855</v>
      </c>
      <c r="F20" s="146" t="s">
        <v>319</v>
      </c>
      <c r="G20" s="146" t="s">
        <v>319</v>
      </c>
      <c r="H20" s="262" t="s">
        <v>319</v>
      </c>
      <c r="I20" s="146" t="s">
        <v>319</v>
      </c>
      <c r="J20" s="262" t="s">
        <v>319</v>
      </c>
      <c r="K20" s="146" t="s">
        <v>319</v>
      </c>
      <c r="L20" s="262" t="s">
        <v>319</v>
      </c>
      <c r="M20" s="146" t="s">
        <v>319</v>
      </c>
      <c r="N20" s="262" t="s">
        <v>319</v>
      </c>
      <c r="O20" s="146" t="s">
        <v>319</v>
      </c>
      <c r="P20" s="262" t="s">
        <v>319</v>
      </c>
      <c r="Q20" s="265"/>
      <c r="R20" s="742"/>
      <c r="AC20" s="103"/>
      <c r="AD20" s="42" t="n">
        <v>0</v>
      </c>
    </row>
    <row r="21" s="42" customFormat="true" ht="33.75" hidden="false" customHeight="true" outlineLevel="0" collapsed="false">
      <c r="A21" s="740"/>
      <c r="C21" s="117"/>
      <c r="D21" s="198" t="s">
        <v>787</v>
      </c>
      <c r="E21" s="636" t="s">
        <v>856</v>
      </c>
      <c r="F21" s="146" t="s">
        <v>857</v>
      </c>
      <c r="G21" s="744"/>
      <c r="H21" s="745"/>
      <c r="I21" s="744"/>
      <c r="J21" s="745"/>
      <c r="K21" s="744"/>
      <c r="L21" s="745"/>
      <c r="M21" s="744"/>
      <c r="N21" s="745"/>
      <c r="O21" s="744"/>
      <c r="P21" s="745"/>
      <c r="Q21" s="265"/>
      <c r="R21" s="742"/>
      <c r="AC21" s="103"/>
      <c r="AD21" s="42" t="n">
        <v>0</v>
      </c>
    </row>
    <row r="22" s="42" customFormat="true" ht="33.75" hidden="false" customHeight="true" outlineLevel="0" collapsed="false">
      <c r="A22" s="740"/>
      <c r="C22" s="117"/>
      <c r="D22" s="198" t="s">
        <v>790</v>
      </c>
      <c r="E22" s="636" t="s">
        <v>858</v>
      </c>
      <c r="F22" s="146" t="s">
        <v>859</v>
      </c>
      <c r="G22" s="744"/>
      <c r="H22" s="745"/>
      <c r="I22" s="744"/>
      <c r="J22" s="745"/>
      <c r="K22" s="744"/>
      <c r="L22" s="745"/>
      <c r="M22" s="744"/>
      <c r="N22" s="745"/>
      <c r="O22" s="744"/>
      <c r="P22" s="745"/>
      <c r="Q22" s="265"/>
      <c r="R22" s="742"/>
      <c r="AC22" s="103"/>
      <c r="AD22" s="42" t="n">
        <v>0</v>
      </c>
    </row>
    <row r="23" s="42" customFormat="true" ht="22.5" hidden="false" customHeight="true" outlineLevel="0" collapsed="false">
      <c r="A23" s="740"/>
      <c r="C23" s="117"/>
      <c r="D23" s="198" t="s">
        <v>826</v>
      </c>
      <c r="E23" s="568" t="s">
        <v>860</v>
      </c>
      <c r="F23" s="146" t="s">
        <v>319</v>
      </c>
      <c r="G23" s="146" t="s">
        <v>319</v>
      </c>
      <c r="H23" s="262" t="s">
        <v>319</v>
      </c>
      <c r="I23" s="146" t="s">
        <v>319</v>
      </c>
      <c r="J23" s="262" t="s">
        <v>319</v>
      </c>
      <c r="K23" s="146" t="s">
        <v>319</v>
      </c>
      <c r="L23" s="262" t="s">
        <v>319</v>
      </c>
      <c r="M23" s="146" t="s">
        <v>319</v>
      </c>
      <c r="N23" s="262" t="s">
        <v>319</v>
      </c>
      <c r="O23" s="146" t="s">
        <v>319</v>
      </c>
      <c r="P23" s="262" t="s">
        <v>319</v>
      </c>
      <c r="Q23" s="265"/>
      <c r="R23" s="742"/>
      <c r="AC23" s="103"/>
      <c r="AD23" s="42" t="n">
        <v>0</v>
      </c>
    </row>
    <row r="24" s="42" customFormat="true" ht="22.5" hidden="false" customHeight="true" outlineLevel="0" collapsed="false">
      <c r="A24" s="740"/>
      <c r="C24" s="117"/>
      <c r="D24" s="198" t="s">
        <v>861</v>
      </c>
      <c r="E24" s="636" t="s">
        <v>862</v>
      </c>
      <c r="F24" s="146" t="s">
        <v>863</v>
      </c>
      <c r="G24" s="744"/>
      <c r="H24" s="746"/>
      <c r="I24" s="744"/>
      <c r="J24" s="746"/>
      <c r="K24" s="744"/>
      <c r="L24" s="746"/>
      <c r="M24" s="744"/>
      <c r="N24" s="746"/>
      <c r="O24" s="744"/>
      <c r="P24" s="746"/>
      <c r="Q24" s="265"/>
      <c r="R24" s="742"/>
      <c r="AC24" s="103"/>
      <c r="AD24" s="42" t="n">
        <v>0</v>
      </c>
    </row>
    <row r="25" s="42" customFormat="true" ht="22.5" hidden="false" customHeight="true" outlineLevel="0" collapsed="false">
      <c r="A25" s="740"/>
      <c r="C25" s="117"/>
      <c r="D25" s="198" t="s">
        <v>864</v>
      </c>
      <c r="E25" s="636" t="s">
        <v>865</v>
      </c>
      <c r="F25" s="146" t="s">
        <v>319</v>
      </c>
      <c r="G25" s="146" t="s">
        <v>319</v>
      </c>
      <c r="H25" s="262" t="s">
        <v>319</v>
      </c>
      <c r="I25" s="146" t="s">
        <v>319</v>
      </c>
      <c r="J25" s="262" t="s">
        <v>319</v>
      </c>
      <c r="K25" s="146" t="s">
        <v>319</v>
      </c>
      <c r="L25" s="262" t="s">
        <v>319</v>
      </c>
      <c r="M25" s="146" t="s">
        <v>319</v>
      </c>
      <c r="N25" s="262" t="s">
        <v>319</v>
      </c>
      <c r="O25" s="146" t="s">
        <v>319</v>
      </c>
      <c r="P25" s="262" t="s">
        <v>319</v>
      </c>
      <c r="Q25" s="265"/>
      <c r="R25" s="742"/>
      <c r="AC25" s="103"/>
      <c r="AD25" s="42" t="n">
        <v>0</v>
      </c>
    </row>
    <row r="26" s="42" customFormat="true" ht="18.75" hidden="false" customHeight="true" outlineLevel="0" collapsed="false">
      <c r="A26" s="740"/>
      <c r="C26" s="117"/>
      <c r="D26" s="198" t="s">
        <v>866</v>
      </c>
      <c r="E26" s="605" t="s">
        <v>867</v>
      </c>
      <c r="F26" s="146" t="s">
        <v>868</v>
      </c>
      <c r="G26" s="744"/>
      <c r="H26" s="747"/>
      <c r="I26" s="744"/>
      <c r="J26" s="747"/>
      <c r="K26" s="744"/>
      <c r="L26" s="747"/>
      <c r="M26" s="744"/>
      <c r="N26" s="747"/>
      <c r="O26" s="744"/>
      <c r="P26" s="747"/>
      <c r="Q26" s="265"/>
      <c r="R26" s="742"/>
      <c r="AC26" s="103"/>
      <c r="AD26" s="42" t="n">
        <v>0</v>
      </c>
    </row>
    <row r="27" s="42" customFormat="true" ht="18.75" hidden="false" customHeight="true" outlineLevel="0" collapsed="false">
      <c r="A27" s="740"/>
      <c r="C27" s="117"/>
      <c r="D27" s="198" t="s">
        <v>869</v>
      </c>
      <c r="E27" s="605" t="s">
        <v>870</v>
      </c>
      <c r="F27" s="146" t="s">
        <v>871</v>
      </c>
      <c r="G27" s="744"/>
      <c r="H27" s="747"/>
      <c r="I27" s="744"/>
      <c r="J27" s="747"/>
      <c r="K27" s="744"/>
      <c r="L27" s="747"/>
      <c r="M27" s="744"/>
      <c r="N27" s="747"/>
      <c r="O27" s="744"/>
      <c r="P27" s="747"/>
      <c r="Q27" s="265"/>
      <c r="R27" s="742"/>
      <c r="AC27" s="103"/>
      <c r="AD27" s="42" t="n">
        <v>0</v>
      </c>
    </row>
    <row r="28" s="42" customFormat="true" ht="18.75" hidden="false" customHeight="true" outlineLevel="0" collapsed="false">
      <c r="A28" s="740"/>
      <c r="C28" s="117"/>
      <c r="D28" s="198" t="s">
        <v>872</v>
      </c>
      <c r="E28" s="636" t="s">
        <v>873</v>
      </c>
      <c r="F28" s="146" t="s">
        <v>319</v>
      </c>
      <c r="G28" s="146" t="s">
        <v>319</v>
      </c>
      <c r="H28" s="262" t="s">
        <v>319</v>
      </c>
      <c r="I28" s="146" t="s">
        <v>319</v>
      </c>
      <c r="J28" s="262" t="s">
        <v>319</v>
      </c>
      <c r="K28" s="146" t="s">
        <v>319</v>
      </c>
      <c r="L28" s="262" t="s">
        <v>319</v>
      </c>
      <c r="M28" s="146" t="s">
        <v>319</v>
      </c>
      <c r="N28" s="262" t="s">
        <v>319</v>
      </c>
      <c r="O28" s="146" t="s">
        <v>319</v>
      </c>
      <c r="P28" s="262" t="s">
        <v>319</v>
      </c>
      <c r="Q28" s="265"/>
      <c r="R28" s="742"/>
      <c r="AC28" s="103"/>
      <c r="AD28" s="42" t="n">
        <v>0</v>
      </c>
    </row>
    <row r="29" s="42" customFormat="true" ht="18.75" hidden="false" customHeight="true" outlineLevel="0" collapsed="false">
      <c r="A29" s="740"/>
      <c r="C29" s="117"/>
      <c r="D29" s="198" t="s">
        <v>874</v>
      </c>
      <c r="E29" s="605" t="s">
        <v>867</v>
      </c>
      <c r="F29" s="146" t="s">
        <v>875</v>
      </c>
      <c r="G29" s="744"/>
      <c r="H29" s="747"/>
      <c r="I29" s="744"/>
      <c r="J29" s="747"/>
      <c r="K29" s="744"/>
      <c r="L29" s="747"/>
      <c r="M29" s="744"/>
      <c r="N29" s="747"/>
      <c r="O29" s="744"/>
      <c r="P29" s="747"/>
      <c r="Q29" s="265"/>
      <c r="R29" s="742"/>
      <c r="AC29" s="103"/>
      <c r="AD29" s="42" t="n">
        <v>0</v>
      </c>
    </row>
    <row r="30" s="42" customFormat="true" ht="18.75" hidden="false" customHeight="true" outlineLevel="0" collapsed="false">
      <c r="A30" s="740"/>
      <c r="C30" s="117"/>
      <c r="D30" s="198" t="s">
        <v>876</v>
      </c>
      <c r="E30" s="605" t="s">
        <v>877</v>
      </c>
      <c r="F30" s="146" t="s">
        <v>878</v>
      </c>
      <c r="G30" s="744"/>
      <c r="H30" s="747"/>
      <c r="I30" s="744"/>
      <c r="J30" s="747"/>
      <c r="K30" s="744"/>
      <c r="L30" s="747"/>
      <c r="M30" s="744"/>
      <c r="N30" s="747"/>
      <c r="O30" s="744"/>
      <c r="P30" s="747"/>
      <c r="Q30" s="265"/>
      <c r="R30" s="742"/>
      <c r="AC30" s="103"/>
      <c r="AD30" s="42" t="n">
        <v>0</v>
      </c>
    </row>
    <row r="31" customFormat="false" ht="126.75" hidden="false" customHeight="true" outlineLevel="0" collapsed="false">
      <c r="A31" s="740"/>
      <c r="D31" s="198" t="s">
        <v>121</v>
      </c>
      <c r="E31" s="619" t="s">
        <v>879</v>
      </c>
      <c r="F31" s="135" t="s">
        <v>571</v>
      </c>
      <c r="G31" s="620"/>
      <c r="H31" s="741"/>
      <c r="I31" s="620" t="n">
        <v>100</v>
      </c>
      <c r="J31" s="741"/>
      <c r="K31" s="620" t="n">
        <v>100</v>
      </c>
      <c r="L31" s="741"/>
      <c r="M31" s="620" t="n">
        <v>100</v>
      </c>
      <c r="N31" s="741"/>
      <c r="O31" s="620" t="n">
        <v>100</v>
      </c>
      <c r="P31" s="741"/>
      <c r="Q31" s="417" t="s">
        <v>880</v>
      </c>
      <c r="R31" s="742"/>
      <c r="AD31" s="42" t="n">
        <v>0</v>
      </c>
    </row>
    <row r="32" customFormat="false" ht="56.25" hidden="false" customHeight="true" outlineLevel="0" collapsed="false">
      <c r="A32" s="740"/>
      <c r="D32" s="198" t="s">
        <v>91</v>
      </c>
      <c r="E32" s="619" t="s">
        <v>881</v>
      </c>
      <c r="F32" s="198" t="s">
        <v>850</v>
      </c>
      <c r="G32" s="620"/>
      <c r="H32" s="741"/>
      <c r="I32" s="620" t="n">
        <v>0</v>
      </c>
      <c r="J32" s="741"/>
      <c r="K32" s="620" t="n">
        <v>0</v>
      </c>
      <c r="L32" s="741"/>
      <c r="M32" s="620" t="n">
        <v>0</v>
      </c>
      <c r="N32" s="741"/>
      <c r="O32" s="620" t="n">
        <v>0</v>
      </c>
      <c r="P32" s="741"/>
      <c r="Q32" s="417" t="s">
        <v>882</v>
      </c>
      <c r="R32" s="742"/>
      <c r="AD32" s="42" t="n">
        <v>0</v>
      </c>
    </row>
    <row r="33" customFormat="false" ht="11.25" hidden="false" customHeight="true" outlineLevel="0" collapsed="false">
      <c r="A33" s="740"/>
      <c r="E33" s="410"/>
      <c r="F33" s="171"/>
      <c r="G33" s="171"/>
      <c r="H33" s="171"/>
      <c r="I33" s="171"/>
      <c r="J33" s="171"/>
      <c r="K33" s="171"/>
      <c r="L33" s="171"/>
      <c r="M33" s="171"/>
      <c r="N33" s="171"/>
      <c r="O33" s="171"/>
      <c r="P33" s="171"/>
      <c r="Q33" s="171"/>
      <c r="AD33" s="42" t="n">
        <v>0</v>
      </c>
    </row>
    <row r="34" customFormat="false" ht="12.75" hidden="false" customHeight="true" outlineLevel="0" collapsed="false">
      <c r="A34" s="740"/>
      <c r="D34" s="341" t="n">
        <v>1</v>
      </c>
      <c r="E34" s="748" t="s">
        <v>883</v>
      </c>
      <c r="AD34" s="42" t="n">
        <v>0</v>
      </c>
    </row>
    <row r="35" customFormat="false" ht="11.25" hidden="false" customHeight="true" outlineLevel="0" collapsed="false">
      <c r="A35" s="740"/>
      <c r="D35" s="341"/>
      <c r="E35" s="748" t="s">
        <v>884</v>
      </c>
      <c r="AD35" s="42" t="n">
        <v>0</v>
      </c>
    </row>
    <row r="36" s="42" customFormat="true" ht="11.25" hidden="false" customHeight="true" outlineLevel="0" collapsed="false">
      <c r="A36" s="113"/>
      <c r="B36" s="47"/>
      <c r="D36" s="341"/>
      <c r="E36" s="748"/>
      <c r="AD36" s="42" t="n">
        <v>11</v>
      </c>
    </row>
    <row r="37" s="42" customFormat="true" ht="22.5" hidden="true" customHeight="true" outlineLevel="0" collapsed="false">
      <c r="A37" s="740" t="s">
        <v>885</v>
      </c>
      <c r="B37" s="47"/>
      <c r="D37" s="198" t="n">
        <v>1</v>
      </c>
      <c r="E37" s="619" t="s">
        <v>886</v>
      </c>
      <c r="F37" s="135" t="s">
        <v>840</v>
      </c>
      <c r="G37" s="620"/>
      <c r="H37" s="749"/>
      <c r="I37" s="620"/>
      <c r="J37" s="749"/>
      <c r="K37" s="620"/>
      <c r="L37" s="749"/>
      <c r="M37" s="620"/>
      <c r="N37" s="749"/>
      <c r="O37" s="620"/>
      <c r="P37" s="749"/>
      <c r="Q37" s="417" t="s">
        <v>887</v>
      </c>
      <c r="AD37" s="42" t="n">
        <v>0</v>
      </c>
    </row>
    <row r="38" s="42" customFormat="true" ht="22.5" hidden="true" customHeight="true" outlineLevel="0" collapsed="false">
      <c r="A38" s="740"/>
      <c r="B38" s="47"/>
      <c r="D38" s="750" t="s">
        <v>102</v>
      </c>
      <c r="E38" s="751" t="s">
        <v>888</v>
      </c>
      <c r="F38" s="752" t="s">
        <v>559</v>
      </c>
      <c r="G38" s="752" t="s">
        <v>559</v>
      </c>
      <c r="H38" s="753"/>
      <c r="I38" s="752" t="s">
        <v>559</v>
      </c>
      <c r="J38" s="753"/>
      <c r="K38" s="752" t="s">
        <v>559</v>
      </c>
      <c r="L38" s="753"/>
      <c r="M38" s="752" t="s">
        <v>559</v>
      </c>
      <c r="N38" s="753"/>
      <c r="O38" s="752" t="s">
        <v>559</v>
      </c>
      <c r="P38" s="753"/>
      <c r="Q38" s="477"/>
      <c r="AD38" s="42" t="n">
        <v>0</v>
      </c>
    </row>
    <row r="39" s="42" customFormat="true" ht="33.75" hidden="true" customHeight="true" outlineLevel="0" collapsed="false">
      <c r="A39" s="740"/>
      <c r="B39" s="47"/>
      <c r="D39" s="754" t="s">
        <v>742</v>
      </c>
      <c r="E39" s="755" t="s">
        <v>889</v>
      </c>
      <c r="F39" s="135" t="s">
        <v>890</v>
      </c>
      <c r="G39" s="756"/>
      <c r="H39" s="757"/>
      <c r="I39" s="756"/>
      <c r="J39" s="757"/>
      <c r="K39" s="756"/>
      <c r="L39" s="757"/>
      <c r="M39" s="756"/>
      <c r="N39" s="757"/>
      <c r="O39" s="756"/>
      <c r="P39" s="757"/>
      <c r="Q39" s="417" t="s">
        <v>891</v>
      </c>
      <c r="AD39" s="42" t="n">
        <v>0</v>
      </c>
    </row>
    <row r="40" s="42" customFormat="true" ht="33.75" hidden="true" customHeight="true" outlineLevel="0" collapsed="false">
      <c r="A40" s="740"/>
      <c r="B40" s="47"/>
      <c r="D40" s="754" t="s">
        <v>745</v>
      </c>
      <c r="E40" s="755" t="s">
        <v>892</v>
      </c>
      <c r="F40" s="758" t="s">
        <v>893</v>
      </c>
      <c r="G40" s="759"/>
      <c r="H40" s="757"/>
      <c r="I40" s="759"/>
      <c r="J40" s="757"/>
      <c r="K40" s="759"/>
      <c r="L40" s="757"/>
      <c r="M40" s="759"/>
      <c r="N40" s="757"/>
      <c r="O40" s="759"/>
      <c r="P40" s="757"/>
      <c r="Q40" s="417" t="s">
        <v>894</v>
      </c>
      <c r="AD40" s="42" t="n">
        <v>0</v>
      </c>
    </row>
    <row r="41" s="42" customFormat="true" ht="22.5" hidden="true" customHeight="true" outlineLevel="0" collapsed="false">
      <c r="A41" s="740"/>
      <c r="B41" s="47"/>
      <c r="D41" s="754" t="s">
        <v>89</v>
      </c>
      <c r="E41" s="760" t="s">
        <v>895</v>
      </c>
      <c r="F41" s="135" t="s">
        <v>559</v>
      </c>
      <c r="G41" s="135" t="s">
        <v>559</v>
      </c>
      <c r="H41" s="761"/>
      <c r="I41" s="135" t="s">
        <v>559</v>
      </c>
      <c r="J41" s="761"/>
      <c r="K41" s="135" t="s">
        <v>559</v>
      </c>
      <c r="L41" s="761"/>
      <c r="M41" s="135" t="s">
        <v>559</v>
      </c>
      <c r="N41" s="761"/>
      <c r="O41" s="135" t="s">
        <v>559</v>
      </c>
      <c r="P41" s="761"/>
      <c r="Q41" s="478"/>
      <c r="AD41" s="42" t="n">
        <v>0</v>
      </c>
    </row>
    <row r="42" s="42" customFormat="true" ht="45" hidden="true" customHeight="true" outlineLevel="0" collapsed="false">
      <c r="A42" s="740"/>
      <c r="B42" s="47"/>
      <c r="D42" s="754" t="s">
        <v>337</v>
      </c>
      <c r="E42" s="755" t="s">
        <v>896</v>
      </c>
      <c r="F42" s="135" t="s">
        <v>571</v>
      </c>
      <c r="G42" s="620"/>
      <c r="H42" s="761"/>
      <c r="I42" s="620"/>
      <c r="J42" s="761"/>
      <c r="K42" s="620"/>
      <c r="L42" s="761"/>
      <c r="M42" s="620"/>
      <c r="N42" s="761"/>
      <c r="O42" s="620"/>
      <c r="P42" s="761"/>
      <c r="Q42" s="478" t="s">
        <v>897</v>
      </c>
      <c r="AD42" s="42" t="n">
        <v>0</v>
      </c>
    </row>
    <row r="43" s="42" customFormat="true" ht="45" hidden="true" customHeight="true" outlineLevel="0" collapsed="false">
      <c r="A43" s="740"/>
      <c r="B43" s="47"/>
      <c r="D43" s="754" t="s">
        <v>345</v>
      </c>
      <c r="E43" s="762" t="s">
        <v>898</v>
      </c>
      <c r="F43" s="763" t="s">
        <v>571</v>
      </c>
      <c r="G43" s="656"/>
      <c r="H43" s="757"/>
      <c r="I43" s="656"/>
      <c r="J43" s="757"/>
      <c r="K43" s="656"/>
      <c r="L43" s="757"/>
      <c r="M43" s="656"/>
      <c r="N43" s="757"/>
      <c r="O43" s="656"/>
      <c r="P43" s="757"/>
      <c r="Q43" s="478" t="s">
        <v>899</v>
      </c>
      <c r="AD43" s="42" t="n">
        <v>0</v>
      </c>
    </row>
    <row r="44" s="42" customFormat="true" ht="11.25" hidden="true" customHeight="true" outlineLevel="0" collapsed="false">
      <c r="A44" s="740"/>
      <c r="B44" s="47"/>
      <c r="D44" s="754" t="s">
        <v>90</v>
      </c>
      <c r="E44" s="764" t="s">
        <v>900</v>
      </c>
      <c r="F44" s="135" t="s">
        <v>890</v>
      </c>
      <c r="G44" s="756"/>
      <c r="H44" s="757"/>
      <c r="I44" s="756"/>
      <c r="J44" s="757"/>
      <c r="K44" s="756"/>
      <c r="L44" s="757"/>
      <c r="M44" s="756"/>
      <c r="N44" s="757"/>
      <c r="O44" s="756"/>
      <c r="P44" s="757"/>
      <c r="Q44" s="417"/>
      <c r="AD44" s="42" t="n">
        <v>0</v>
      </c>
    </row>
    <row r="45" s="42" customFormat="true" ht="11.25" hidden="true" customHeight="true" outlineLevel="0" collapsed="false">
      <c r="A45" s="740"/>
      <c r="B45" s="47"/>
      <c r="D45" s="754" t="s">
        <v>784</v>
      </c>
      <c r="E45" s="762" t="s">
        <v>901</v>
      </c>
      <c r="F45" s="135" t="s">
        <v>890</v>
      </c>
      <c r="G45" s="756"/>
      <c r="H45" s="757"/>
      <c r="I45" s="756"/>
      <c r="J45" s="757"/>
      <c r="K45" s="756"/>
      <c r="L45" s="757"/>
      <c r="M45" s="756"/>
      <c r="N45" s="757"/>
      <c r="O45" s="756"/>
      <c r="P45" s="757"/>
      <c r="Q45" s="417"/>
      <c r="AD45" s="42" t="n">
        <v>0</v>
      </c>
    </row>
    <row r="46" s="42" customFormat="true" ht="11.25" hidden="true" customHeight="true" outlineLevel="0" collapsed="false">
      <c r="A46" s="740"/>
      <c r="B46" s="47"/>
      <c r="D46" s="754" t="s">
        <v>826</v>
      </c>
      <c r="E46" s="762" t="s">
        <v>902</v>
      </c>
      <c r="F46" s="135" t="s">
        <v>890</v>
      </c>
      <c r="G46" s="756"/>
      <c r="H46" s="757"/>
      <c r="I46" s="756"/>
      <c r="J46" s="757"/>
      <c r="K46" s="756"/>
      <c r="L46" s="757"/>
      <c r="M46" s="756"/>
      <c r="N46" s="757"/>
      <c r="O46" s="756"/>
      <c r="P46" s="757"/>
      <c r="Q46" s="417"/>
      <c r="AD46" s="42" t="n">
        <v>0</v>
      </c>
    </row>
    <row r="47" s="42" customFormat="true" ht="11.25" hidden="true" customHeight="true" outlineLevel="0" collapsed="false">
      <c r="A47" s="740"/>
      <c r="B47" s="47"/>
      <c r="D47" s="754" t="s">
        <v>829</v>
      </c>
      <c r="E47" s="762" t="s">
        <v>903</v>
      </c>
      <c r="F47" s="135" t="s">
        <v>890</v>
      </c>
      <c r="G47" s="756"/>
      <c r="H47" s="757"/>
      <c r="I47" s="756"/>
      <c r="J47" s="757"/>
      <c r="K47" s="756"/>
      <c r="L47" s="757"/>
      <c r="M47" s="756"/>
      <c r="N47" s="757"/>
      <c r="O47" s="756"/>
      <c r="P47" s="757"/>
      <c r="Q47" s="417"/>
      <c r="AD47" s="42" t="n">
        <v>0</v>
      </c>
    </row>
    <row r="48" s="42" customFormat="true" ht="11.25" hidden="true" customHeight="true" outlineLevel="0" collapsed="false">
      <c r="A48" s="740"/>
      <c r="B48" s="47"/>
      <c r="D48" s="754" t="s">
        <v>904</v>
      </c>
      <c r="E48" s="765" t="s">
        <v>905</v>
      </c>
      <c r="F48" s="135" t="s">
        <v>890</v>
      </c>
      <c r="G48" s="756"/>
      <c r="H48" s="757"/>
      <c r="I48" s="756"/>
      <c r="J48" s="757"/>
      <c r="K48" s="756"/>
      <c r="L48" s="757"/>
      <c r="M48" s="756"/>
      <c r="N48" s="757"/>
      <c r="O48" s="756"/>
      <c r="P48" s="757"/>
      <c r="Q48" s="417"/>
      <c r="AD48" s="42" t="n">
        <v>0</v>
      </c>
    </row>
    <row r="49" s="42" customFormat="true" ht="11.25" hidden="true" customHeight="true" outlineLevel="0" collapsed="false">
      <c r="A49" s="740"/>
      <c r="B49" s="47"/>
      <c r="D49" s="754" t="s">
        <v>906</v>
      </c>
      <c r="E49" s="765" t="s">
        <v>907</v>
      </c>
      <c r="F49" s="135" t="s">
        <v>890</v>
      </c>
      <c r="G49" s="756"/>
      <c r="H49" s="757"/>
      <c r="I49" s="756"/>
      <c r="J49" s="757"/>
      <c r="K49" s="756"/>
      <c r="L49" s="757"/>
      <c r="M49" s="756"/>
      <c r="N49" s="757"/>
      <c r="O49" s="756"/>
      <c r="P49" s="757"/>
      <c r="Q49" s="417"/>
      <c r="AD49" s="42" t="n">
        <v>0</v>
      </c>
    </row>
    <row r="50" s="42" customFormat="true" ht="11.25" hidden="true" customHeight="true" outlineLevel="0" collapsed="false">
      <c r="A50" s="740"/>
      <c r="B50" s="47"/>
      <c r="D50" s="754" t="s">
        <v>908</v>
      </c>
      <c r="E50" s="762" t="s">
        <v>909</v>
      </c>
      <c r="F50" s="135" t="s">
        <v>890</v>
      </c>
      <c r="G50" s="756"/>
      <c r="H50" s="757"/>
      <c r="I50" s="756"/>
      <c r="J50" s="757"/>
      <c r="K50" s="756"/>
      <c r="L50" s="757"/>
      <c r="M50" s="756"/>
      <c r="N50" s="757"/>
      <c r="O50" s="756"/>
      <c r="P50" s="757"/>
      <c r="Q50" s="417"/>
      <c r="AD50" s="42" t="n">
        <v>0</v>
      </c>
    </row>
    <row r="51" s="42" customFormat="true" ht="11.25" hidden="true" customHeight="true" outlineLevel="0" collapsed="false">
      <c r="A51" s="740"/>
      <c r="B51" s="47"/>
      <c r="D51" s="754" t="s">
        <v>910</v>
      </c>
      <c r="E51" s="762" t="s">
        <v>911</v>
      </c>
      <c r="F51" s="135" t="s">
        <v>890</v>
      </c>
      <c r="G51" s="756"/>
      <c r="H51" s="757"/>
      <c r="I51" s="756"/>
      <c r="J51" s="757"/>
      <c r="K51" s="756"/>
      <c r="L51" s="757"/>
      <c r="M51" s="756"/>
      <c r="N51" s="757"/>
      <c r="O51" s="756"/>
      <c r="P51" s="757"/>
      <c r="Q51" s="417"/>
      <c r="AD51" s="42" t="n">
        <v>0</v>
      </c>
    </row>
    <row r="52" s="42" customFormat="true" ht="45" hidden="true" customHeight="true" outlineLevel="0" collapsed="false">
      <c r="A52" s="740"/>
      <c r="B52" s="47"/>
      <c r="D52" s="754" t="s">
        <v>121</v>
      </c>
      <c r="E52" s="764" t="s">
        <v>912</v>
      </c>
      <c r="F52" s="135" t="s">
        <v>890</v>
      </c>
      <c r="G52" s="756"/>
      <c r="H52" s="757"/>
      <c r="I52" s="756"/>
      <c r="J52" s="757"/>
      <c r="K52" s="756"/>
      <c r="L52" s="757"/>
      <c r="M52" s="756"/>
      <c r="N52" s="757"/>
      <c r="O52" s="756"/>
      <c r="P52" s="757"/>
      <c r="Q52" s="417"/>
      <c r="AD52" s="42" t="n">
        <v>0</v>
      </c>
    </row>
    <row r="53" s="42" customFormat="true" ht="11.25" hidden="true" customHeight="true" outlineLevel="0" collapsed="false">
      <c r="A53" s="740"/>
      <c r="B53" s="47"/>
      <c r="D53" s="754" t="s">
        <v>326</v>
      </c>
      <c r="E53" s="762" t="s">
        <v>901</v>
      </c>
      <c r="F53" s="135" t="s">
        <v>890</v>
      </c>
      <c r="G53" s="756"/>
      <c r="H53" s="757"/>
      <c r="I53" s="756"/>
      <c r="J53" s="757"/>
      <c r="K53" s="756"/>
      <c r="L53" s="757"/>
      <c r="M53" s="756"/>
      <c r="N53" s="757"/>
      <c r="O53" s="756"/>
      <c r="P53" s="757"/>
      <c r="Q53" s="417"/>
      <c r="AD53" s="42" t="n">
        <v>0</v>
      </c>
    </row>
    <row r="54" s="42" customFormat="true" ht="11.25" hidden="true" customHeight="true" outlineLevel="0" collapsed="false">
      <c r="A54" s="740"/>
      <c r="B54" s="47"/>
      <c r="D54" s="754" t="s">
        <v>913</v>
      </c>
      <c r="E54" s="762" t="s">
        <v>902</v>
      </c>
      <c r="F54" s="135" t="s">
        <v>890</v>
      </c>
      <c r="G54" s="756"/>
      <c r="H54" s="757"/>
      <c r="I54" s="756"/>
      <c r="J54" s="757"/>
      <c r="K54" s="756"/>
      <c r="L54" s="757"/>
      <c r="M54" s="756"/>
      <c r="N54" s="757"/>
      <c r="O54" s="756"/>
      <c r="P54" s="757"/>
      <c r="Q54" s="417"/>
      <c r="AD54" s="42" t="n">
        <v>0</v>
      </c>
    </row>
    <row r="55" s="42" customFormat="true" ht="11.25" hidden="true" customHeight="true" outlineLevel="0" collapsed="false">
      <c r="A55" s="740"/>
      <c r="B55" s="47"/>
      <c r="D55" s="754" t="s">
        <v>914</v>
      </c>
      <c r="E55" s="762" t="s">
        <v>903</v>
      </c>
      <c r="F55" s="135" t="s">
        <v>890</v>
      </c>
      <c r="G55" s="756"/>
      <c r="H55" s="757"/>
      <c r="I55" s="756"/>
      <c r="J55" s="757"/>
      <c r="K55" s="756"/>
      <c r="L55" s="757"/>
      <c r="M55" s="756"/>
      <c r="N55" s="757"/>
      <c r="O55" s="756"/>
      <c r="P55" s="757"/>
      <c r="Q55" s="417"/>
      <c r="AD55" s="42" t="n">
        <v>0</v>
      </c>
    </row>
    <row r="56" s="42" customFormat="true" ht="11.25" hidden="true" customHeight="true" outlineLevel="0" collapsed="false">
      <c r="A56" s="740"/>
      <c r="B56" s="47"/>
      <c r="D56" s="754" t="s">
        <v>915</v>
      </c>
      <c r="E56" s="765" t="s">
        <v>905</v>
      </c>
      <c r="F56" s="135" t="s">
        <v>890</v>
      </c>
      <c r="G56" s="756"/>
      <c r="H56" s="757"/>
      <c r="I56" s="756"/>
      <c r="J56" s="757"/>
      <c r="K56" s="756"/>
      <c r="L56" s="757"/>
      <c r="M56" s="756"/>
      <c r="N56" s="757"/>
      <c r="O56" s="756"/>
      <c r="P56" s="757"/>
      <c r="Q56" s="417"/>
      <c r="AD56" s="42" t="n">
        <v>0</v>
      </c>
    </row>
    <row r="57" s="42" customFormat="true" ht="11.25" hidden="true" customHeight="true" outlineLevel="0" collapsed="false">
      <c r="A57" s="740"/>
      <c r="B57" s="47"/>
      <c r="D57" s="754" t="s">
        <v>916</v>
      </c>
      <c r="E57" s="765" t="s">
        <v>907</v>
      </c>
      <c r="F57" s="135" t="s">
        <v>890</v>
      </c>
      <c r="G57" s="756"/>
      <c r="H57" s="757"/>
      <c r="I57" s="756"/>
      <c r="J57" s="757"/>
      <c r="K57" s="756"/>
      <c r="L57" s="757"/>
      <c r="M57" s="756"/>
      <c r="N57" s="757"/>
      <c r="O57" s="756"/>
      <c r="P57" s="757"/>
      <c r="Q57" s="417"/>
      <c r="AD57" s="42" t="n">
        <v>0</v>
      </c>
    </row>
    <row r="58" s="42" customFormat="true" ht="11.25" hidden="true" customHeight="true" outlineLevel="0" collapsed="false">
      <c r="A58" s="740"/>
      <c r="B58" s="47"/>
      <c r="D58" s="754" t="s">
        <v>917</v>
      </c>
      <c r="E58" s="762" t="s">
        <v>909</v>
      </c>
      <c r="F58" s="135" t="s">
        <v>890</v>
      </c>
      <c r="G58" s="756"/>
      <c r="H58" s="757"/>
      <c r="I58" s="756"/>
      <c r="J58" s="757"/>
      <c r="K58" s="756"/>
      <c r="L58" s="757"/>
      <c r="M58" s="756"/>
      <c r="N58" s="757"/>
      <c r="O58" s="756"/>
      <c r="P58" s="757"/>
      <c r="Q58" s="417"/>
      <c r="AD58" s="42" t="n">
        <v>0</v>
      </c>
    </row>
    <row r="59" s="42" customFormat="true" ht="11.25" hidden="true" customHeight="true" outlineLevel="0" collapsed="false">
      <c r="A59" s="740"/>
      <c r="B59" s="47"/>
      <c r="D59" s="754" t="s">
        <v>918</v>
      </c>
      <c r="E59" s="762" t="s">
        <v>911</v>
      </c>
      <c r="F59" s="135" t="s">
        <v>890</v>
      </c>
      <c r="G59" s="756"/>
      <c r="H59" s="757"/>
      <c r="I59" s="756"/>
      <c r="J59" s="757"/>
      <c r="K59" s="756"/>
      <c r="L59" s="757"/>
      <c r="M59" s="756"/>
      <c r="N59" s="757"/>
      <c r="O59" s="756"/>
      <c r="P59" s="757"/>
      <c r="Q59" s="417"/>
      <c r="AD59" s="42" t="n">
        <v>0</v>
      </c>
    </row>
    <row r="60" s="42" customFormat="true" ht="33.75" hidden="true" customHeight="true" outlineLevel="0" collapsed="false">
      <c r="A60" s="740"/>
      <c r="B60" s="47"/>
      <c r="D60" s="754" t="s">
        <v>91</v>
      </c>
      <c r="E60" s="764" t="s">
        <v>919</v>
      </c>
      <c r="F60" s="766" t="s">
        <v>571</v>
      </c>
      <c r="G60" s="656"/>
      <c r="H60" s="757"/>
      <c r="I60" s="656"/>
      <c r="J60" s="757"/>
      <c r="K60" s="656"/>
      <c r="L60" s="757"/>
      <c r="M60" s="656"/>
      <c r="N60" s="757"/>
      <c r="O60" s="656"/>
      <c r="P60" s="757"/>
      <c r="Q60" s="478" t="s">
        <v>920</v>
      </c>
      <c r="AD60" s="42" t="n">
        <v>0</v>
      </c>
    </row>
    <row r="61" s="42" customFormat="true" ht="33.75" hidden="true" customHeight="true" outlineLevel="0" collapsed="false">
      <c r="A61" s="740"/>
      <c r="B61" s="47"/>
      <c r="D61" s="754" t="s">
        <v>92</v>
      </c>
      <c r="E61" s="764" t="s">
        <v>921</v>
      </c>
      <c r="F61" s="767" t="s">
        <v>850</v>
      </c>
      <c r="G61" s="756"/>
      <c r="H61" s="757"/>
      <c r="I61" s="756"/>
      <c r="J61" s="757"/>
      <c r="K61" s="756"/>
      <c r="L61" s="757"/>
      <c r="M61" s="756"/>
      <c r="N61" s="757"/>
      <c r="O61" s="756"/>
      <c r="P61" s="757"/>
      <c r="Q61" s="417"/>
      <c r="AD61" s="42" t="n">
        <v>0</v>
      </c>
    </row>
    <row r="62" s="42" customFormat="true" ht="22.5" hidden="true" customHeight="true" outlineLevel="0" collapsed="false">
      <c r="A62" s="740"/>
      <c r="B62" s="47" t="s">
        <v>616</v>
      </c>
      <c r="D62" s="754" t="s">
        <v>122</v>
      </c>
      <c r="E62" s="764" t="s">
        <v>922</v>
      </c>
      <c r="F62" s="767" t="s">
        <v>319</v>
      </c>
      <c r="G62" s="403"/>
      <c r="H62" s="757"/>
      <c r="I62" s="403"/>
      <c r="J62" s="757"/>
      <c r="K62" s="403"/>
      <c r="L62" s="757"/>
      <c r="M62" s="403"/>
      <c r="N62" s="757"/>
      <c r="O62" s="403"/>
      <c r="P62" s="757"/>
      <c r="Q62" s="417" t="s">
        <v>662</v>
      </c>
      <c r="AD62" s="42" t="n">
        <v>0</v>
      </c>
    </row>
    <row r="63" s="42" customFormat="true" ht="45" hidden="true" customHeight="true" outlineLevel="0" collapsed="false">
      <c r="A63" s="740"/>
      <c r="B63" s="47" t="s">
        <v>616</v>
      </c>
      <c r="D63" s="754" t="s">
        <v>923</v>
      </c>
      <c r="E63" s="762" t="s">
        <v>924</v>
      </c>
      <c r="F63" s="766" t="s">
        <v>319</v>
      </c>
      <c r="G63" s="403"/>
      <c r="H63" s="757"/>
      <c r="I63" s="403"/>
      <c r="J63" s="757"/>
      <c r="K63" s="403"/>
      <c r="L63" s="757"/>
      <c r="M63" s="403"/>
      <c r="N63" s="757"/>
      <c r="O63" s="403"/>
      <c r="P63" s="757"/>
      <c r="Q63" s="417" t="s">
        <v>662</v>
      </c>
      <c r="AD63" s="42" t="n">
        <v>0</v>
      </c>
    </row>
    <row r="64" s="42" customFormat="true" ht="11.25" hidden="false" customHeight="true" outlineLevel="0" collapsed="false">
      <c r="A64" s="113"/>
      <c r="B64" s="47"/>
      <c r="D64" s="341"/>
      <c r="E64" s="748"/>
      <c r="AD64" s="42" t="n">
        <v>11</v>
      </c>
    </row>
    <row r="65" s="42" customFormat="true" ht="22.5" hidden="true" customHeight="true" outlineLevel="0" collapsed="false">
      <c r="A65" s="740" t="s">
        <v>925</v>
      </c>
      <c r="B65" s="47"/>
      <c r="D65" s="754" t="n">
        <v>1</v>
      </c>
      <c r="E65" s="768" t="s">
        <v>926</v>
      </c>
      <c r="F65" s="769" t="s">
        <v>840</v>
      </c>
      <c r="G65" s="759"/>
      <c r="H65" s="770"/>
      <c r="I65" s="759"/>
      <c r="J65" s="770"/>
      <c r="K65" s="759"/>
      <c r="L65" s="770"/>
      <c r="M65" s="759"/>
      <c r="N65" s="770"/>
      <c r="O65" s="759"/>
      <c r="P65" s="770"/>
      <c r="Q65" s="475" t="s">
        <v>927</v>
      </c>
      <c r="AD65" s="42" t="n">
        <v>0</v>
      </c>
    </row>
    <row r="66" s="42" customFormat="true" ht="56.25" hidden="true" customHeight="true" outlineLevel="0" collapsed="false">
      <c r="A66" s="740"/>
      <c r="B66" s="47"/>
      <c r="D66" s="771" t="s">
        <v>102</v>
      </c>
      <c r="E66" s="619" t="s">
        <v>928</v>
      </c>
      <c r="F66" s="135" t="s">
        <v>559</v>
      </c>
      <c r="G66" s="135" t="s">
        <v>559</v>
      </c>
      <c r="H66" s="749"/>
      <c r="I66" s="135" t="s">
        <v>559</v>
      </c>
      <c r="J66" s="749"/>
      <c r="K66" s="135" t="s">
        <v>559</v>
      </c>
      <c r="L66" s="749"/>
      <c r="M66" s="135" t="s">
        <v>559</v>
      </c>
      <c r="N66" s="749"/>
      <c r="O66" s="135" t="s">
        <v>559</v>
      </c>
      <c r="P66" s="749"/>
      <c r="Q66" s="417"/>
      <c r="AD66" s="42" t="n">
        <v>0</v>
      </c>
    </row>
    <row r="67" s="42" customFormat="true" ht="33.75" hidden="true" customHeight="true" outlineLevel="0" collapsed="false">
      <c r="A67" s="740"/>
      <c r="B67" s="47"/>
      <c r="D67" s="771" t="s">
        <v>739</v>
      </c>
      <c r="E67" s="568" t="s">
        <v>929</v>
      </c>
      <c r="F67" s="135" t="s">
        <v>893</v>
      </c>
      <c r="G67" s="717"/>
      <c r="H67" s="749"/>
      <c r="I67" s="717"/>
      <c r="J67" s="749"/>
      <c r="K67" s="717"/>
      <c r="L67" s="749"/>
      <c r="M67" s="717"/>
      <c r="N67" s="749"/>
      <c r="O67" s="717"/>
      <c r="P67" s="749"/>
      <c r="Q67" s="417"/>
      <c r="AD67" s="42" t="n">
        <v>0</v>
      </c>
    </row>
    <row r="68" s="42" customFormat="true" ht="22.5" hidden="true" customHeight="true" outlineLevel="0" collapsed="false">
      <c r="A68" s="740"/>
      <c r="B68" s="47"/>
      <c r="D68" s="771" t="s">
        <v>320</v>
      </c>
      <c r="E68" s="568" t="s">
        <v>930</v>
      </c>
      <c r="F68" s="135" t="s">
        <v>893</v>
      </c>
      <c r="G68" s="717"/>
      <c r="H68" s="749"/>
      <c r="I68" s="717"/>
      <c r="J68" s="749"/>
      <c r="K68" s="717"/>
      <c r="L68" s="749"/>
      <c r="M68" s="717"/>
      <c r="N68" s="749"/>
      <c r="O68" s="717"/>
      <c r="P68" s="749"/>
      <c r="Q68" s="417"/>
      <c r="AD68" s="42" t="n">
        <v>0</v>
      </c>
    </row>
    <row r="69" s="42" customFormat="true" ht="22.5" hidden="true" customHeight="true" outlineLevel="0" collapsed="false">
      <c r="A69" s="740"/>
      <c r="B69" s="47"/>
      <c r="D69" s="771" t="s">
        <v>323</v>
      </c>
      <c r="E69" s="568" t="s">
        <v>931</v>
      </c>
      <c r="F69" s="766" t="s">
        <v>571</v>
      </c>
      <c r="G69" s="656"/>
      <c r="H69" s="749"/>
      <c r="I69" s="656"/>
      <c r="J69" s="749"/>
      <c r="K69" s="656"/>
      <c r="L69" s="749"/>
      <c r="M69" s="656"/>
      <c r="N69" s="749"/>
      <c r="O69" s="656"/>
      <c r="P69" s="749"/>
      <c r="Q69" s="417"/>
      <c r="AD69" s="42" t="n">
        <v>0</v>
      </c>
    </row>
    <row r="70" s="42" customFormat="true" ht="22.5" hidden="true" customHeight="true" outlineLevel="0" collapsed="false">
      <c r="A70" s="740"/>
      <c r="B70" s="47"/>
      <c r="D70" s="771" t="s">
        <v>759</v>
      </c>
      <c r="E70" s="568" t="s">
        <v>932</v>
      </c>
      <c r="F70" s="766" t="s">
        <v>571</v>
      </c>
      <c r="G70" s="656"/>
      <c r="H70" s="749"/>
      <c r="I70" s="656"/>
      <c r="J70" s="749"/>
      <c r="K70" s="656"/>
      <c r="L70" s="749"/>
      <c r="M70" s="656"/>
      <c r="N70" s="749"/>
      <c r="O70" s="656"/>
      <c r="P70" s="749"/>
      <c r="Q70" s="417"/>
      <c r="AD70" s="42" t="n">
        <v>0</v>
      </c>
    </row>
    <row r="71" s="42" customFormat="true" ht="22.5" hidden="true" customHeight="true" outlineLevel="0" collapsed="false">
      <c r="A71" s="740"/>
      <c r="B71" s="47"/>
      <c r="D71" s="754" t="s">
        <v>89</v>
      </c>
      <c r="E71" s="764" t="s">
        <v>933</v>
      </c>
      <c r="F71" s="135" t="s">
        <v>893</v>
      </c>
      <c r="G71" s="620"/>
      <c r="H71" s="753"/>
      <c r="I71" s="620"/>
      <c r="J71" s="753"/>
      <c r="K71" s="620"/>
      <c r="L71" s="753"/>
      <c r="M71" s="620"/>
      <c r="N71" s="753"/>
      <c r="O71" s="620"/>
      <c r="P71" s="753"/>
      <c r="Q71" s="478"/>
      <c r="AD71" s="42" t="n">
        <v>0</v>
      </c>
    </row>
    <row r="72" s="42" customFormat="true" ht="56.25" hidden="true" customHeight="true" outlineLevel="0" collapsed="false">
      <c r="A72" s="740"/>
      <c r="B72" s="47"/>
      <c r="D72" s="754" t="s">
        <v>90</v>
      </c>
      <c r="E72" s="764" t="s">
        <v>934</v>
      </c>
      <c r="F72" s="766" t="s">
        <v>571</v>
      </c>
      <c r="G72" s="656"/>
      <c r="H72" s="757"/>
      <c r="I72" s="656"/>
      <c r="J72" s="757"/>
      <c r="K72" s="656"/>
      <c r="L72" s="757"/>
      <c r="M72" s="656"/>
      <c r="N72" s="757"/>
      <c r="O72" s="656"/>
      <c r="P72" s="757"/>
      <c r="Q72" s="478"/>
      <c r="AD72" s="42" t="n">
        <v>0</v>
      </c>
    </row>
    <row r="73" s="42" customFormat="true" ht="33.75" hidden="true" customHeight="true" outlineLevel="0" collapsed="false">
      <c r="A73" s="740"/>
      <c r="B73" s="47"/>
      <c r="D73" s="754" t="s">
        <v>121</v>
      </c>
      <c r="E73" s="764" t="s">
        <v>935</v>
      </c>
      <c r="F73" s="767" t="s">
        <v>850</v>
      </c>
      <c r="G73" s="756"/>
      <c r="H73" s="757"/>
      <c r="I73" s="756"/>
      <c r="J73" s="757"/>
      <c r="K73" s="756"/>
      <c r="L73" s="757"/>
      <c r="M73" s="756"/>
      <c r="N73" s="757"/>
      <c r="O73" s="756"/>
      <c r="P73" s="757"/>
      <c r="Q73" s="417"/>
      <c r="AD73" s="42" t="n">
        <v>0</v>
      </c>
    </row>
    <row r="74" s="42" customFormat="true" ht="22.5" hidden="true" customHeight="true" outlineLevel="0" collapsed="false">
      <c r="A74" s="740"/>
      <c r="B74" s="47" t="s">
        <v>616</v>
      </c>
      <c r="D74" s="754" t="s">
        <v>91</v>
      </c>
      <c r="E74" s="764" t="s">
        <v>936</v>
      </c>
      <c r="F74" s="767" t="s">
        <v>319</v>
      </c>
      <c r="G74" s="403"/>
      <c r="H74" s="757"/>
      <c r="I74" s="403"/>
      <c r="J74" s="757"/>
      <c r="K74" s="403"/>
      <c r="L74" s="757"/>
      <c r="M74" s="403"/>
      <c r="N74" s="757"/>
      <c r="O74" s="403"/>
      <c r="P74" s="757"/>
      <c r="Q74" s="417" t="s">
        <v>662</v>
      </c>
      <c r="AD74" s="42" t="n">
        <v>0</v>
      </c>
    </row>
    <row r="75" s="42" customFormat="true" ht="45" hidden="true" customHeight="true" outlineLevel="0" collapsed="false">
      <c r="A75" s="740"/>
      <c r="B75" s="47" t="s">
        <v>616</v>
      </c>
      <c r="D75" s="754" t="s">
        <v>683</v>
      </c>
      <c r="E75" s="762" t="s">
        <v>937</v>
      </c>
      <c r="F75" s="766" t="s">
        <v>319</v>
      </c>
      <c r="G75" s="403"/>
      <c r="H75" s="757"/>
      <c r="I75" s="403"/>
      <c r="J75" s="757"/>
      <c r="K75" s="403"/>
      <c r="L75" s="757"/>
      <c r="M75" s="403"/>
      <c r="N75" s="757"/>
      <c r="O75" s="403"/>
      <c r="P75" s="757"/>
      <c r="Q75" s="417" t="s">
        <v>662</v>
      </c>
      <c r="AD75" s="42" t="n">
        <v>0</v>
      </c>
    </row>
    <row r="76" s="42" customFormat="true" ht="11.25" hidden="false" customHeight="true" outlineLevel="0" collapsed="false">
      <c r="A76" s="113"/>
      <c r="B76" s="47"/>
      <c r="D76" s="341"/>
      <c r="E76" s="748"/>
      <c r="AD76" s="42" t="n">
        <v>11</v>
      </c>
    </row>
    <row r="77" s="42" customFormat="true" ht="11.25" hidden="true" customHeight="true" outlineLevel="0" collapsed="false">
      <c r="A77" s="740" t="s">
        <v>938</v>
      </c>
      <c r="B77" s="47"/>
      <c r="D77" s="754" t="n">
        <v>1</v>
      </c>
      <c r="E77" s="764" t="s">
        <v>939</v>
      </c>
      <c r="F77" s="766" t="s">
        <v>840</v>
      </c>
      <c r="G77" s="772"/>
      <c r="H77" s="757"/>
      <c r="I77" s="772"/>
      <c r="J77" s="757"/>
      <c r="K77" s="772"/>
      <c r="L77" s="757"/>
      <c r="M77" s="772"/>
      <c r="N77" s="757"/>
      <c r="O77" s="772"/>
      <c r="P77" s="757"/>
      <c r="Q77" s="417" t="s">
        <v>940</v>
      </c>
      <c r="AD77" s="42" t="n">
        <v>0</v>
      </c>
    </row>
    <row r="78" s="42" customFormat="true" ht="11.25" hidden="true" customHeight="true" outlineLevel="0" collapsed="false">
      <c r="A78" s="740"/>
      <c r="B78" s="47"/>
      <c r="D78" s="754" t="s">
        <v>102</v>
      </c>
      <c r="E78" s="764" t="s">
        <v>941</v>
      </c>
      <c r="F78" s="766" t="s">
        <v>840</v>
      </c>
      <c r="G78" s="772"/>
      <c r="H78" s="757"/>
      <c r="I78" s="772"/>
      <c r="J78" s="757"/>
      <c r="K78" s="772"/>
      <c r="L78" s="757"/>
      <c r="M78" s="772"/>
      <c r="N78" s="757"/>
      <c r="O78" s="772"/>
      <c r="P78" s="757"/>
      <c r="Q78" s="417" t="s">
        <v>942</v>
      </c>
      <c r="AD78" s="42" t="n">
        <v>0</v>
      </c>
    </row>
    <row r="79" s="42" customFormat="true" ht="22.5" hidden="true" customHeight="true" outlineLevel="0" collapsed="false">
      <c r="A79" s="740"/>
      <c r="B79" s="47"/>
      <c r="D79" s="754" t="s">
        <v>89</v>
      </c>
      <c r="E79" s="760" t="s">
        <v>943</v>
      </c>
      <c r="F79" s="135" t="s">
        <v>890</v>
      </c>
      <c r="G79" s="772"/>
      <c r="H79" s="757"/>
      <c r="I79" s="772"/>
      <c r="J79" s="757"/>
      <c r="K79" s="772"/>
      <c r="L79" s="757"/>
      <c r="M79" s="772"/>
      <c r="N79" s="757"/>
      <c r="O79" s="772"/>
      <c r="P79" s="757"/>
      <c r="Q79" s="417" t="s">
        <v>944</v>
      </c>
      <c r="AD79" s="42" t="n">
        <v>0</v>
      </c>
    </row>
    <row r="80" s="42" customFormat="true" ht="11.25" hidden="true" customHeight="true" outlineLevel="0" collapsed="false">
      <c r="A80" s="740"/>
      <c r="B80" s="47"/>
      <c r="D80" s="754" t="s">
        <v>337</v>
      </c>
      <c r="E80" s="755" t="s">
        <v>945</v>
      </c>
      <c r="F80" s="135" t="s">
        <v>890</v>
      </c>
      <c r="G80" s="772"/>
      <c r="H80" s="757"/>
      <c r="I80" s="772"/>
      <c r="J80" s="757"/>
      <c r="K80" s="772"/>
      <c r="L80" s="757"/>
      <c r="M80" s="772"/>
      <c r="N80" s="757"/>
      <c r="O80" s="772"/>
      <c r="P80" s="757"/>
      <c r="Q80" s="417"/>
      <c r="AD80" s="42" t="n">
        <v>0</v>
      </c>
    </row>
    <row r="81" s="42" customFormat="true" ht="11.25" hidden="true" customHeight="true" outlineLevel="0" collapsed="false">
      <c r="A81" s="740"/>
      <c r="B81" s="47"/>
      <c r="D81" s="754" t="s">
        <v>345</v>
      </c>
      <c r="E81" s="755" t="s">
        <v>946</v>
      </c>
      <c r="F81" s="135" t="s">
        <v>890</v>
      </c>
      <c r="G81" s="772"/>
      <c r="H81" s="757"/>
      <c r="I81" s="772"/>
      <c r="J81" s="757"/>
      <c r="K81" s="772"/>
      <c r="L81" s="757"/>
      <c r="M81" s="772"/>
      <c r="N81" s="757"/>
      <c r="O81" s="772"/>
      <c r="P81" s="757"/>
      <c r="Q81" s="417"/>
      <c r="AD81" s="42" t="n">
        <v>0</v>
      </c>
    </row>
    <row r="82" s="42" customFormat="true" ht="11.25" hidden="true" customHeight="true" outlineLevel="0" collapsed="false">
      <c r="A82" s="740"/>
      <c r="B82" s="47"/>
      <c r="D82" s="754" t="s">
        <v>347</v>
      </c>
      <c r="E82" s="755" t="s">
        <v>947</v>
      </c>
      <c r="F82" s="135" t="s">
        <v>890</v>
      </c>
      <c r="G82" s="772"/>
      <c r="H82" s="757"/>
      <c r="I82" s="772"/>
      <c r="J82" s="757"/>
      <c r="K82" s="772"/>
      <c r="L82" s="757"/>
      <c r="M82" s="772"/>
      <c r="N82" s="757"/>
      <c r="O82" s="772"/>
      <c r="P82" s="757"/>
      <c r="Q82" s="417"/>
      <c r="AD82" s="42" t="n">
        <v>0</v>
      </c>
    </row>
    <row r="83" s="42" customFormat="true" ht="11.25" hidden="true" customHeight="true" outlineLevel="0" collapsed="false">
      <c r="A83" s="740"/>
      <c r="B83" s="47"/>
      <c r="D83" s="754" t="s">
        <v>349</v>
      </c>
      <c r="E83" s="755" t="s">
        <v>948</v>
      </c>
      <c r="F83" s="135" t="s">
        <v>890</v>
      </c>
      <c r="G83" s="772"/>
      <c r="H83" s="757"/>
      <c r="I83" s="772"/>
      <c r="J83" s="757"/>
      <c r="K83" s="772"/>
      <c r="L83" s="757"/>
      <c r="M83" s="772"/>
      <c r="N83" s="757"/>
      <c r="O83" s="772"/>
      <c r="P83" s="757"/>
      <c r="Q83" s="417"/>
      <c r="AD83" s="42" t="n">
        <v>0</v>
      </c>
    </row>
    <row r="84" s="42" customFormat="true" ht="11.25" hidden="true" customHeight="true" outlineLevel="0" collapsed="false">
      <c r="A84" s="740"/>
      <c r="B84" s="47"/>
      <c r="D84" s="754" t="s">
        <v>949</v>
      </c>
      <c r="E84" s="755" t="s">
        <v>950</v>
      </c>
      <c r="F84" s="135" t="s">
        <v>890</v>
      </c>
      <c r="G84" s="772"/>
      <c r="H84" s="757"/>
      <c r="I84" s="772"/>
      <c r="J84" s="757"/>
      <c r="K84" s="772"/>
      <c r="L84" s="757"/>
      <c r="M84" s="772"/>
      <c r="N84" s="757"/>
      <c r="O84" s="772"/>
      <c r="P84" s="757"/>
      <c r="Q84" s="417"/>
      <c r="AD84" s="42" t="n">
        <v>0</v>
      </c>
    </row>
    <row r="85" s="42" customFormat="true" ht="11.25" hidden="true" customHeight="true" outlineLevel="0" collapsed="false">
      <c r="A85" s="740"/>
      <c r="B85" s="47"/>
      <c r="D85" s="754" t="s">
        <v>951</v>
      </c>
      <c r="E85" s="755" t="s">
        <v>952</v>
      </c>
      <c r="F85" s="135" t="s">
        <v>890</v>
      </c>
      <c r="G85" s="772"/>
      <c r="H85" s="757"/>
      <c r="I85" s="772"/>
      <c r="J85" s="757"/>
      <c r="K85" s="772"/>
      <c r="L85" s="757"/>
      <c r="M85" s="772"/>
      <c r="N85" s="757"/>
      <c r="O85" s="772"/>
      <c r="P85" s="757"/>
      <c r="Q85" s="417"/>
      <c r="AD85" s="42" t="n">
        <v>0</v>
      </c>
    </row>
    <row r="86" s="42" customFormat="true" ht="11.25" hidden="true" customHeight="true" outlineLevel="0" collapsed="false">
      <c r="A86" s="740"/>
      <c r="B86" s="47"/>
      <c r="D86" s="754" t="s">
        <v>953</v>
      </c>
      <c r="E86" s="755" t="s">
        <v>954</v>
      </c>
      <c r="F86" s="135" t="s">
        <v>890</v>
      </c>
      <c r="G86" s="772"/>
      <c r="H86" s="757"/>
      <c r="I86" s="772"/>
      <c r="J86" s="757"/>
      <c r="K86" s="772"/>
      <c r="L86" s="757"/>
      <c r="M86" s="772"/>
      <c r="N86" s="757"/>
      <c r="O86" s="772"/>
      <c r="P86" s="757"/>
      <c r="Q86" s="417"/>
      <c r="AD86" s="42" t="n">
        <v>0</v>
      </c>
    </row>
    <row r="87" s="42" customFormat="true" ht="45" hidden="true" customHeight="true" outlineLevel="0" collapsed="false">
      <c r="A87" s="740"/>
      <c r="B87" s="47"/>
      <c r="D87" s="754" t="s">
        <v>90</v>
      </c>
      <c r="E87" s="764" t="s">
        <v>955</v>
      </c>
      <c r="F87" s="135" t="s">
        <v>890</v>
      </c>
      <c r="G87" s="772"/>
      <c r="H87" s="757"/>
      <c r="I87" s="772"/>
      <c r="J87" s="757"/>
      <c r="K87" s="772"/>
      <c r="L87" s="757"/>
      <c r="M87" s="772"/>
      <c r="N87" s="757"/>
      <c r="O87" s="772"/>
      <c r="P87" s="757"/>
      <c r="Q87" s="417" t="s">
        <v>956</v>
      </c>
      <c r="AD87" s="42" t="n">
        <v>0</v>
      </c>
    </row>
    <row r="88" s="42" customFormat="true" ht="11.25" hidden="true" customHeight="true" outlineLevel="0" collapsed="false">
      <c r="A88" s="740"/>
      <c r="B88" s="47"/>
      <c r="D88" s="754" t="s">
        <v>784</v>
      </c>
      <c r="E88" s="755" t="s">
        <v>945</v>
      </c>
      <c r="F88" s="135" t="s">
        <v>890</v>
      </c>
      <c r="G88" s="772"/>
      <c r="H88" s="757"/>
      <c r="I88" s="772"/>
      <c r="J88" s="757"/>
      <c r="K88" s="772"/>
      <c r="L88" s="757"/>
      <c r="M88" s="772"/>
      <c r="N88" s="757"/>
      <c r="O88" s="772"/>
      <c r="P88" s="757"/>
      <c r="Q88" s="417"/>
      <c r="AD88" s="42" t="n">
        <v>0</v>
      </c>
    </row>
    <row r="89" s="42" customFormat="true" ht="11.25" hidden="true" customHeight="true" outlineLevel="0" collapsed="false">
      <c r="A89" s="740"/>
      <c r="B89" s="47"/>
      <c r="D89" s="754" t="s">
        <v>826</v>
      </c>
      <c r="E89" s="755" t="s">
        <v>946</v>
      </c>
      <c r="F89" s="135" t="s">
        <v>890</v>
      </c>
      <c r="G89" s="772"/>
      <c r="H89" s="757"/>
      <c r="I89" s="772"/>
      <c r="J89" s="757"/>
      <c r="K89" s="772"/>
      <c r="L89" s="757"/>
      <c r="M89" s="772"/>
      <c r="N89" s="757"/>
      <c r="O89" s="772"/>
      <c r="P89" s="757"/>
      <c r="Q89" s="417"/>
      <c r="AD89" s="42" t="n">
        <v>0</v>
      </c>
    </row>
    <row r="90" s="42" customFormat="true" ht="11.25" hidden="true" customHeight="true" outlineLevel="0" collapsed="false">
      <c r="A90" s="740"/>
      <c r="B90" s="47"/>
      <c r="D90" s="754" t="s">
        <v>829</v>
      </c>
      <c r="E90" s="755" t="s">
        <v>947</v>
      </c>
      <c r="F90" s="135" t="s">
        <v>890</v>
      </c>
      <c r="G90" s="772"/>
      <c r="H90" s="757"/>
      <c r="I90" s="772"/>
      <c r="J90" s="757"/>
      <c r="K90" s="772"/>
      <c r="L90" s="757"/>
      <c r="M90" s="772"/>
      <c r="N90" s="757"/>
      <c r="O90" s="772"/>
      <c r="P90" s="757"/>
      <c r="Q90" s="417"/>
      <c r="AD90" s="42" t="n">
        <v>0</v>
      </c>
    </row>
    <row r="91" s="42" customFormat="true" ht="11.25" hidden="true" customHeight="true" outlineLevel="0" collapsed="false">
      <c r="A91" s="740"/>
      <c r="B91" s="47"/>
      <c r="D91" s="754" t="s">
        <v>908</v>
      </c>
      <c r="E91" s="755" t="s">
        <v>948</v>
      </c>
      <c r="F91" s="135" t="s">
        <v>890</v>
      </c>
      <c r="G91" s="772"/>
      <c r="H91" s="757"/>
      <c r="I91" s="772"/>
      <c r="J91" s="757"/>
      <c r="K91" s="772"/>
      <c r="L91" s="757"/>
      <c r="M91" s="772"/>
      <c r="N91" s="757"/>
      <c r="O91" s="772"/>
      <c r="P91" s="757"/>
      <c r="Q91" s="417"/>
      <c r="AD91" s="42" t="n">
        <v>0</v>
      </c>
    </row>
    <row r="92" s="42" customFormat="true" ht="11.25" hidden="true" customHeight="true" outlineLevel="0" collapsed="false">
      <c r="A92" s="740"/>
      <c r="B92" s="47"/>
      <c r="D92" s="754" t="s">
        <v>910</v>
      </c>
      <c r="E92" s="755" t="s">
        <v>950</v>
      </c>
      <c r="F92" s="135" t="s">
        <v>890</v>
      </c>
      <c r="G92" s="772"/>
      <c r="H92" s="757"/>
      <c r="I92" s="772"/>
      <c r="J92" s="757"/>
      <c r="K92" s="772"/>
      <c r="L92" s="757"/>
      <c r="M92" s="772"/>
      <c r="N92" s="757"/>
      <c r="O92" s="772"/>
      <c r="P92" s="757"/>
      <c r="Q92" s="417"/>
      <c r="AD92" s="42" t="n">
        <v>0</v>
      </c>
    </row>
    <row r="93" s="42" customFormat="true" ht="11.25" hidden="true" customHeight="true" outlineLevel="0" collapsed="false">
      <c r="A93" s="740"/>
      <c r="B93" s="47"/>
      <c r="D93" s="754" t="s">
        <v>957</v>
      </c>
      <c r="E93" s="755" t="s">
        <v>952</v>
      </c>
      <c r="F93" s="135" t="s">
        <v>890</v>
      </c>
      <c r="G93" s="772"/>
      <c r="H93" s="757"/>
      <c r="I93" s="772"/>
      <c r="J93" s="757"/>
      <c r="K93" s="772"/>
      <c r="L93" s="757"/>
      <c r="M93" s="772"/>
      <c r="N93" s="757"/>
      <c r="O93" s="772"/>
      <c r="P93" s="757"/>
      <c r="Q93" s="417"/>
      <c r="AD93" s="42" t="n">
        <v>0</v>
      </c>
    </row>
    <row r="94" s="42" customFormat="true" ht="11.25" hidden="true" customHeight="true" outlineLevel="0" collapsed="false">
      <c r="A94" s="740"/>
      <c r="B94" s="47"/>
      <c r="D94" s="754" t="s">
        <v>958</v>
      </c>
      <c r="E94" s="755" t="s">
        <v>954</v>
      </c>
      <c r="F94" s="135" t="s">
        <v>890</v>
      </c>
      <c r="G94" s="772"/>
      <c r="H94" s="757"/>
      <c r="I94" s="772"/>
      <c r="J94" s="757"/>
      <c r="K94" s="772"/>
      <c r="L94" s="757"/>
      <c r="M94" s="772"/>
      <c r="N94" s="757"/>
      <c r="O94" s="772"/>
      <c r="P94" s="757"/>
      <c r="Q94" s="417"/>
      <c r="AD94" s="42" t="n">
        <v>0</v>
      </c>
    </row>
    <row r="95" s="42" customFormat="true" ht="24.75" hidden="true" customHeight="true" outlineLevel="0" collapsed="false">
      <c r="A95" s="740"/>
      <c r="B95" s="47"/>
      <c r="D95" s="754" t="s">
        <v>121</v>
      </c>
      <c r="E95" s="764" t="s">
        <v>959</v>
      </c>
      <c r="F95" s="773" t="s">
        <v>571</v>
      </c>
      <c r="G95" s="717"/>
      <c r="H95" s="757"/>
      <c r="I95" s="717"/>
      <c r="J95" s="757"/>
      <c r="K95" s="717"/>
      <c r="L95" s="757"/>
      <c r="M95" s="717"/>
      <c r="N95" s="757"/>
      <c r="O95" s="717"/>
      <c r="P95" s="757"/>
      <c r="Q95" s="417" t="s">
        <v>960</v>
      </c>
      <c r="AD95" s="42" t="n">
        <v>0</v>
      </c>
    </row>
    <row r="96" s="42" customFormat="true" ht="33.75" hidden="true" customHeight="true" outlineLevel="0" collapsed="false">
      <c r="A96" s="740"/>
      <c r="B96" s="47"/>
      <c r="D96" s="754" t="s">
        <v>91</v>
      </c>
      <c r="E96" s="764" t="s">
        <v>961</v>
      </c>
      <c r="F96" s="767" t="s">
        <v>850</v>
      </c>
      <c r="G96" s="774"/>
      <c r="H96" s="757"/>
      <c r="I96" s="774"/>
      <c r="J96" s="757"/>
      <c r="K96" s="774"/>
      <c r="L96" s="757"/>
      <c r="M96" s="774"/>
      <c r="N96" s="757"/>
      <c r="O96" s="774"/>
      <c r="P96" s="757"/>
      <c r="Q96" s="417"/>
      <c r="AD96" s="42" t="n">
        <v>0</v>
      </c>
    </row>
    <row r="97" s="42" customFormat="true" ht="22.5" hidden="true" customHeight="true" outlineLevel="0" collapsed="false">
      <c r="A97" s="740"/>
      <c r="B97" s="47" t="s">
        <v>616</v>
      </c>
      <c r="D97" s="754" t="s">
        <v>92</v>
      </c>
      <c r="E97" s="764" t="s">
        <v>962</v>
      </c>
      <c r="F97" s="767" t="s">
        <v>319</v>
      </c>
      <c r="G97" s="710"/>
      <c r="H97" s="757"/>
      <c r="I97" s="710"/>
      <c r="J97" s="757"/>
      <c r="K97" s="710"/>
      <c r="L97" s="757"/>
      <c r="M97" s="710"/>
      <c r="N97" s="757"/>
      <c r="O97" s="710"/>
      <c r="P97" s="757"/>
      <c r="Q97" s="417" t="s">
        <v>662</v>
      </c>
      <c r="AD97" s="42" t="n">
        <v>0</v>
      </c>
    </row>
    <row r="98" s="42" customFormat="true" ht="45" hidden="true" customHeight="true" outlineLevel="0" collapsed="false">
      <c r="A98" s="740"/>
      <c r="B98" s="47" t="s">
        <v>616</v>
      </c>
      <c r="D98" s="754" t="s">
        <v>963</v>
      </c>
      <c r="E98" s="762" t="s">
        <v>964</v>
      </c>
      <c r="F98" s="766" t="s">
        <v>319</v>
      </c>
      <c r="G98" s="710"/>
      <c r="H98" s="757"/>
      <c r="I98" s="710"/>
      <c r="J98" s="757"/>
      <c r="K98" s="710"/>
      <c r="L98" s="757"/>
      <c r="M98" s="710"/>
      <c r="N98" s="757"/>
      <c r="O98" s="710"/>
      <c r="P98" s="757"/>
      <c r="Q98" s="417" t="s">
        <v>662</v>
      </c>
      <c r="AD98" s="42" t="n">
        <v>0</v>
      </c>
    </row>
    <row r="99" s="42" customFormat="true" ht="95.25" hidden="true" customHeight="true" outlineLevel="0" collapsed="false">
      <c r="A99" s="740"/>
      <c r="B99" s="47" t="s">
        <v>616</v>
      </c>
      <c r="D99" s="754" t="s">
        <v>122</v>
      </c>
      <c r="E99" s="764" t="s">
        <v>965</v>
      </c>
      <c r="F99" s="766" t="s">
        <v>319</v>
      </c>
      <c r="G99" s="710"/>
      <c r="H99" s="757"/>
      <c r="I99" s="710"/>
      <c r="J99" s="757"/>
      <c r="K99" s="710"/>
      <c r="L99" s="757"/>
      <c r="M99" s="710"/>
      <c r="N99" s="757"/>
      <c r="O99" s="710"/>
      <c r="P99" s="757"/>
      <c r="Q99" s="417" t="s">
        <v>662</v>
      </c>
      <c r="AD99" s="42" t="n">
        <v>0</v>
      </c>
    </row>
    <row r="100" s="42" customFormat="true" ht="22.5" hidden="true" customHeight="true" outlineLevel="0" collapsed="false">
      <c r="A100" s="740"/>
      <c r="B100" s="47" t="s">
        <v>616</v>
      </c>
      <c r="D100" s="754" t="s">
        <v>163</v>
      </c>
      <c r="E100" s="764" t="s">
        <v>966</v>
      </c>
      <c r="F100" s="766" t="s">
        <v>319</v>
      </c>
      <c r="G100" s="710"/>
      <c r="H100" s="757"/>
      <c r="I100" s="710"/>
      <c r="J100" s="757"/>
      <c r="K100" s="710"/>
      <c r="L100" s="757"/>
      <c r="M100" s="710"/>
      <c r="N100" s="757"/>
      <c r="O100" s="710"/>
      <c r="P100" s="757"/>
      <c r="Q100" s="417" t="s">
        <v>662</v>
      </c>
      <c r="AD100" s="42" t="n">
        <v>0</v>
      </c>
    </row>
    <row r="101" s="42" customFormat="true" ht="11.25" hidden="false" customHeight="true" outlineLevel="0" collapsed="false">
      <c r="A101" s="113"/>
      <c r="B101" s="47"/>
      <c r="D101" s="341"/>
      <c r="E101" s="748"/>
      <c r="AD101" s="42" t="n">
        <v>11</v>
      </c>
    </row>
    <row r="102" customFormat="false" ht="22.5" hidden="true" customHeight="true" outlineLevel="0" collapsed="false">
      <c r="A102" s="113" t="s">
        <v>81</v>
      </c>
      <c r="B102" s="47" t="n">
        <v>0</v>
      </c>
      <c r="C102" s="42" t="n">
        <v>3</v>
      </c>
      <c r="D102" s="42" t="n">
        <v>7</v>
      </c>
      <c r="E102" s="42" t="n">
        <v>69</v>
      </c>
      <c r="F102" s="42" t="n">
        <v>10</v>
      </c>
      <c r="G102" s="42" t="n">
        <v>0</v>
      </c>
      <c r="H102" s="42" t="n">
        <v>0</v>
      </c>
      <c r="I102" s="42" t="n">
        <v>43</v>
      </c>
      <c r="J102" s="42" t="n">
        <v>43</v>
      </c>
      <c r="K102" s="42" t="n">
        <v>0</v>
      </c>
      <c r="L102" s="42" t="n">
        <v>0</v>
      </c>
      <c r="M102" s="42" t="n">
        <v>0</v>
      </c>
      <c r="N102" s="42" t="n">
        <v>0</v>
      </c>
      <c r="O102" s="42" t="n">
        <v>0</v>
      </c>
      <c r="P102" s="42" t="n">
        <v>0</v>
      </c>
      <c r="Q102" s="42" t="n">
        <v>73</v>
      </c>
      <c r="R102" s="42" t="n">
        <v>3</v>
      </c>
      <c r="S102" s="42" t="n">
        <v>10</v>
      </c>
      <c r="T102" s="42" t="n">
        <v>10</v>
      </c>
      <c r="U102" s="42" t="n">
        <v>10</v>
      </c>
      <c r="V102" s="42" t="n">
        <v>10</v>
      </c>
      <c r="W102" s="42" t="n">
        <v>10</v>
      </c>
      <c r="X102" s="42" t="n">
        <v>10</v>
      </c>
      <c r="Y102" s="42" t="n">
        <v>10</v>
      </c>
      <c r="Z102" s="42" t="n">
        <v>10</v>
      </c>
      <c r="AA102" s="42" t="n">
        <v>10</v>
      </c>
      <c r="AB102" s="42" t="n">
        <v>10</v>
      </c>
      <c r="AC102" s="42" t="n">
        <v>10</v>
      </c>
      <c r="AD102" s="42" t="n">
        <v>23</v>
      </c>
    </row>
  </sheetData>
  <mergeCells count="27">
    <mergeCell ref="D3:F3"/>
    <mergeCell ref="D4:F4"/>
    <mergeCell ref="E7:F7"/>
    <mergeCell ref="G7:H7"/>
    <mergeCell ref="I7:J7"/>
    <mergeCell ref="K7:L7"/>
    <mergeCell ref="M7:N7"/>
    <mergeCell ref="O7:P7"/>
    <mergeCell ref="Q7:Q11"/>
    <mergeCell ref="E8:F8"/>
    <mergeCell ref="G8:H8"/>
    <mergeCell ref="I8:J8"/>
    <mergeCell ref="K8:L8"/>
    <mergeCell ref="M8:N8"/>
    <mergeCell ref="O8:P8"/>
    <mergeCell ref="E9:F9"/>
    <mergeCell ref="G9:H9"/>
    <mergeCell ref="I9:J9"/>
    <mergeCell ref="K9:L9"/>
    <mergeCell ref="M9:N9"/>
    <mergeCell ref="O9:P9"/>
    <mergeCell ref="D10:J10"/>
    <mergeCell ref="A11:B11"/>
    <mergeCell ref="A13:A35"/>
    <mergeCell ref="A37:A63"/>
    <mergeCell ref="A65:A75"/>
    <mergeCell ref="A77:A100"/>
  </mergeCells>
  <dataValidations count="6">
    <dataValidation allowBlank="true" error="Укажите значение вручную или выберите из списка!" errorStyle="stop" errorTitle="Ошибка" operator="between" prompt="Укажите значение вручную или выберите из списка" showDropDown="false" showErrorMessage="false" showInputMessage="true" sqref="G19 I19 K19 M19 O19" type="list">
      <formula1>"Не утверждены"</formula1>
      <formula2>0</formula2>
    </dataValidation>
    <dataValidation allowBlank="true" error="Введите значение от 0 до 100%" errorStyle="stop" errorTitle="Ошибка" operator="between" showDropDown="false" showErrorMessage="true" showInputMessage="false" sqref="G31 I31 K31 M31 O31 G42:G43 I42:I43 K42:K43 M42:M43 O42:O43 G60 I60 K60 M60 O60 G69:G70 I69:I70 K69:K70 M69:M70 O69:O70 G72 I72 K72 M72 O72 G95 I95 K95 M95 O95" type="decimal">
      <formula1>0</formula1>
      <formula2>100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13:H14 J13:J14 L13:L14 N13:N14 P13:P14 H19 J19 L19 N19 P19 H31:H32 J31:J32 L31:L32 N31:N32 P31:P32 G62:G63 I62:I63 K62:K63 M62:M63 O62:O63 G74:G75 I74:I75 K74:K75 M74:M75 O74:O75 G97:G100 I97:I100 K97:K100 M97:M100 O97:O10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13:G14 I13:I14 K13:K14 M13:M14 O13:O14 G18 I18 K18 M18 O18 G21:G22 I21:I22 K21:K22 M21:M22 O21:O22 G24 I24 K24 M24 O24 G26:G27 I26:I27 K26:K27 M26:M27 O26:O27 G29:G30 I29:I30 K29:K30 M29:M30 O29:O30 G32 I32 K32 M32 O32 G37 I37 K37 M37 O37 G39:G40 I39:I40 K39:K40 M39:M40 O39:O40 G44:G59 I44:I59 K44:K59 M44:M59 O44:O59 G61 I61 K61 M61 O61 G65 I65 K65 M65 O65 G67:G68 I67:I68 K67:K68 M67:M68 O67:O68 G71 I71 K71 M71 O71 G73 I73 K73 M73 O73 G77:G94 I77:I94 K77:K94 M77:M94 O77:O94 G96 I96 K96 M96 O96"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6:G17 I16:I17 K16:K17 M16:M17 O16:O17" type="whole">
      <formula1>0</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H15:H18 J15:J18 L15:L18 N15:N18 P15:P18 H21:H22 J21:J22 L21:L22 N21:N22 P21:P22 H24 J24 L24 N24 P24 H26:H27 J26:J27 L26:L27 N26:N27 P26:P27 H29:H30 J29:J30 L29:L30 N29:N30 P29:P30"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26B0A"/>
    <pageSetUpPr fitToPage="false"/>
  </sheetPr>
  <dimension ref="A1:AB4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O25" activeCellId="0" sqref="O25"/>
    </sheetView>
  </sheetViews>
  <sheetFormatPr defaultColWidth="10.57421875" defaultRowHeight="15" zeroHeight="false" outlineLevelRow="0" outlineLevelCol="0"/>
  <cols>
    <col collapsed="false" customWidth="true" hidden="true" outlineLevel="0" max="1" min="1" style="45" width="9.14"/>
    <col collapsed="false" customWidth="true" hidden="true" outlineLevel="0" max="2" min="2" style="42" width="9.14"/>
    <col collapsed="false" customWidth="true" hidden="false" outlineLevel="0" max="3" min="3" style="138" width="4"/>
    <col collapsed="false" customWidth="true" hidden="false" outlineLevel="0" max="4" min="4" style="42" width="6"/>
    <col collapsed="false" customWidth="true" hidden="false" outlineLevel="0" max="5" min="5" style="42" width="36"/>
    <col collapsed="false" customWidth="true" hidden="false" outlineLevel="0" max="6" min="6" style="42" width="9"/>
    <col collapsed="false" customWidth="true" hidden="true" outlineLevel="0" max="7" min="7" style="42" width="25.71"/>
    <col collapsed="false" customWidth="true" hidden="true" outlineLevel="0" max="8" min="8" style="42" width="33.71"/>
    <col collapsed="false" customWidth="true" hidden="false" outlineLevel="0" max="9" min="9" style="42" width="25.71"/>
    <col collapsed="false" customWidth="true" hidden="false" outlineLevel="0" max="10" min="10" style="42" width="33"/>
    <col collapsed="false" customWidth="true" hidden="false" outlineLevel="0" max="11" min="11" style="42" width="25.71"/>
    <col collapsed="false" customWidth="true" hidden="false" outlineLevel="0" max="12" min="12" style="42" width="33.71"/>
    <col collapsed="false" customWidth="true" hidden="false" outlineLevel="0" max="13" min="13" style="42" width="25.71"/>
    <col collapsed="false" customWidth="true" hidden="false" outlineLevel="0" max="14" min="14" style="42" width="33.71"/>
    <col collapsed="false" customWidth="true" hidden="false" outlineLevel="0" max="15" min="15" style="42" width="25.71"/>
    <col collapsed="false" customWidth="true" hidden="false" outlineLevel="0" max="16" min="16" style="42" width="33.71"/>
    <col collapsed="false" customWidth="true" hidden="false" outlineLevel="0" max="17" min="17" style="45" width="93"/>
    <col collapsed="false" customWidth="true" hidden="false" outlineLevel="0" max="26" min="18" style="42" width="10"/>
    <col collapsed="false" customWidth="true" hidden="false" outlineLevel="0" max="27" min="27" style="103" width="10"/>
    <col collapsed="false" customWidth="false" hidden="true" outlineLevel="0" max="28" min="28" style="42" width="10.57"/>
  </cols>
  <sheetData>
    <row r="1" s="45" customFormat="true" ht="22.5" hidden="true" customHeight="true" outlineLevel="0" collapsed="false">
      <c r="C1" s="44"/>
      <c r="G1" s="45" t="n">
        <v>4</v>
      </c>
      <c r="I1" s="45" t="n">
        <v>4</v>
      </c>
      <c r="K1" s="45" t="n">
        <v>4</v>
      </c>
      <c r="M1" s="45" t="n">
        <v>4</v>
      </c>
      <c r="O1" s="45" t="n">
        <v>4</v>
      </c>
      <c r="AA1" s="155"/>
      <c r="AB1" s="45" t="s">
        <v>14</v>
      </c>
    </row>
    <row r="2" s="45" customFormat="true" ht="15" hidden="true" customHeight="true" outlineLevel="0" collapsed="false">
      <c r="C2" s="44"/>
      <c r="AA2" s="155"/>
      <c r="AB2" s="45" t="n">
        <v>0</v>
      </c>
    </row>
    <row r="3" customFormat="false" ht="22.5" hidden="true" customHeight="true" outlineLevel="0" collapsed="false">
      <c r="A3" s="42"/>
      <c r="B3" s="50"/>
      <c r="C3" s="215" t="s">
        <v>103</v>
      </c>
      <c r="D3" s="775" t="str">
        <f aca="false">B3&amp;".1"</f>
        <v>.1</v>
      </c>
      <c r="E3" s="206" t="s">
        <v>967</v>
      </c>
      <c r="F3" s="209" t="s">
        <v>319</v>
      </c>
      <c r="G3" s="747"/>
      <c r="H3" s="668"/>
      <c r="I3" s="747"/>
      <c r="J3" s="668"/>
      <c r="K3" s="747"/>
      <c r="L3" s="668"/>
      <c r="M3" s="747"/>
      <c r="N3" s="668"/>
      <c r="O3" s="747"/>
      <c r="P3" s="668"/>
      <c r="Q3" s="417" t="s">
        <v>968</v>
      </c>
      <c r="AB3" s="42" t="n">
        <v>0</v>
      </c>
    </row>
    <row r="4" customFormat="false" ht="15" hidden="true" customHeight="true" outlineLevel="0" collapsed="false">
      <c r="A4" s="42"/>
      <c r="B4" s="50"/>
      <c r="C4" s="215"/>
      <c r="D4" s="775" t="str">
        <f aca="false">B3&amp;".2"</f>
        <v>.2</v>
      </c>
      <c r="E4" s="206" t="s">
        <v>969</v>
      </c>
      <c r="F4" s="209" t="s">
        <v>319</v>
      </c>
      <c r="G4" s="776"/>
      <c r="H4" s="668"/>
      <c r="I4" s="776"/>
      <c r="J4" s="668"/>
      <c r="K4" s="776"/>
      <c r="L4" s="668"/>
      <c r="M4" s="776"/>
      <c r="N4" s="668"/>
      <c r="O4" s="776"/>
      <c r="P4" s="668"/>
      <c r="Q4" s="417" t="s">
        <v>970</v>
      </c>
      <c r="AB4" s="42" t="n">
        <v>0</v>
      </c>
    </row>
    <row r="5" s="45" customFormat="true" ht="15" hidden="true" customHeight="true" outlineLevel="0" collapsed="false">
      <c r="C5" s="44"/>
      <c r="AA5" s="155"/>
      <c r="AB5" s="45" t="n">
        <v>0</v>
      </c>
    </row>
    <row r="6" customFormat="false" ht="22.5" hidden="true" customHeight="true" outlineLevel="0" collapsed="false">
      <c r="A6" s="42"/>
      <c r="B6" s="50"/>
      <c r="C6" s="215" t="s">
        <v>103</v>
      </c>
      <c r="D6" s="775" t="str">
        <f aca="false">B6&amp;".1"</f>
        <v>.1</v>
      </c>
      <c r="E6" s="206" t="s">
        <v>971</v>
      </c>
      <c r="F6" s="209" t="s">
        <v>319</v>
      </c>
      <c r="G6" s="747"/>
      <c r="H6" s="668"/>
      <c r="I6" s="747"/>
      <c r="J6" s="668"/>
      <c r="K6" s="747"/>
      <c r="L6" s="668"/>
      <c r="M6" s="747"/>
      <c r="N6" s="668"/>
      <c r="O6" s="747"/>
      <c r="P6" s="668"/>
      <c r="Q6" s="417" t="s">
        <v>972</v>
      </c>
      <c r="AB6" s="42" t="n">
        <v>0</v>
      </c>
    </row>
    <row r="7" customFormat="false" ht="15" hidden="true" customHeight="true" outlineLevel="0" collapsed="false">
      <c r="A7" s="42"/>
      <c r="B7" s="50"/>
      <c r="C7" s="215"/>
      <c r="D7" s="775" t="str">
        <f aca="false">B6&amp;".2"</f>
        <v>.2</v>
      </c>
      <c r="E7" s="206" t="s">
        <v>969</v>
      </c>
      <c r="F7" s="209" t="s">
        <v>319</v>
      </c>
      <c r="G7" s="776"/>
      <c r="H7" s="668"/>
      <c r="I7" s="776"/>
      <c r="J7" s="668"/>
      <c r="K7" s="776"/>
      <c r="L7" s="668"/>
      <c r="M7" s="776"/>
      <c r="N7" s="668"/>
      <c r="O7" s="776"/>
      <c r="P7" s="668"/>
      <c r="Q7" s="417" t="s">
        <v>970</v>
      </c>
      <c r="AB7" s="42" t="n">
        <v>0</v>
      </c>
    </row>
    <row r="8" s="45" customFormat="true" ht="15" hidden="true" customHeight="true" outlineLevel="0" collapsed="false">
      <c r="C8" s="44"/>
      <c r="AA8" s="155"/>
      <c r="AB8" s="45" t="n">
        <v>0</v>
      </c>
    </row>
    <row r="9" customFormat="false" ht="22.5" hidden="true" customHeight="true" outlineLevel="0" collapsed="false">
      <c r="A9" s="42"/>
      <c r="B9" s="50"/>
      <c r="C9" s="215" t="s">
        <v>103</v>
      </c>
      <c r="D9" s="775" t="str">
        <f aca="false">B9&amp;".1"</f>
        <v>.1</v>
      </c>
      <c r="E9" s="206" t="s">
        <v>973</v>
      </c>
      <c r="F9" s="209" t="s">
        <v>319</v>
      </c>
      <c r="G9" s="331"/>
      <c r="H9" s="668"/>
      <c r="I9" s="331"/>
      <c r="J9" s="668"/>
      <c r="K9" s="331"/>
      <c r="L9" s="668"/>
      <c r="M9" s="331"/>
      <c r="N9" s="668"/>
      <c r="O9" s="331"/>
      <c r="P9" s="668"/>
      <c r="Q9" s="417"/>
      <c r="AB9" s="42" t="n">
        <v>0</v>
      </c>
    </row>
    <row r="10" customFormat="false" ht="15" hidden="true" customHeight="true" outlineLevel="0" collapsed="false">
      <c r="A10" s="42"/>
      <c r="B10" s="50"/>
      <c r="C10" s="215"/>
      <c r="D10" s="775" t="str">
        <f aca="false">B9&amp;".2"</f>
        <v>.2</v>
      </c>
      <c r="E10" s="206" t="s">
        <v>974</v>
      </c>
      <c r="F10" s="209" t="s">
        <v>319</v>
      </c>
      <c r="G10" s="78"/>
      <c r="H10" s="668"/>
      <c r="I10" s="78"/>
      <c r="J10" s="668"/>
      <c r="K10" s="78"/>
      <c r="L10" s="668"/>
      <c r="M10" s="78"/>
      <c r="N10" s="668"/>
      <c r="O10" s="78"/>
      <c r="P10" s="668"/>
      <c r="Q10" s="417" t="s">
        <v>975</v>
      </c>
      <c r="AB10" s="42" t="n">
        <v>0</v>
      </c>
    </row>
    <row r="11" customFormat="false" ht="15" hidden="true" customHeight="true" outlineLevel="0" collapsed="false">
      <c r="A11" s="42"/>
      <c r="B11" s="50"/>
      <c r="C11" s="215"/>
      <c r="D11" s="775" t="str">
        <f aca="false">B9&amp;".3"</f>
        <v>.3</v>
      </c>
      <c r="E11" s="206" t="s">
        <v>976</v>
      </c>
      <c r="F11" s="209" t="s">
        <v>319</v>
      </c>
      <c r="G11" s="78"/>
      <c r="H11" s="668"/>
      <c r="I11" s="78"/>
      <c r="J11" s="668"/>
      <c r="K11" s="78"/>
      <c r="L11" s="668"/>
      <c r="M11" s="78"/>
      <c r="N11" s="668"/>
      <c r="O11" s="78"/>
      <c r="P11" s="668"/>
      <c r="Q11" s="417" t="s">
        <v>977</v>
      </c>
      <c r="AB11" s="42" t="n">
        <v>0</v>
      </c>
    </row>
    <row r="12" s="45" customFormat="true" ht="15" hidden="true" customHeight="true" outlineLevel="0" collapsed="false">
      <c r="C12" s="44"/>
      <c r="AA12" s="155"/>
      <c r="AB12" s="45" t="n">
        <v>0</v>
      </c>
    </row>
    <row r="13" customFormat="false" ht="33.75" hidden="true" customHeight="true" outlineLevel="0" collapsed="false">
      <c r="A13" s="42"/>
      <c r="B13" s="50"/>
      <c r="C13" s="215" t="s">
        <v>103</v>
      </c>
      <c r="D13" s="775" t="str">
        <f aca="false">B13&amp;".1"</f>
        <v>.1</v>
      </c>
      <c r="E13" s="206" t="s">
        <v>978</v>
      </c>
      <c r="F13" s="209" t="s">
        <v>319</v>
      </c>
      <c r="G13" s="331"/>
      <c r="H13" s="668"/>
      <c r="I13" s="331"/>
      <c r="J13" s="668"/>
      <c r="K13" s="331"/>
      <c r="L13" s="668"/>
      <c r="M13" s="331"/>
      <c r="N13" s="668"/>
      <c r="O13" s="331"/>
      <c r="P13" s="668"/>
      <c r="Q13" s="417" t="s">
        <v>979</v>
      </c>
      <c r="AB13" s="42" t="n">
        <v>0</v>
      </c>
    </row>
    <row r="14" customFormat="false" ht="15" hidden="true" customHeight="true" outlineLevel="0" collapsed="false">
      <c r="B14" s="50"/>
      <c r="C14" s="215"/>
      <c r="D14" s="775" t="str">
        <f aca="false">B13&amp;".2"</f>
        <v>.2</v>
      </c>
      <c r="E14" s="206" t="s">
        <v>980</v>
      </c>
      <c r="F14" s="209" t="s">
        <v>319</v>
      </c>
      <c r="G14" s="78"/>
      <c r="H14" s="668"/>
      <c r="I14" s="78"/>
      <c r="J14" s="668"/>
      <c r="K14" s="78"/>
      <c r="L14" s="668"/>
      <c r="M14" s="78"/>
      <c r="N14" s="668"/>
      <c r="O14" s="78"/>
      <c r="P14" s="668"/>
      <c r="Q14" s="417" t="s">
        <v>981</v>
      </c>
      <c r="AB14" s="42" t="n">
        <v>0</v>
      </c>
    </row>
    <row r="15" s="45" customFormat="true" ht="15" hidden="true" customHeight="true" outlineLevel="0" collapsed="false">
      <c r="C15" s="44"/>
      <c r="AA15" s="155"/>
      <c r="AB15" s="45" t="n">
        <v>0</v>
      </c>
    </row>
    <row r="16" s="45" customFormat="true" ht="15" hidden="true" customHeight="true" outlineLevel="0" collapsed="false">
      <c r="C16" s="44"/>
      <c r="AA16" s="155"/>
      <c r="AB16" s="45" t="n">
        <v>0</v>
      </c>
    </row>
    <row r="17" s="45" customFormat="true" ht="15" hidden="true" customHeight="true" outlineLevel="0" collapsed="false">
      <c r="C17" s="44"/>
      <c r="AA17" s="155"/>
      <c r="AB17" s="45" t="n">
        <v>0</v>
      </c>
    </row>
    <row r="18" s="45" customFormat="true" ht="15" hidden="true" customHeight="true" outlineLevel="0" collapsed="false">
      <c r="C18" s="44"/>
      <c r="AA18" s="155"/>
      <c r="AB18" s="45" t="n">
        <v>0</v>
      </c>
    </row>
    <row r="19" s="45" customFormat="true" ht="15" hidden="true" customHeight="true" outlineLevel="0" collapsed="false">
      <c r="C19" s="44"/>
      <c r="AA19" s="155"/>
      <c r="AB19" s="45" t="n">
        <v>0</v>
      </c>
    </row>
    <row r="20" s="45" customFormat="true" ht="15" hidden="true" customHeight="true" outlineLevel="0" collapsed="false">
      <c r="C20" s="44"/>
      <c r="AA20" s="155"/>
      <c r="AB20" s="45" t="n">
        <v>0</v>
      </c>
    </row>
    <row r="21" customFormat="false" ht="15.75" hidden="false" customHeight="true" outlineLevel="0" collapsed="false">
      <c r="AB21" s="42" t="n">
        <v>15</v>
      </c>
    </row>
    <row r="22" customFormat="false" ht="23.25" hidden="false" customHeight="true" outlineLevel="0" collapsed="false">
      <c r="D22" s="386" t="str">
        <f aca="false">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386"/>
      <c r="F22" s="386"/>
      <c r="G22" s="386"/>
      <c r="H22" s="386"/>
      <c r="I22" s="386"/>
      <c r="J22" s="75"/>
      <c r="K22" s="386"/>
      <c r="L22" s="386"/>
      <c r="M22" s="386"/>
      <c r="N22" s="386"/>
      <c r="O22" s="386"/>
      <c r="P22" s="386"/>
      <c r="AB22" s="42" t="n">
        <v>22</v>
      </c>
    </row>
    <row r="23" customFormat="false" ht="15.75" hidden="false" customHeight="true" outlineLevel="0" collapsed="false">
      <c r="D23" s="261" t="str">
        <f aca="false">IF(org=0,"Не определено",org)</f>
        <v>ООО "Газпром теплоэнерго Ярославль"</v>
      </c>
      <c r="E23" s="261"/>
      <c r="F23" s="261"/>
      <c r="G23" s="261"/>
      <c r="H23" s="261"/>
      <c r="I23" s="261"/>
      <c r="J23" s="75"/>
      <c r="K23" s="611"/>
      <c r="L23" s="611"/>
      <c r="M23" s="611"/>
      <c r="N23" s="611"/>
      <c r="O23" s="611"/>
      <c r="P23" s="611"/>
      <c r="AB23" s="42" t="n">
        <v>15</v>
      </c>
    </row>
    <row r="24" customFormat="false" ht="15.75" hidden="false" customHeight="true" outlineLevel="0" collapsed="false">
      <c r="G24" s="45" t="n">
        <v>22</v>
      </c>
      <c r="H24" s="292"/>
      <c r="I24" s="45" t="n">
        <v>22</v>
      </c>
      <c r="J24" s="292"/>
      <c r="K24" s="45"/>
      <c r="L24" s="292"/>
      <c r="M24" s="45"/>
      <c r="N24" s="292"/>
      <c r="O24" s="45"/>
      <c r="P24" s="292"/>
      <c r="AB24" s="42" t="n">
        <v>15</v>
      </c>
    </row>
    <row r="25" s="42" customFormat="true" ht="0.75" hidden="false" customHeight="true" outlineLevel="0" collapsed="false">
      <c r="A25" s="45"/>
      <c r="C25" s="138"/>
      <c r="G25" s="45"/>
      <c r="H25" s="292"/>
      <c r="I25" s="45" t="s">
        <v>127</v>
      </c>
      <c r="J25" s="292"/>
      <c r="K25" s="45" t="s">
        <v>131</v>
      </c>
      <c r="L25" s="292"/>
      <c r="M25" s="45" t="s">
        <v>132</v>
      </c>
      <c r="N25" s="292"/>
      <c r="O25" s="45" t="s">
        <v>134</v>
      </c>
      <c r="P25" s="292"/>
      <c r="Q25" s="45"/>
      <c r="AA25" s="103"/>
      <c r="AB25" s="42" t="n">
        <v>1</v>
      </c>
    </row>
    <row r="26" customFormat="false" ht="15.75" hidden="false" customHeight="true" outlineLevel="0" collapsed="false">
      <c r="D26" s="614"/>
      <c r="E26" s="615" t="s">
        <v>116</v>
      </c>
      <c r="F26" s="615"/>
      <c r="G26" s="777" t="str">
        <f aca="false">IF(G25="","",INDEX(DIFFERENTIATION_UNMERGE_VD,MATCH(G25,DIFFERENTIATION_ID_DIFF,0)))</f>
        <v/>
      </c>
      <c r="H26" s="777"/>
      <c r="I26" s="777" t="str">
        <f aca="false">IF(I25="","",INDEX(DIFFERENTIATION_UNMERGE_VD,MATCH(I25,DIFFERENTIATION_ID_DIFF,0)))</f>
        <v>Производство тепловой энергии. Некомбинированная выработка</v>
      </c>
      <c r="J26" s="777"/>
      <c r="K26" s="777" t="str">
        <f aca="false">IF(K25="","",INDEX(DIFFERENTIATION_UNMERGE_VD,MATCH(K25,DIFFERENTIATION_ID_DIFF,0)))</f>
        <v>Производство тепловой энергии. Некомбинированная выработка</v>
      </c>
      <c r="L26" s="777"/>
      <c r="M26" s="777" t="str">
        <f aca="false">IF(M25="","",INDEX(DIFFERENTIATION_UNMERGE_VD,MATCH(M25,DIFFERENTIATION_ID_DIFF,0)))</f>
        <v>Производство тепловой энергии. Некомбинированная выработка</v>
      </c>
      <c r="N26" s="777"/>
      <c r="O26" s="777" t="str">
        <f aca="false">IF(O25="","",INDEX(DIFFERENTIATION_UNMERGE_VD,MATCH(O25,DIFFERENTIATION_ID_DIFF,0)))</f>
        <v>Производство. Теплоноситель</v>
      </c>
      <c r="P26" s="777"/>
      <c r="Q26" s="134" t="s">
        <v>314</v>
      </c>
      <c r="AB26" s="42" t="n">
        <v>15</v>
      </c>
    </row>
    <row r="27" s="42" customFormat="true" ht="15.75" hidden="false" customHeight="true" outlineLevel="0" collapsed="false">
      <c r="A27" s="45"/>
      <c r="C27" s="138"/>
      <c r="D27" s="614"/>
      <c r="E27" s="615" t="s">
        <v>577</v>
      </c>
      <c r="F27" s="615"/>
      <c r="G27" s="777" t="str">
        <f aca="false">IF(G25="","",INDEX(DIFFERENTIATION_UNMERGE_AREA,MATCH(G25,DIFFERENTIATION_ID_DIFF,0)))</f>
        <v/>
      </c>
      <c r="H27" s="777"/>
      <c r="I27" s="777" t="str">
        <f aca="false">IF(I25="","",INDEX(DIFFERENTIATION_UNMERGE_AREA,MATCH(I25,DIFFERENTIATION_ID_DIFF,0)))</f>
        <v>Территория 1</v>
      </c>
      <c r="J27" s="777"/>
      <c r="K27" s="777" t="str">
        <f aca="false">IF(K25="","",INDEX(DIFFERENTIATION_UNMERGE_AREA,MATCH(K25,DIFFERENTIATION_ID_DIFF,0)))</f>
        <v>Территория 2</v>
      </c>
      <c r="L27" s="777"/>
      <c r="M27" s="777" t="str">
        <f aca="false">IF(M25="","",INDEX(DIFFERENTIATION_UNMERGE_AREA,MATCH(M25,DIFFERENTIATION_ID_DIFF,0)))</f>
        <v>Территория 3</v>
      </c>
      <c r="N27" s="777"/>
      <c r="O27" s="777" t="str">
        <f aca="false">IF(O25="","",INDEX(DIFFERENTIATION_UNMERGE_AREA,MATCH(O25,DIFFERENTIATION_ID_DIFF,0)))</f>
        <v>Территория 1</v>
      </c>
      <c r="P27" s="777"/>
      <c r="Q27" s="134"/>
      <c r="AA27" s="103"/>
      <c r="AB27" s="42" t="n">
        <v>15</v>
      </c>
    </row>
    <row r="28" s="42" customFormat="true" ht="15.75" hidden="false" customHeight="true" outlineLevel="0" collapsed="false">
      <c r="A28" s="45"/>
      <c r="C28" s="138"/>
      <c r="D28" s="614"/>
      <c r="E28" s="615" t="s">
        <v>578</v>
      </c>
      <c r="F28" s="615"/>
      <c r="G28" s="777" t="str">
        <f aca="false">IF(G25="","",INDEX(DIFFERENTIATION_UNMERGE_SYSTEM,MATCH(G25,DIFFERENTIATION_ID_DIFF,0)))</f>
        <v/>
      </c>
      <c r="H28" s="777"/>
      <c r="I28" s="777" t="str">
        <f aca="false">IF(I25="","",INDEX(DIFFERENTIATION_UNMERGE_SYSTEM,MATCH(I25,DIFFERENTIATION_ID_DIFF,0)))</f>
        <v>без дифференциации</v>
      </c>
      <c r="J28" s="777"/>
      <c r="K28" s="777" t="str">
        <f aca="false">IF(K25="","",INDEX(DIFFERENTIATION_UNMERGE_SYSTEM,MATCH(K25,DIFFERENTIATION_ID_DIFF,0)))</f>
        <v>без дифференциации</v>
      </c>
      <c r="L28" s="777"/>
      <c r="M28" s="777" t="str">
        <f aca="false">IF(M25="","",INDEX(DIFFERENTIATION_UNMERGE_SYSTEM,MATCH(M25,DIFFERENTIATION_ID_DIFF,0)))</f>
        <v>без дифференциации</v>
      </c>
      <c r="N28" s="777"/>
      <c r="O28" s="777" t="str">
        <f aca="false">IF(O25="","",INDEX(DIFFERENTIATION_UNMERGE_SYSTEM,MATCH(O25,DIFFERENTIATION_ID_DIFF,0)))</f>
        <v>без дифференциации</v>
      </c>
      <c r="P28" s="777"/>
      <c r="Q28" s="134"/>
      <c r="AA28" s="103"/>
      <c r="AB28" s="42" t="n">
        <v>15</v>
      </c>
    </row>
    <row r="29" s="42" customFormat="true" ht="15.75" hidden="false" customHeight="true" outlineLevel="0" collapsed="false">
      <c r="A29" s="45"/>
      <c r="C29" s="138"/>
      <c r="D29" s="617" t="s">
        <v>313</v>
      </c>
      <c r="E29" s="617"/>
      <c r="F29" s="617"/>
      <c r="G29" s="618"/>
      <c r="H29" s="618"/>
      <c r="I29" s="618"/>
      <c r="J29" s="615"/>
      <c r="K29" s="618"/>
      <c r="L29" s="618"/>
      <c r="M29" s="618"/>
      <c r="N29" s="618"/>
      <c r="O29" s="618"/>
      <c r="P29" s="618"/>
      <c r="Q29" s="134"/>
      <c r="AA29" s="103"/>
      <c r="AB29" s="42" t="n">
        <v>15</v>
      </c>
    </row>
    <row r="30" customFormat="false" ht="35.25" hidden="false" customHeight="true" outlineLevel="0" collapsed="false">
      <c r="D30" s="146" t="s">
        <v>87</v>
      </c>
      <c r="E30" s="134" t="s">
        <v>315</v>
      </c>
      <c r="F30" s="146" t="s">
        <v>579</v>
      </c>
      <c r="G30" s="265" t="s">
        <v>316</v>
      </c>
      <c r="H30" s="146" t="s">
        <v>403</v>
      </c>
      <c r="I30" s="265" t="s">
        <v>316</v>
      </c>
      <c r="J30" s="146" t="s">
        <v>403</v>
      </c>
      <c r="K30" s="265" t="s">
        <v>316</v>
      </c>
      <c r="L30" s="146" t="s">
        <v>403</v>
      </c>
      <c r="M30" s="265" t="s">
        <v>316</v>
      </c>
      <c r="N30" s="146" t="s">
        <v>403</v>
      </c>
      <c r="O30" s="265" t="s">
        <v>316</v>
      </c>
      <c r="P30" s="146" t="s">
        <v>403</v>
      </c>
      <c r="Q30" s="134"/>
      <c r="AB30" s="42" t="n">
        <v>34</v>
      </c>
    </row>
    <row r="31" customFormat="false" ht="15" hidden="true" customHeight="true" outlineLevel="0" collapsed="false">
      <c r="D31" s="189"/>
      <c r="E31" s="189"/>
      <c r="F31" s="189"/>
      <c r="G31" s="138"/>
      <c r="H31" s="138"/>
      <c r="I31" s="138"/>
      <c r="J31" s="138"/>
      <c r="K31" s="138"/>
      <c r="L31" s="138"/>
      <c r="M31" s="138"/>
      <c r="N31" s="138"/>
      <c r="O31" s="138"/>
      <c r="P31" s="138"/>
      <c r="Q31" s="417"/>
      <c r="AB31" s="42" t="n">
        <v>0</v>
      </c>
    </row>
    <row r="32" customFormat="false" ht="24" hidden="false" customHeight="true" outlineLevel="0" collapsed="false">
      <c r="A32" s="42"/>
      <c r="B32" s="42" t="s">
        <v>982</v>
      </c>
      <c r="C32" s="117"/>
      <c r="D32" s="778" t="n">
        <v>1</v>
      </c>
      <c r="E32" s="737" t="s">
        <v>983</v>
      </c>
      <c r="F32" s="209" t="s">
        <v>319</v>
      </c>
      <c r="G32" s="209" t="s">
        <v>319</v>
      </c>
      <c r="H32" s="209" t="s">
        <v>319</v>
      </c>
      <c r="I32" s="209" t="s">
        <v>319</v>
      </c>
      <c r="J32" s="209" t="s">
        <v>319</v>
      </c>
      <c r="K32" s="209" t="s">
        <v>319</v>
      </c>
      <c r="L32" s="209" t="s">
        <v>319</v>
      </c>
      <c r="M32" s="209" t="s">
        <v>319</v>
      </c>
      <c r="N32" s="209" t="s">
        <v>319</v>
      </c>
      <c r="O32" s="209" t="s">
        <v>319</v>
      </c>
      <c r="P32" s="209" t="s">
        <v>319</v>
      </c>
      <c r="Q32" s="417"/>
      <c r="AB32" s="42" t="n">
        <v>23</v>
      </c>
    </row>
    <row r="33" customFormat="false" ht="11.25" hidden="false" customHeight="true" outlineLevel="0" collapsed="false">
      <c r="A33" s="42"/>
      <c r="C33" s="42"/>
      <c r="D33" s="727"/>
      <c r="E33" s="161" t="s">
        <v>614</v>
      </c>
      <c r="F33" s="634"/>
      <c r="G33" s="634"/>
      <c r="H33" s="634"/>
      <c r="I33" s="634"/>
      <c r="J33" s="634"/>
      <c r="K33" s="634"/>
      <c r="L33" s="634"/>
      <c r="M33" s="634"/>
      <c r="N33" s="634"/>
      <c r="O33" s="634"/>
      <c r="P33" s="634"/>
      <c r="Q33" s="635"/>
      <c r="AA33" s="42"/>
      <c r="AB33" s="42" t="n">
        <v>11</v>
      </c>
    </row>
    <row r="34" customFormat="false" ht="24" hidden="false" customHeight="true" outlineLevel="0" collapsed="false">
      <c r="A34" s="42"/>
      <c r="B34" s="75" t="s">
        <v>667</v>
      </c>
      <c r="C34" s="117"/>
      <c r="D34" s="778" t="n">
        <v>2</v>
      </c>
      <c r="E34" s="737" t="s">
        <v>984</v>
      </c>
      <c r="F34" s="209" t="s">
        <v>319</v>
      </c>
      <c r="G34" s="209" t="s">
        <v>319</v>
      </c>
      <c r="H34" s="209" t="s">
        <v>319</v>
      </c>
      <c r="I34" s="209"/>
      <c r="J34" s="209"/>
      <c r="K34" s="209" t="s">
        <v>319</v>
      </c>
      <c r="L34" s="209" t="s">
        <v>319</v>
      </c>
      <c r="M34" s="209" t="s">
        <v>319</v>
      </c>
      <c r="N34" s="209" t="s">
        <v>319</v>
      </c>
      <c r="O34" s="209" t="s">
        <v>319</v>
      </c>
      <c r="P34" s="209" t="s">
        <v>319</v>
      </c>
      <c r="Q34" s="417"/>
      <c r="AB34" s="42" t="n">
        <v>23</v>
      </c>
    </row>
    <row r="35" customFormat="false" ht="11.25" hidden="false" customHeight="true" outlineLevel="0" collapsed="false">
      <c r="A35" s="42"/>
      <c r="C35" s="42"/>
      <c r="D35" s="727"/>
      <c r="E35" s="161" t="s">
        <v>985</v>
      </c>
      <c r="F35" s="634"/>
      <c r="G35" s="779"/>
      <c r="H35" s="634"/>
      <c r="I35" s="779"/>
      <c r="J35" s="634"/>
      <c r="K35" s="779"/>
      <c r="L35" s="634"/>
      <c r="M35" s="779"/>
      <c r="N35" s="634"/>
      <c r="O35" s="779"/>
      <c r="P35" s="634"/>
      <c r="Q35" s="635"/>
      <c r="AA35" s="42"/>
      <c r="AB35" s="42" t="n">
        <v>11</v>
      </c>
    </row>
    <row r="36" customFormat="false" ht="71.25" hidden="false" customHeight="true" outlineLevel="0" collapsed="false">
      <c r="A36" s="42"/>
      <c r="B36" s="42" t="s">
        <v>986</v>
      </c>
      <c r="C36" s="117"/>
      <c r="D36" s="778" t="n">
        <v>3</v>
      </c>
      <c r="E36" s="737" t="s">
        <v>987</v>
      </c>
      <c r="F36" s="716" t="s">
        <v>319</v>
      </c>
      <c r="G36" s="204" t="s">
        <v>988</v>
      </c>
      <c r="H36" s="209" t="s">
        <v>319</v>
      </c>
      <c r="I36" s="204" t="s">
        <v>988</v>
      </c>
      <c r="J36" s="209" t="s">
        <v>319</v>
      </c>
      <c r="K36" s="204" t="s">
        <v>988</v>
      </c>
      <c r="L36" s="209" t="s">
        <v>319</v>
      </c>
      <c r="M36" s="204" t="s">
        <v>988</v>
      </c>
      <c r="N36" s="209" t="s">
        <v>319</v>
      </c>
      <c r="O36" s="204" t="s">
        <v>988</v>
      </c>
      <c r="P36" s="209" t="s">
        <v>319</v>
      </c>
      <c r="Q36" s="417" t="s">
        <v>989</v>
      </c>
      <c r="AB36" s="42" t="n">
        <v>68</v>
      </c>
    </row>
    <row r="37" customFormat="false" ht="11.25" hidden="false" customHeight="true" outlineLevel="0" collapsed="false">
      <c r="A37" s="42"/>
      <c r="C37" s="42"/>
      <c r="D37" s="727"/>
      <c r="E37" s="161" t="s">
        <v>990</v>
      </c>
      <c r="F37" s="634"/>
      <c r="G37" s="779"/>
      <c r="H37" s="779"/>
      <c r="I37" s="779"/>
      <c r="J37" s="779"/>
      <c r="K37" s="779"/>
      <c r="L37" s="779"/>
      <c r="M37" s="779"/>
      <c r="N37" s="779"/>
      <c r="O37" s="779"/>
      <c r="P37" s="779"/>
      <c r="Q37" s="635"/>
      <c r="AA37" s="42"/>
      <c r="AB37" s="42" t="n">
        <v>11</v>
      </c>
    </row>
    <row r="38" customFormat="false" ht="71.25" hidden="false" customHeight="true" outlineLevel="0" collapsed="false">
      <c r="A38" s="42"/>
      <c r="B38" s="42" t="s">
        <v>991</v>
      </c>
      <c r="C38" s="117"/>
      <c r="D38" s="778" t="n">
        <v>4</v>
      </c>
      <c r="E38" s="737" t="s">
        <v>992</v>
      </c>
      <c r="F38" s="716" t="s">
        <v>319</v>
      </c>
      <c r="G38" s="204" t="s">
        <v>988</v>
      </c>
      <c r="H38" s="146" t="s">
        <v>319</v>
      </c>
      <c r="I38" s="204" t="s">
        <v>988</v>
      </c>
      <c r="J38" s="146" t="s">
        <v>319</v>
      </c>
      <c r="K38" s="204" t="s">
        <v>988</v>
      </c>
      <c r="L38" s="146" t="s">
        <v>319</v>
      </c>
      <c r="M38" s="204" t="s">
        <v>988</v>
      </c>
      <c r="N38" s="146" t="s">
        <v>319</v>
      </c>
      <c r="O38" s="204" t="s">
        <v>988</v>
      </c>
      <c r="P38" s="146" t="s">
        <v>319</v>
      </c>
      <c r="Q38" s="780" t="s">
        <v>993</v>
      </c>
      <c r="AB38" s="42" t="n">
        <v>68</v>
      </c>
    </row>
    <row r="39" customFormat="false" ht="11.25" hidden="false" customHeight="true" outlineLevel="0" collapsed="false">
      <c r="A39" s="42"/>
      <c r="C39" s="42"/>
      <c r="D39" s="727"/>
      <c r="E39" s="161" t="s">
        <v>994</v>
      </c>
      <c r="F39" s="634"/>
      <c r="G39" s="634"/>
      <c r="H39" s="781"/>
      <c r="I39" s="634"/>
      <c r="J39" s="781"/>
      <c r="K39" s="634"/>
      <c r="L39" s="781"/>
      <c r="M39" s="634"/>
      <c r="N39" s="781"/>
      <c r="O39" s="634"/>
      <c r="P39" s="781"/>
      <c r="Q39" s="635"/>
      <c r="AA39" s="42"/>
      <c r="AB39" s="42" t="n">
        <v>11</v>
      </c>
    </row>
    <row r="40" customFormat="false" ht="22.5" hidden="true" customHeight="true" outlineLevel="0" collapsed="false">
      <c r="A40" s="45" t="s">
        <v>81</v>
      </c>
      <c r="B40" s="42" t="n">
        <v>0</v>
      </c>
      <c r="C40" s="138" t="n">
        <v>4</v>
      </c>
      <c r="D40" s="42" t="n">
        <v>6</v>
      </c>
      <c r="E40" s="42" t="n">
        <v>36</v>
      </c>
      <c r="F40" s="42" t="n">
        <v>9</v>
      </c>
      <c r="G40" s="42" t="n">
        <v>0</v>
      </c>
      <c r="H40" s="42" t="n">
        <v>0</v>
      </c>
      <c r="I40" s="42" t="n">
        <v>25</v>
      </c>
      <c r="J40" s="42" t="n">
        <v>33</v>
      </c>
      <c r="K40" s="42" t="n">
        <v>0</v>
      </c>
      <c r="L40" s="42" t="n">
        <v>0</v>
      </c>
      <c r="M40" s="42" t="n">
        <v>0</v>
      </c>
      <c r="N40" s="42" t="n">
        <v>0</v>
      </c>
      <c r="O40" s="42" t="n">
        <v>0</v>
      </c>
      <c r="P40" s="42" t="n">
        <v>0</v>
      </c>
      <c r="Q40" s="45" t="n">
        <v>93</v>
      </c>
      <c r="R40" s="42" t="n">
        <v>10</v>
      </c>
      <c r="S40" s="42" t="n">
        <v>10</v>
      </c>
      <c r="T40" s="42" t="n">
        <v>10</v>
      </c>
      <c r="U40" s="42" t="n">
        <v>10</v>
      </c>
      <c r="V40" s="42" t="n">
        <v>10</v>
      </c>
      <c r="W40" s="42" t="n">
        <v>10</v>
      </c>
      <c r="X40" s="42" t="n">
        <v>10</v>
      </c>
      <c r="Y40" s="42" t="n">
        <v>10</v>
      </c>
      <c r="Z40" s="42" t="n">
        <v>10</v>
      </c>
      <c r="AA40" s="103" t="n">
        <v>10</v>
      </c>
      <c r="AB40" s="42" t="n">
        <v>23</v>
      </c>
    </row>
  </sheetData>
  <mergeCells count="30">
    <mergeCell ref="B3:B4"/>
    <mergeCell ref="C3:C4"/>
    <mergeCell ref="B6:B7"/>
    <mergeCell ref="C6:C7"/>
    <mergeCell ref="B9:B11"/>
    <mergeCell ref="C9:C11"/>
    <mergeCell ref="B13:B14"/>
    <mergeCell ref="C13:C14"/>
    <mergeCell ref="D22:I22"/>
    <mergeCell ref="D23:I23"/>
    <mergeCell ref="E26:F26"/>
    <mergeCell ref="G26:H26"/>
    <mergeCell ref="I26:J26"/>
    <mergeCell ref="K26:L26"/>
    <mergeCell ref="M26:N26"/>
    <mergeCell ref="O26:P26"/>
    <mergeCell ref="Q26:Q30"/>
    <mergeCell ref="E27:F27"/>
    <mergeCell ref="G27:H27"/>
    <mergeCell ref="I27:J27"/>
    <mergeCell ref="K27:L27"/>
    <mergeCell ref="M27:N27"/>
    <mergeCell ref="O27:P27"/>
    <mergeCell ref="E28:F28"/>
    <mergeCell ref="G28:H28"/>
    <mergeCell ref="I28:J28"/>
    <mergeCell ref="K28:L28"/>
    <mergeCell ref="M28:N28"/>
    <mergeCell ref="O28:P28"/>
    <mergeCell ref="D29:F29"/>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4 I4 K4 M4 O4 G7 I7 K7 M7 O7 G10:G11 I10:I11 K10:K11 M10:M11 O10:O11 G14 I14 K14 M14 O14" type="none">
      <formula1>0</formula1>
      <formula2>0</formula2>
    </dataValidation>
    <dataValidation allowBlank="true" errorStyle="stop" operator="between" prompt="Для выбора выполните двойной щелчок левой клавиши мыши по ячейке." showDropDown="false" showErrorMessage="true" showInputMessage="true" sqref="G36 I36 K36 M36 O36 G38 I38 K38 M38 O38"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3:H4 J3:J4 L3:L4 N3:N4 P3:P4 H6:H7 J6:J7 L6:L7 N6:N7 P6:P7 H9:H11 J9:J11 L9:L11 N9:N11 P9:P11 H13:H14 J13:J14 L13:L14 N13:N14 P13:P14"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G3 I3 K3 M3 O3 G6 I6 K6 M6 O6 G9 I9 K9 M9 O9 G13 I13 K13 M13 O13" type="textLength">
      <formula1>900</formula1>
      <formula2>0</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3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18"/>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Y13" activeCellId="0" sqref="Y13"/>
    </sheetView>
  </sheetViews>
  <sheetFormatPr defaultColWidth="9.14453125" defaultRowHeight="10.5" zeroHeight="false" outlineLevelRow="0" outlineLevelCol="0"/>
  <cols>
    <col collapsed="false" customWidth="true" hidden="true" outlineLevel="0" max="3" min="1" style="113" width="6.71"/>
    <col collapsed="false" customWidth="true" hidden="true" outlineLevel="0" max="4" min="4" style="45" width="6.71"/>
    <col collapsed="false" customWidth="true" hidden="false" outlineLevel="0" max="5" min="5" style="42" width="3"/>
    <col collapsed="false" customWidth="true" hidden="false" outlineLevel="0" max="6" min="6" style="42" width="6"/>
    <col collapsed="false" customWidth="true" hidden="false" outlineLevel="0" max="7" min="7" style="42" width="37"/>
    <col collapsed="false" customWidth="true" hidden="false" outlineLevel="0" max="8" min="8" style="42" width="16"/>
    <col collapsed="false" customWidth="true" hidden="false" outlineLevel="0" max="10" min="9" style="42" width="19"/>
    <col collapsed="false" customWidth="true" hidden="false" outlineLevel="0" max="11" min="11" style="42" width="24"/>
    <col collapsed="false" customWidth="true" hidden="false" outlineLevel="0" max="13" min="12" style="42" width="25"/>
    <col collapsed="false" customWidth="true" hidden="false" outlineLevel="0" max="16" min="14" style="42" width="17"/>
    <col collapsed="false" customWidth="true" hidden="false" outlineLevel="0" max="24" min="17" style="42" width="19"/>
    <col collapsed="false" customWidth="true" hidden="false" outlineLevel="0" max="25" min="25" style="42" width="7"/>
    <col collapsed="false" customWidth="true" hidden="false" outlineLevel="0" max="26" min="26" style="42" width="3"/>
    <col collapsed="false" customWidth="true" hidden="false" outlineLevel="0" max="27" min="27" style="42" width="6"/>
    <col collapsed="false" customWidth="true" hidden="false" outlineLevel="0" max="28" min="28" style="42" width="34"/>
    <col collapsed="false" customWidth="true" hidden="false" outlineLevel="0" max="30" min="29" style="42" width="8"/>
    <col collapsed="false" customWidth="false" hidden="true" outlineLevel="0" max="31" min="31" style="42" width="9.14"/>
  </cols>
  <sheetData>
    <row r="1" s="45" customFormat="true" ht="10.5" hidden="true" customHeight="true" outlineLevel="0" collapsed="false">
      <c r="A1" s="113"/>
      <c r="B1" s="113"/>
      <c r="C1" s="113"/>
      <c r="AE1" s="45" t="s">
        <v>14</v>
      </c>
    </row>
    <row r="2" customFormat="false" ht="10.5" hidden="true" customHeight="true" outlineLevel="0" collapsed="false">
      <c r="AE2" s="42" t="n">
        <v>0</v>
      </c>
    </row>
    <row r="3" s="45" customFormat="true" ht="10.5" hidden="true" customHeight="true" outlineLevel="0" collapsed="false">
      <c r="A3" s="113"/>
      <c r="B3" s="113"/>
      <c r="C3" s="113"/>
      <c r="G3" s="45" t="s">
        <v>995</v>
      </c>
      <c r="AE3" s="45" t="n">
        <v>0</v>
      </c>
    </row>
    <row r="4" customFormat="false" ht="3" hidden="false" customHeight="true" outlineLevel="0" collapsed="false">
      <c r="AE4" s="42" t="n">
        <v>3</v>
      </c>
    </row>
    <row r="5" customFormat="false" ht="27" hidden="false" customHeight="true" outlineLevel="0" collapsed="false">
      <c r="F5" s="386" t="str">
        <f aca="false">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86"/>
      <c r="H5" s="386"/>
      <c r="I5" s="386"/>
      <c r="J5" s="386"/>
      <c r="K5" s="386"/>
      <c r="M5" s="96"/>
      <c r="AE5" s="42" t="n">
        <v>26</v>
      </c>
    </row>
    <row r="6" s="42" customFormat="true" ht="16.5" hidden="false" customHeight="true" outlineLevel="0" collapsed="false">
      <c r="A6" s="113"/>
      <c r="B6" s="113"/>
      <c r="C6" s="113"/>
      <c r="D6" s="45"/>
      <c r="F6" s="261" t="str">
        <f aca="false">IF(org=0,"Не определено",org)</f>
        <v>ООО "Газпром теплоэнерго Ярославль"</v>
      </c>
      <c r="G6" s="261"/>
      <c r="H6" s="261"/>
      <c r="I6" s="261"/>
      <c r="J6" s="261"/>
      <c r="K6" s="261"/>
      <c r="M6" s="96"/>
      <c r="AE6" s="42" t="n">
        <v>16</v>
      </c>
    </row>
    <row r="7" customFormat="false" ht="10.5" hidden="false" customHeight="true" outlineLevel="0" collapsed="false">
      <c r="AE7" s="42" t="n">
        <v>10</v>
      </c>
    </row>
    <row r="8" customFormat="false" ht="10.5" hidden="false" customHeight="true" outlineLevel="0" collapsed="false">
      <c r="F8" s="134" t="s">
        <v>313</v>
      </c>
      <c r="G8" s="134"/>
      <c r="H8" s="134"/>
      <c r="I8" s="134"/>
      <c r="J8" s="134"/>
      <c r="K8" s="134"/>
      <c r="L8" s="134"/>
      <c r="M8" s="134"/>
      <c r="N8" s="134"/>
      <c r="O8" s="134"/>
      <c r="P8" s="134"/>
      <c r="Q8" s="134"/>
      <c r="R8" s="134"/>
      <c r="S8" s="134"/>
      <c r="T8" s="134"/>
      <c r="U8" s="134"/>
      <c r="V8" s="134"/>
      <c r="W8" s="134"/>
      <c r="X8" s="134"/>
      <c r="Y8" s="134"/>
      <c r="Z8" s="134"/>
      <c r="AA8" s="134"/>
      <c r="AB8" s="134"/>
      <c r="AE8" s="42" t="n">
        <v>10</v>
      </c>
    </row>
    <row r="9" customFormat="false" ht="42.75" hidden="false" customHeight="true" outlineLevel="0" collapsed="false">
      <c r="A9" s="782"/>
      <c r="B9" s="782"/>
      <c r="C9" s="782"/>
      <c r="F9" s="262" t="s">
        <v>87</v>
      </c>
      <c r="G9" s="262" t="s">
        <v>995</v>
      </c>
      <c r="H9" s="134" t="s">
        <v>996</v>
      </c>
      <c r="I9" s="262" t="s">
        <v>997</v>
      </c>
      <c r="J9" s="262" t="s">
        <v>998</v>
      </c>
      <c r="K9" s="262" t="s">
        <v>999</v>
      </c>
      <c r="L9" s="262" t="s">
        <v>1000</v>
      </c>
      <c r="M9" s="262" t="s">
        <v>1001</v>
      </c>
      <c r="N9" s="391" t="s">
        <v>1002</v>
      </c>
      <c r="O9" s="391"/>
      <c r="P9" s="391"/>
      <c r="Q9" s="296" t="s">
        <v>1003</v>
      </c>
      <c r="R9" s="296"/>
      <c r="S9" s="296"/>
      <c r="T9" s="296"/>
      <c r="U9" s="296" t="s">
        <v>1004</v>
      </c>
      <c r="V9" s="296"/>
      <c r="W9" s="296"/>
      <c r="X9" s="296"/>
      <c r="Y9" s="134" t="s">
        <v>1005</v>
      </c>
      <c r="Z9" s="134"/>
      <c r="AA9" s="134"/>
      <c r="AB9" s="134"/>
      <c r="AE9" s="42" t="n">
        <v>41</v>
      </c>
    </row>
    <row r="10" customFormat="false" ht="42.75" hidden="false" customHeight="true" outlineLevel="0" collapsed="false">
      <c r="A10" s="782"/>
      <c r="B10" s="782"/>
      <c r="C10" s="782"/>
      <c r="F10" s="262"/>
      <c r="G10" s="262"/>
      <c r="H10" s="134"/>
      <c r="I10" s="262"/>
      <c r="J10" s="262"/>
      <c r="K10" s="262"/>
      <c r="L10" s="262"/>
      <c r="M10" s="262"/>
      <c r="N10" s="564" t="s">
        <v>1006</v>
      </c>
      <c r="O10" s="564" t="s">
        <v>1007</v>
      </c>
      <c r="P10" s="783" t="s">
        <v>1008</v>
      </c>
      <c r="Q10" s="564" t="s">
        <v>88</v>
      </c>
      <c r="R10" s="564" t="s">
        <v>1009</v>
      </c>
      <c r="S10" s="564" t="s">
        <v>1010</v>
      </c>
      <c r="T10" s="784" t="s">
        <v>1011</v>
      </c>
      <c r="U10" s="564" t="s">
        <v>88</v>
      </c>
      <c r="V10" s="564" t="s">
        <v>1012</v>
      </c>
      <c r="W10" s="564" t="s">
        <v>1010</v>
      </c>
      <c r="X10" s="784" t="s">
        <v>1011</v>
      </c>
      <c r="Y10" s="475" t="s">
        <v>1013</v>
      </c>
      <c r="Z10" s="134" t="s">
        <v>87</v>
      </c>
      <c r="AA10" s="134"/>
      <c r="AB10" s="146" t="s">
        <v>1014</v>
      </c>
      <c r="AE10" s="42" t="n">
        <v>41</v>
      </c>
    </row>
    <row r="11" s="47" customFormat="true" ht="5.25" hidden="true" customHeight="true" outlineLevel="0" collapsed="false">
      <c r="A11" s="456"/>
      <c r="B11" s="456"/>
      <c r="C11" s="456"/>
      <c r="E11" s="121"/>
      <c r="F11" s="556" t="s">
        <v>389</v>
      </c>
      <c r="G11" s="785"/>
      <c r="H11" s="368"/>
      <c r="I11" s="368"/>
      <c r="J11" s="368"/>
      <c r="K11" s="393"/>
      <c r="L11" s="393"/>
      <c r="M11" s="393"/>
      <c r="N11" s="368"/>
      <c r="O11" s="368"/>
      <c r="P11" s="134"/>
      <c r="Q11" s="283"/>
      <c r="R11" s="283"/>
      <c r="S11" s="283"/>
      <c r="T11" s="368"/>
      <c r="U11" s="283"/>
      <c r="V11" s="283"/>
      <c r="W11" s="283"/>
      <c r="X11" s="368"/>
      <c r="Y11" s="198"/>
      <c r="Z11" s="198"/>
      <c r="AA11" s="198"/>
      <c r="AB11" s="198"/>
      <c r="AD11" s="47" t="s">
        <v>1015</v>
      </c>
      <c r="AE11" s="47" t="n">
        <v>0</v>
      </c>
    </row>
    <row r="12" s="47" customFormat="true" ht="5.25" hidden="true" customHeight="true" outlineLevel="0" collapsed="false">
      <c r="A12" s="456"/>
      <c r="B12" s="456"/>
      <c r="C12" s="456"/>
      <c r="F12" s="556"/>
      <c r="G12" s="785"/>
      <c r="H12" s="368"/>
      <c r="I12" s="368"/>
      <c r="J12" s="368"/>
      <c r="K12" s="393"/>
      <c r="L12" s="393"/>
      <c r="M12" s="393"/>
      <c r="N12" s="368"/>
      <c r="O12" s="368"/>
      <c r="P12" s="134"/>
      <c r="Q12" s="283"/>
      <c r="R12" s="283"/>
      <c r="S12" s="283"/>
      <c r="T12" s="368"/>
      <c r="U12" s="283"/>
      <c r="V12" s="283"/>
      <c r="W12" s="283"/>
      <c r="X12" s="368"/>
      <c r="Y12" s="198"/>
      <c r="Z12" s="198"/>
      <c r="AA12" s="198"/>
      <c r="AB12" s="198"/>
      <c r="AE12" s="47" t="n">
        <v>0</v>
      </c>
    </row>
    <row r="13" customFormat="false" ht="27" hidden="false" customHeight="true" outlineLevel="0" collapsed="false">
      <c r="E13" s="138" t="s">
        <v>103</v>
      </c>
      <c r="F13" s="786" t="s">
        <v>120</v>
      </c>
      <c r="G13" s="787" t="s">
        <v>1016</v>
      </c>
      <c r="H13" s="788" t="s">
        <v>61</v>
      </c>
      <c r="I13" s="789" t="n">
        <v>43403</v>
      </c>
      <c r="J13" s="790" t="n">
        <v>44875</v>
      </c>
      <c r="K13" s="791" t="s">
        <v>1017</v>
      </c>
      <c r="L13" s="792" t="s">
        <v>1018</v>
      </c>
      <c r="M13" s="792" t="s">
        <v>1019</v>
      </c>
      <c r="N13" s="793" t="s">
        <v>1020</v>
      </c>
      <c r="O13" s="793" t="s">
        <v>1021</v>
      </c>
      <c r="P13" s="794" t="str">
        <f aca="false">DATEDIF(DATEVALUE(N13),DATEVALUE(O13),"y")&amp;"г. "&amp;DATEDIF(DATEVALUE(N13),DATEVALUE(O13),"ym")&amp;"мес. "&amp;DATEVALUE(O13)-DATE(YEAR(DATEVALUE(O13)),MONTH(DATEVALUE(O13)),1)&amp;"дн. "</f>
        <v>4г. 11мес. 30дн.</v>
      </c>
      <c r="Q13" s="795" t="s">
        <v>1022</v>
      </c>
      <c r="R13" s="795" t="s">
        <v>1023</v>
      </c>
      <c r="S13" s="795" t="s">
        <v>1024</v>
      </c>
      <c r="T13" s="790" t="s">
        <v>1025</v>
      </c>
      <c r="U13" s="795" t="s">
        <v>1022</v>
      </c>
      <c r="V13" s="795" t="s">
        <v>1023</v>
      </c>
      <c r="W13" s="795" t="n">
        <v>226</v>
      </c>
      <c r="X13" s="790" t="n">
        <v>44875</v>
      </c>
      <c r="Y13" s="788" t="s">
        <v>19</v>
      </c>
      <c r="Z13" s="263"/>
      <c r="AA13" s="146" t="n">
        <v>1</v>
      </c>
      <c r="AB13" s="796"/>
      <c r="AD13" s="47" t="s">
        <v>1026</v>
      </c>
    </row>
    <row r="14" customFormat="false" ht="10.5" hidden="false" customHeight="true" outlineLevel="0" collapsed="false">
      <c r="E14" s="138"/>
      <c r="F14" s="786" t="s">
        <v>389</v>
      </c>
      <c r="G14" s="787"/>
      <c r="H14" s="788"/>
      <c r="I14" s="789"/>
      <c r="J14" s="790"/>
      <c r="K14" s="791"/>
      <c r="L14" s="792"/>
      <c r="M14" s="792"/>
      <c r="N14" s="793"/>
      <c r="O14" s="793"/>
      <c r="P14" s="794"/>
      <c r="Q14" s="795"/>
      <c r="R14" s="795"/>
      <c r="S14" s="795"/>
      <c r="T14" s="790"/>
      <c r="U14" s="795"/>
      <c r="V14" s="795"/>
      <c r="W14" s="795"/>
      <c r="X14" s="790"/>
      <c r="Y14" s="788"/>
      <c r="Z14" s="727"/>
      <c r="AA14" s="634"/>
      <c r="AB14" s="207" t="s">
        <v>1027</v>
      </c>
    </row>
    <row r="15" customFormat="false" ht="10.5" hidden="false" customHeight="true" outlineLevel="0" collapsed="false">
      <c r="F15" s="544"/>
      <c r="G15" s="161" t="s">
        <v>1028</v>
      </c>
      <c r="H15" s="161"/>
      <c r="I15" s="634"/>
      <c r="J15" s="634"/>
      <c r="K15" s="634"/>
      <c r="L15" s="634"/>
      <c r="M15" s="634"/>
      <c r="N15" s="634"/>
      <c r="O15" s="634"/>
      <c r="P15" s="634"/>
      <c r="Q15" s="634"/>
      <c r="R15" s="634"/>
      <c r="S15" s="634"/>
      <c r="T15" s="634"/>
      <c r="U15" s="634"/>
      <c r="V15" s="634"/>
      <c r="W15" s="634"/>
      <c r="X15" s="634"/>
      <c r="Y15" s="634"/>
      <c r="Z15" s="781"/>
      <c r="AA15" s="781"/>
      <c r="AB15" s="797"/>
      <c r="AE15" s="42" t="n">
        <v>10</v>
      </c>
    </row>
    <row r="16" customFormat="false" ht="10.5" hidden="false" customHeight="true" outlineLevel="0" collapsed="false">
      <c r="AE16" s="42" t="n">
        <v>10</v>
      </c>
    </row>
    <row r="17" s="47" customFormat="true" ht="10.5" hidden="false" customHeight="true" outlineLevel="0" collapsed="false">
      <c r="A17" s="456"/>
      <c r="B17" s="456"/>
      <c r="C17" s="456"/>
      <c r="H17" s="47" t="n">
        <f aca="false">_xlfn.iferror(MATCH("нет",IP_MAIN_DIFFERENTIATION_EVENTS_FLAG,0),0)</f>
        <v>0</v>
      </c>
      <c r="AE17" s="47" t="n">
        <v>10</v>
      </c>
    </row>
    <row r="18" customFormat="false" ht="10.5" hidden="true" customHeight="true" outlineLevel="0" collapsed="false">
      <c r="A18" s="113" t="s">
        <v>81</v>
      </c>
      <c r="B18" s="113" t="n">
        <v>0</v>
      </c>
      <c r="C18" s="113" t="n">
        <v>0</v>
      </c>
      <c r="D18" s="45" t="n">
        <v>0</v>
      </c>
      <c r="E18" s="42" t="n">
        <v>3</v>
      </c>
      <c r="F18" s="42" t="n">
        <v>6</v>
      </c>
      <c r="G18" s="42" t="n">
        <v>37</v>
      </c>
      <c r="H18" s="42" t="n">
        <v>16</v>
      </c>
      <c r="I18" s="42" t="n">
        <v>19</v>
      </c>
      <c r="J18" s="42" t="n">
        <v>19</v>
      </c>
      <c r="K18" s="42" t="n">
        <v>24</v>
      </c>
      <c r="L18" s="42" t="n">
        <v>25</v>
      </c>
      <c r="M18" s="42" t="n">
        <v>25</v>
      </c>
      <c r="N18" s="42" t="n">
        <v>17</v>
      </c>
      <c r="O18" s="42" t="n">
        <v>17</v>
      </c>
      <c r="P18" s="42" t="n">
        <v>17</v>
      </c>
      <c r="Q18" s="42" t="n">
        <v>19</v>
      </c>
      <c r="R18" s="42" t="n">
        <v>19</v>
      </c>
      <c r="S18" s="42" t="n">
        <v>19</v>
      </c>
      <c r="T18" s="42" t="n">
        <v>19</v>
      </c>
      <c r="U18" s="42" t="n">
        <v>19</v>
      </c>
      <c r="V18" s="42" t="n">
        <v>19</v>
      </c>
      <c r="W18" s="42" t="n">
        <v>19</v>
      </c>
      <c r="X18" s="42" t="n">
        <v>19</v>
      </c>
      <c r="Y18" s="42" t="n">
        <v>7</v>
      </c>
      <c r="Z18" s="42" t="n">
        <v>3</v>
      </c>
      <c r="AA18" s="42" t="n">
        <v>6</v>
      </c>
      <c r="AB18" s="42" t="n">
        <v>34</v>
      </c>
      <c r="AC18" s="42" t="n">
        <v>8</v>
      </c>
      <c r="AD18" s="42" t="n">
        <v>8</v>
      </c>
      <c r="AE18" s="42" t="n">
        <v>10</v>
      </c>
    </row>
  </sheetData>
  <mergeCells count="60">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S13:S14"/>
    <mergeCell ref="T13:T14"/>
    <mergeCell ref="U13:U14"/>
    <mergeCell ref="V13:V14"/>
    <mergeCell ref="W13:W14"/>
    <mergeCell ref="X13:X14"/>
    <mergeCell ref="Y13:Y14"/>
  </mergeCells>
  <dataValidations count="12">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13:J13 T13 X13" type="none">
      <formula1>0</formula1>
      <formula2>0</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13"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K1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L13"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13"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Q13"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R13"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S13"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U13"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V13"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W13"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AB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BG676"/>
  <sheetViews>
    <sheetView showFormulas="false" showGridLines="false" showRowColHeaders="true" showZeros="true" rightToLeft="false" tabSelected="false" showOutlineSymbols="true" defaultGridColor="true" view="normal" topLeftCell="A1" colorId="64" zoomScale="78" zoomScaleNormal="78" zoomScalePageLayoutView="100" workbookViewId="0">
      <selection pane="topLeft" activeCell="AI669" activeCellId="0" sqref="AI669"/>
    </sheetView>
  </sheetViews>
  <sheetFormatPr defaultColWidth="9.14453125" defaultRowHeight="10.5" zeroHeight="false" outlineLevelRow="0" outlineLevelCol="0"/>
  <cols>
    <col collapsed="false" customWidth="true" hidden="true" outlineLevel="0" max="3" min="1" style="113" width="4.14"/>
    <col collapsed="false" customWidth="true" hidden="true" outlineLevel="0" max="4" min="4" style="45" width="4.14"/>
    <col collapsed="false" customWidth="true" hidden="false" outlineLevel="0" max="5" min="5" style="42" width="3"/>
    <col collapsed="false" customWidth="true" hidden="false" outlineLevel="0" max="6" min="6" style="42" width="14"/>
    <col collapsed="false" customWidth="true" hidden="false" outlineLevel="0" max="7" min="7" style="42" width="3"/>
    <col collapsed="false" customWidth="true" hidden="false" outlineLevel="0" max="8" min="8" style="42" width="7"/>
    <col collapsed="false" customWidth="true" hidden="true" outlineLevel="0" max="10" min="9" style="42" width="16"/>
    <col collapsed="false" customWidth="true" hidden="false" outlineLevel="0" max="11" min="11" style="42" width="25"/>
    <col collapsed="false" customWidth="true" hidden="false" outlineLevel="0" max="12" min="12" style="42" width="7"/>
    <col collapsed="false" customWidth="true" hidden="false" outlineLevel="0" max="13" min="13" style="42" width="15"/>
    <col collapsed="false" customWidth="true" hidden="false" outlineLevel="0" max="14" min="14" style="42" width="3"/>
    <col collapsed="false" customWidth="true" hidden="false" outlineLevel="0" max="15" min="15" style="42" width="4"/>
    <col collapsed="false" customWidth="true" hidden="false" outlineLevel="0" max="16" min="16" style="42" width="8"/>
    <col collapsed="false" customWidth="true" hidden="false" outlineLevel="0" max="17" min="17" style="42" width="21"/>
    <col collapsed="false" customWidth="true" hidden="false" outlineLevel="0" max="18" min="18" style="42" width="14"/>
    <col collapsed="false" customWidth="true" hidden="false" outlineLevel="0" max="20" min="19" style="42" width="17"/>
    <col collapsed="false" customWidth="true" hidden="false" outlineLevel="0" max="21" min="21" style="42" width="9"/>
    <col collapsed="false" customWidth="true" hidden="false" outlineLevel="0" max="22" min="22" style="42" width="12"/>
    <col collapsed="false" customWidth="true" hidden="false" outlineLevel="0" max="23" min="23" style="42" width="9"/>
    <col collapsed="false" customWidth="true" hidden="false" outlineLevel="0" max="24" min="24" style="42" width="21"/>
    <col collapsed="false" customWidth="true" hidden="false" outlineLevel="0" max="25" min="25" style="42" width="12"/>
    <col collapsed="false" customWidth="true" hidden="false" outlineLevel="0" max="26" min="26" style="42" width="3"/>
    <col collapsed="false" customWidth="true" hidden="false" outlineLevel="0" max="27" min="27" style="42" width="6"/>
    <col collapsed="false" customWidth="true" hidden="false" outlineLevel="0" max="28" min="28" style="42" width="38"/>
    <col collapsed="false" customWidth="true" hidden="false" outlineLevel="0" max="29" min="29" style="42" width="15"/>
    <col collapsed="false" customWidth="true" hidden="false" outlineLevel="0" max="30" min="30" style="42" width="37.57"/>
    <col collapsed="false" customWidth="true" hidden="false" outlineLevel="0" max="31" min="31" style="42" width="15.71"/>
    <col collapsed="false" customWidth="true" hidden="false" outlineLevel="0" max="34" min="32" style="42" width="16"/>
    <col collapsed="false" customWidth="true" hidden="false" outlineLevel="0" max="37" min="35" style="42" width="16.71"/>
    <col collapsed="false" customWidth="true" hidden="false" outlineLevel="0" max="58" min="38" style="42" width="8"/>
    <col collapsed="false" customWidth="false" hidden="true" outlineLevel="0" max="59" min="59" style="42" width="9.14"/>
  </cols>
  <sheetData>
    <row r="1" s="45" customFormat="true" ht="10.5" hidden="true" customHeight="true" outlineLevel="0" collapsed="false">
      <c r="A1" s="113"/>
      <c r="B1" s="113"/>
      <c r="C1" s="113"/>
      <c r="BG1" s="45" t="s">
        <v>14</v>
      </c>
    </row>
    <row r="2" customFormat="false" ht="10.5" hidden="true" customHeight="true" outlineLevel="0" collapsed="false">
      <c r="BG2" s="42" t="n">
        <v>0</v>
      </c>
    </row>
    <row r="3" s="45" customFormat="true" ht="10.5" hidden="true" customHeight="true" outlineLevel="0" collapsed="false">
      <c r="A3" s="113"/>
      <c r="B3" s="113"/>
      <c r="C3" s="113"/>
      <c r="BG3" s="45" t="n">
        <v>0</v>
      </c>
    </row>
    <row r="4" customFormat="false" ht="3" hidden="false" customHeight="true" outlineLevel="0" collapsed="false">
      <c r="BG4" s="42" t="n">
        <v>3</v>
      </c>
    </row>
    <row r="5" customFormat="false" ht="27" hidden="false" customHeight="true" outlineLevel="0" collapsed="false">
      <c r="F5" s="386" t="str">
        <f aca="false">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86"/>
      <c r="H5" s="386"/>
      <c r="I5" s="386"/>
      <c r="J5" s="386"/>
      <c r="K5" s="386"/>
      <c r="L5" s="612"/>
      <c r="M5" s="612"/>
      <c r="BG5" s="42" t="n">
        <v>26</v>
      </c>
    </row>
    <row r="6" customFormat="false" ht="10.5" hidden="false" customHeight="true" outlineLevel="0" collapsed="false">
      <c r="F6" s="261" t="str">
        <f aca="false">IF(org=0,"Не определено",org)</f>
        <v>ООО "Газпром теплоэнерго Ярославль"</v>
      </c>
      <c r="G6" s="261"/>
      <c r="H6" s="261"/>
      <c r="I6" s="261"/>
      <c r="J6" s="261"/>
      <c r="K6" s="261"/>
      <c r="L6" s="612"/>
      <c r="M6" s="612"/>
      <c r="BG6" s="42" t="n">
        <v>10</v>
      </c>
    </row>
    <row r="7" customFormat="false" ht="11.25" hidden="false" customHeight="true" outlineLevel="0" collapsed="false">
      <c r="E7" s="80"/>
      <c r="F7" s="798"/>
      <c r="G7" s="798"/>
      <c r="H7" s="798"/>
      <c r="I7" s="798"/>
      <c r="J7" s="798"/>
      <c r="K7" s="799"/>
      <c r="L7" s="799"/>
      <c r="M7" s="799"/>
      <c r="N7" s="798"/>
      <c r="O7" s="798"/>
      <c r="P7" s="798"/>
      <c r="Q7" s="799"/>
      <c r="R7" s="798"/>
      <c r="S7" s="798"/>
      <c r="T7" s="798"/>
      <c r="U7" s="798"/>
      <c r="V7" s="798"/>
      <c r="W7" s="798"/>
      <c r="X7" s="798"/>
      <c r="Y7" s="798"/>
      <c r="Z7" s="798"/>
      <c r="AA7" s="798"/>
      <c r="AB7" s="798"/>
      <c r="AC7" s="800"/>
      <c r="AD7" s="800"/>
      <c r="AE7" s="800"/>
      <c r="AF7" s="798"/>
      <c r="AG7" s="798"/>
      <c r="AH7" s="798"/>
      <c r="AI7" s="798"/>
      <c r="AJ7" s="798"/>
      <c r="AK7" s="798"/>
      <c r="AL7" s="45"/>
      <c r="AM7" s="45"/>
      <c r="AN7" s="45"/>
      <c r="AO7" s="132"/>
      <c r="AP7" s="132"/>
      <c r="AQ7" s="132"/>
      <c r="AR7" s="132"/>
      <c r="AS7" s="132"/>
      <c r="AT7" s="132"/>
      <c r="AU7" s="132"/>
      <c r="AV7" s="132"/>
      <c r="AW7" s="132"/>
      <c r="AX7" s="132"/>
      <c r="AY7" s="132"/>
      <c r="AZ7" s="132"/>
      <c r="BA7" s="132"/>
      <c r="BB7" s="132"/>
      <c r="BC7" s="132"/>
      <c r="BD7" s="132"/>
      <c r="BE7" s="132"/>
      <c r="BF7" s="132"/>
      <c r="BG7" s="42" t="n">
        <v>11</v>
      </c>
    </row>
    <row r="8" customFormat="false" ht="10.5" hidden="false" customHeight="true" outlineLevel="0" collapsed="false">
      <c r="E8" s="80"/>
      <c r="F8" s="801" t="s">
        <v>313</v>
      </c>
      <c r="G8" s="801"/>
      <c r="H8" s="801"/>
      <c r="I8" s="801"/>
      <c r="J8" s="801"/>
      <c r="K8" s="801"/>
      <c r="L8" s="801"/>
      <c r="M8" s="801"/>
      <c r="N8" s="801"/>
      <c r="O8" s="801"/>
      <c r="P8" s="801"/>
      <c r="Q8" s="801"/>
      <c r="R8" s="801"/>
      <c r="S8" s="801"/>
      <c r="T8" s="801"/>
      <c r="U8" s="801"/>
      <c r="V8" s="801"/>
      <c r="W8" s="801"/>
      <c r="X8" s="801"/>
      <c r="Y8" s="801"/>
      <c r="Z8" s="801"/>
      <c r="AA8" s="801"/>
      <c r="AB8" s="801"/>
      <c r="AC8" s="801"/>
      <c r="AD8" s="801"/>
      <c r="AE8" s="801"/>
      <c r="AF8" s="801"/>
      <c r="AG8" s="801"/>
      <c r="AH8" s="801"/>
      <c r="AI8" s="801"/>
      <c r="AJ8" s="801"/>
      <c r="AK8" s="801"/>
      <c r="AL8" s="802"/>
      <c r="AM8" s="132"/>
      <c r="AN8" s="132"/>
      <c r="AO8" s="132"/>
      <c r="AP8" s="132"/>
      <c r="AQ8" s="132"/>
      <c r="AR8" s="132"/>
      <c r="AS8" s="132"/>
      <c r="AT8" s="132"/>
      <c r="AU8" s="132"/>
      <c r="AV8" s="132"/>
      <c r="AW8" s="132"/>
      <c r="AX8" s="132"/>
      <c r="AY8" s="132"/>
      <c r="AZ8" s="132"/>
      <c r="BA8" s="132"/>
      <c r="BB8" s="132"/>
      <c r="BC8" s="132"/>
      <c r="BD8" s="132"/>
      <c r="BE8" s="132"/>
      <c r="BF8" s="132"/>
      <c r="BG8" s="42" t="n">
        <v>10</v>
      </c>
    </row>
    <row r="9" customFormat="false" ht="24" hidden="false" customHeight="true" outlineLevel="0" collapsed="false">
      <c r="A9" s="782"/>
      <c r="B9" s="782"/>
      <c r="C9" s="782"/>
      <c r="E9" s="80"/>
      <c r="F9" s="391" t="s">
        <v>1029</v>
      </c>
      <c r="G9" s="391" t="s">
        <v>1030</v>
      </c>
      <c r="H9" s="391"/>
      <c r="I9" s="134" t="s">
        <v>1031</v>
      </c>
      <c r="J9" s="134"/>
      <c r="K9" s="134" t="s">
        <v>1032</v>
      </c>
      <c r="L9" s="134"/>
      <c r="M9" s="134"/>
      <c r="N9" s="134"/>
      <c r="O9" s="134"/>
      <c r="P9" s="134"/>
      <c r="Q9" s="134"/>
      <c r="R9" s="134"/>
      <c r="S9" s="134"/>
      <c r="T9" s="134"/>
      <c r="U9" s="134"/>
      <c r="V9" s="134"/>
      <c r="W9" s="134"/>
      <c r="X9" s="134"/>
      <c r="Y9" s="134"/>
      <c r="Z9" s="134" t="s">
        <v>1033</v>
      </c>
      <c r="AA9" s="134"/>
      <c r="AB9" s="134" t="s">
        <v>1034</v>
      </c>
      <c r="AC9" s="134"/>
      <c r="AD9" s="134"/>
      <c r="AE9" s="134"/>
      <c r="AF9" s="134" t="s">
        <v>1035</v>
      </c>
      <c r="AG9" s="134" t="s">
        <v>1036</v>
      </c>
      <c r="AH9" s="134"/>
      <c r="AI9" s="134" t="s">
        <v>1037</v>
      </c>
      <c r="AJ9" s="134" t="s">
        <v>1038</v>
      </c>
      <c r="AK9" s="134"/>
      <c r="AM9" s="132"/>
      <c r="AN9" s="132"/>
      <c r="AO9" s="132"/>
      <c r="AP9" s="132"/>
      <c r="AQ9" s="132"/>
      <c r="AR9" s="132"/>
      <c r="AS9" s="132"/>
      <c r="AT9" s="132"/>
      <c r="AU9" s="132"/>
      <c r="AV9" s="132"/>
      <c r="AW9" s="132"/>
      <c r="AX9" s="132"/>
      <c r="AY9" s="132"/>
      <c r="AZ9" s="132"/>
      <c r="BA9" s="132"/>
      <c r="BB9" s="132"/>
      <c r="BC9" s="132"/>
      <c r="BD9" s="132"/>
      <c r="BE9" s="132"/>
      <c r="BF9" s="132"/>
      <c r="BG9" s="42" t="n">
        <v>23</v>
      </c>
    </row>
    <row r="10" customFormat="false" ht="24.75" hidden="false" customHeight="true" outlineLevel="0" collapsed="false">
      <c r="A10" s="782"/>
      <c r="B10" s="782"/>
      <c r="C10" s="782"/>
      <c r="E10" s="80"/>
      <c r="F10" s="391"/>
      <c r="G10" s="391"/>
      <c r="H10" s="391"/>
      <c r="I10" s="134"/>
      <c r="J10" s="134"/>
      <c r="K10" s="146" t="s">
        <v>1039</v>
      </c>
      <c r="L10" s="134" t="s">
        <v>1040</v>
      </c>
      <c r="M10" s="134"/>
      <c r="N10" s="134" t="s">
        <v>1041</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M10" s="132"/>
      <c r="AN10" s="132"/>
      <c r="AO10" s="132"/>
      <c r="AP10" s="132"/>
      <c r="AQ10" s="132"/>
      <c r="AR10" s="132"/>
      <c r="AS10" s="132"/>
      <c r="AT10" s="132"/>
      <c r="AU10" s="132"/>
      <c r="AV10" s="132"/>
      <c r="AW10" s="132"/>
      <c r="AX10" s="132"/>
      <c r="AY10" s="132"/>
      <c r="AZ10" s="132"/>
      <c r="BA10" s="132"/>
      <c r="BB10" s="132"/>
      <c r="BC10" s="132"/>
      <c r="BD10" s="132"/>
      <c r="BE10" s="132"/>
      <c r="BF10" s="132"/>
      <c r="BG10" s="42" t="n">
        <v>24</v>
      </c>
    </row>
    <row r="11" s="42" customFormat="true" ht="24.75" hidden="false" customHeight="true" outlineLevel="0" collapsed="false">
      <c r="A11" s="782"/>
      <c r="B11" s="782"/>
      <c r="C11" s="782"/>
      <c r="D11" s="45"/>
      <c r="E11" s="80"/>
      <c r="F11" s="391"/>
      <c r="G11" s="391"/>
      <c r="H11" s="391"/>
      <c r="I11" s="134"/>
      <c r="J11" s="134"/>
      <c r="K11" s="146"/>
      <c r="L11" s="134" t="s">
        <v>1042</v>
      </c>
      <c r="M11" s="134" t="s">
        <v>1043</v>
      </c>
      <c r="N11" s="134" t="s">
        <v>1044</v>
      </c>
      <c r="O11" s="134"/>
      <c r="P11" s="355" t="s">
        <v>1013</v>
      </c>
      <c r="Q11" s="355" t="s">
        <v>1045</v>
      </c>
      <c r="R11" s="355" t="s">
        <v>1046</v>
      </c>
      <c r="S11" s="185" t="s">
        <v>1047</v>
      </c>
      <c r="T11" s="185"/>
      <c r="U11" s="185"/>
      <c r="V11" s="185"/>
      <c r="W11" s="185"/>
      <c r="X11" s="185"/>
      <c r="Y11" s="185"/>
      <c r="Z11" s="134"/>
      <c r="AA11" s="134"/>
      <c r="AB11" s="134" t="s">
        <v>1048</v>
      </c>
      <c r="AC11" s="134"/>
      <c r="AD11" s="134" t="s">
        <v>1049</v>
      </c>
      <c r="AE11" s="134"/>
      <c r="AF11" s="134"/>
      <c r="AG11" s="134"/>
      <c r="AH11" s="134"/>
      <c r="AI11" s="134"/>
      <c r="AJ11" s="134"/>
      <c r="AK11" s="134"/>
      <c r="AM11" s="132"/>
      <c r="AN11" s="132"/>
      <c r="AO11" s="132"/>
      <c r="AP11" s="132"/>
      <c r="AQ11" s="132"/>
      <c r="AR11" s="132"/>
      <c r="AS11" s="132"/>
      <c r="AT11" s="132"/>
      <c r="AU11" s="132"/>
      <c r="AV11" s="132"/>
      <c r="AW11" s="132"/>
      <c r="AX11" s="132"/>
      <c r="AY11" s="132"/>
      <c r="AZ11" s="132"/>
      <c r="BA11" s="132"/>
      <c r="BB11" s="132"/>
      <c r="BC11" s="132"/>
      <c r="BD11" s="132"/>
      <c r="BE11" s="132"/>
      <c r="BF11" s="132"/>
      <c r="BG11" s="42" t="n">
        <v>24</v>
      </c>
    </row>
    <row r="12" customFormat="false" ht="35.25" hidden="false" customHeight="true" outlineLevel="0" collapsed="false">
      <c r="A12" s="782"/>
      <c r="B12" s="782"/>
      <c r="C12" s="782"/>
      <c r="E12" s="80"/>
      <c r="F12" s="391"/>
      <c r="G12" s="391"/>
      <c r="H12" s="391"/>
      <c r="I12" s="146" t="s">
        <v>88</v>
      </c>
      <c r="J12" s="146" t="s">
        <v>1050</v>
      </c>
      <c r="K12" s="146"/>
      <c r="L12" s="134"/>
      <c r="M12" s="134"/>
      <c r="N12" s="134"/>
      <c r="O12" s="134"/>
      <c r="P12" s="355"/>
      <c r="Q12" s="355"/>
      <c r="R12" s="355"/>
      <c r="S12" s="185" t="s">
        <v>85</v>
      </c>
      <c r="T12" s="185" t="s">
        <v>86</v>
      </c>
      <c r="U12" s="185" t="s">
        <v>84</v>
      </c>
      <c r="V12" s="185" t="s">
        <v>1051</v>
      </c>
      <c r="W12" s="185" t="s">
        <v>84</v>
      </c>
      <c r="X12" s="185" t="s">
        <v>1052</v>
      </c>
      <c r="Y12" s="185" t="s">
        <v>1053</v>
      </c>
      <c r="Z12" s="134"/>
      <c r="AA12" s="134"/>
      <c r="AB12" s="146" t="s">
        <v>1054</v>
      </c>
      <c r="AC12" s="146" t="s">
        <v>1055</v>
      </c>
      <c r="AD12" s="146" t="s">
        <v>1054</v>
      </c>
      <c r="AE12" s="146" t="s">
        <v>1055</v>
      </c>
      <c r="AF12" s="134"/>
      <c r="AG12" s="146" t="s">
        <v>1056</v>
      </c>
      <c r="AH12" s="146" t="s">
        <v>1057</v>
      </c>
      <c r="AI12" s="134"/>
      <c r="AJ12" s="146" t="s">
        <v>1056</v>
      </c>
      <c r="AK12" s="146" t="s">
        <v>1057</v>
      </c>
      <c r="AM12" s="132"/>
      <c r="AN12" s="132"/>
      <c r="AO12" s="132"/>
      <c r="AP12" s="132"/>
      <c r="AQ12" s="132"/>
      <c r="AR12" s="132"/>
      <c r="AS12" s="132"/>
      <c r="AT12" s="132"/>
      <c r="AU12" s="132"/>
      <c r="AV12" s="132"/>
      <c r="AW12" s="132"/>
      <c r="AX12" s="132"/>
      <c r="AY12" s="132"/>
      <c r="AZ12" s="132"/>
      <c r="BA12" s="132"/>
      <c r="BB12" s="132"/>
      <c r="BC12" s="132"/>
      <c r="BD12" s="132"/>
      <c r="BE12" s="132"/>
      <c r="BF12" s="132"/>
      <c r="BG12" s="42" t="n">
        <v>34</v>
      </c>
    </row>
    <row r="13" customFormat="false" ht="0.75" hidden="false" customHeight="true" outlineLevel="0" collapsed="false">
      <c r="E13" s="80"/>
      <c r="F13" s="80" t="n">
        <v>0</v>
      </c>
      <c r="G13" s="80"/>
      <c r="H13" s="80"/>
      <c r="I13" s="80"/>
      <c r="J13" s="80"/>
      <c r="AL13" s="802"/>
      <c r="AM13" s="132"/>
      <c r="AN13" s="132"/>
      <c r="AO13" s="132"/>
      <c r="AP13" s="132"/>
      <c r="AQ13" s="132"/>
      <c r="AR13" s="132"/>
      <c r="AS13" s="132"/>
      <c r="AT13" s="132"/>
      <c r="AU13" s="132"/>
      <c r="AV13" s="132"/>
      <c r="AW13" s="132"/>
      <c r="AX13" s="132"/>
      <c r="AY13" s="132"/>
      <c r="AZ13" s="132"/>
      <c r="BA13" s="132"/>
      <c r="BB13" s="132"/>
      <c r="BC13" s="132"/>
      <c r="BD13" s="132"/>
      <c r="BE13" s="132"/>
      <c r="BF13" s="132"/>
      <c r="BG13" s="42" t="n">
        <v>1</v>
      </c>
    </row>
    <row r="14" customFormat="false" ht="21" hidden="false" customHeight="true" outlineLevel="0" collapsed="false">
      <c r="A14" s="456" t="s">
        <v>1026</v>
      </c>
      <c r="E14" s="80"/>
      <c r="F14" s="803" t="str">
        <f aca="false">INDEX(IP_MAIN_LIST_NAME_IP,MATCH(A14,IP_MAIN_LIST_IP_ID,0))&amp;" ("&amp;INDEX(IP_MAIN_START_DATE,MATCH(A14,IP_MAIN_LIST_IP_ID,0))&amp;"-"&amp;INDEX(IP_MAIN_END_DATE,MATCH(A14,IP_MAIN_LIST_IP_ID,0))&amp;")"</f>
        <v>Инвестиционная программа от 30.10.2018 ООО "Газпром теплоэнерго Ярославль" в сфере теплоснабжения по развитию, повышению надежности и энергетической эффективности объектов на 2019-2023 годы (01.01.2019-31.12.2023)</v>
      </c>
      <c r="G14" s="804"/>
      <c r="H14" s="804"/>
      <c r="I14" s="805"/>
      <c r="J14" s="805"/>
      <c r="K14" s="806"/>
      <c r="L14" s="806"/>
      <c r="M14" s="806"/>
      <c r="N14" s="807"/>
      <c r="O14" s="807"/>
      <c r="P14" s="807"/>
      <c r="Q14" s="807"/>
      <c r="R14" s="807"/>
      <c r="S14" s="807"/>
      <c r="T14" s="807"/>
      <c r="U14" s="807"/>
      <c r="V14" s="807"/>
      <c r="W14" s="807"/>
      <c r="X14" s="807"/>
      <c r="Y14" s="807"/>
      <c r="Z14" s="807"/>
      <c r="AA14" s="807"/>
      <c r="AB14" s="807"/>
      <c r="AC14" s="807"/>
      <c r="AD14" s="807"/>
      <c r="AE14" s="808"/>
      <c r="AF14" s="806"/>
      <c r="AG14" s="806"/>
      <c r="AH14" s="806"/>
      <c r="AI14" s="806"/>
      <c r="AJ14" s="806"/>
      <c r="AK14" s="806"/>
      <c r="AL14" s="809"/>
      <c r="AM14" s="132"/>
      <c r="AN14" s="132"/>
      <c r="AO14" s="132"/>
      <c r="AP14" s="132"/>
      <c r="AQ14" s="132"/>
      <c r="AR14" s="132"/>
      <c r="AS14" s="132"/>
      <c r="AT14" s="132"/>
      <c r="AU14" s="132"/>
      <c r="AV14" s="132"/>
      <c r="AW14" s="132"/>
      <c r="AX14" s="132"/>
      <c r="AY14" s="132"/>
      <c r="AZ14" s="132"/>
      <c r="BA14" s="132"/>
      <c r="BB14" s="132"/>
      <c r="BC14" s="132"/>
      <c r="BD14" s="132"/>
      <c r="BE14" s="132"/>
      <c r="BF14" s="132"/>
    </row>
    <row r="15" customFormat="false" ht="0.75" hidden="false" customHeight="true" outlineLevel="0" collapsed="false">
      <c r="A15" s="113" t="s">
        <v>1026</v>
      </c>
      <c r="E15" s="80"/>
      <c r="F15" s="810" t="n">
        <v>2019</v>
      </c>
      <c r="G15" s="811"/>
      <c r="H15" s="812" t="s">
        <v>389</v>
      </c>
      <c r="I15" s="813"/>
      <c r="J15" s="149"/>
      <c r="K15" s="149"/>
      <c r="L15" s="814"/>
      <c r="M15" s="461"/>
      <c r="N15" s="815"/>
      <c r="O15" s="816"/>
      <c r="P15" s="815"/>
      <c r="Q15" s="815"/>
      <c r="R15" s="815"/>
      <c r="S15" s="815"/>
      <c r="T15" s="815"/>
      <c r="U15" s="815"/>
      <c r="V15" s="815"/>
      <c r="W15" s="815"/>
      <c r="X15" s="815"/>
      <c r="Y15" s="815"/>
      <c r="Z15" s="815"/>
      <c r="AA15" s="815"/>
      <c r="AB15" s="815"/>
      <c r="AC15" s="815"/>
      <c r="AD15" s="815"/>
      <c r="AE15" s="815"/>
      <c r="AF15" s="817"/>
      <c r="AG15" s="814"/>
      <c r="AH15" s="814"/>
      <c r="AI15" s="817"/>
      <c r="AJ15" s="814"/>
      <c r="AK15" s="814"/>
      <c r="AL15" s="809"/>
      <c r="AM15" s="132"/>
      <c r="AN15" s="132"/>
      <c r="AO15" s="132"/>
      <c r="AP15" s="132"/>
      <c r="AQ15" s="132"/>
      <c r="AR15" s="132"/>
      <c r="AS15" s="132"/>
      <c r="AT15" s="132"/>
      <c r="AU15" s="132"/>
      <c r="AV15" s="132"/>
      <c r="AW15" s="132"/>
      <c r="AX15" s="132"/>
      <c r="AY15" s="132"/>
      <c r="AZ15" s="132"/>
      <c r="BA15" s="132"/>
      <c r="BB15" s="132"/>
      <c r="BC15" s="132"/>
      <c r="BD15" s="132"/>
      <c r="BE15" s="132"/>
      <c r="BF15" s="132"/>
    </row>
    <row r="16" customFormat="false" ht="0.75" hidden="false" customHeight="true" outlineLevel="0" collapsed="false">
      <c r="A16" s="113" t="s">
        <v>1026</v>
      </c>
      <c r="E16" s="80"/>
      <c r="F16" s="810"/>
      <c r="G16" s="811"/>
      <c r="H16" s="812"/>
      <c r="I16" s="813"/>
      <c r="J16" s="149"/>
      <c r="K16" s="149"/>
      <c r="L16" s="814"/>
      <c r="M16" s="461"/>
      <c r="N16" s="818"/>
      <c r="O16" s="819"/>
      <c r="P16" s="820"/>
      <c r="Q16" s="149"/>
      <c r="R16" s="149"/>
      <c r="S16" s="149"/>
      <c r="T16" s="149"/>
      <c r="U16" s="149"/>
      <c r="V16" s="149"/>
      <c r="W16" s="149"/>
      <c r="X16" s="149"/>
      <c r="Y16" s="149"/>
      <c r="Z16" s="821"/>
      <c r="AA16" s="822"/>
      <c r="AB16" s="822"/>
      <c r="AC16" s="823"/>
      <c r="AD16" s="823"/>
      <c r="AE16" s="824"/>
      <c r="AF16" s="817"/>
      <c r="AG16" s="814"/>
      <c r="AH16" s="814"/>
      <c r="AI16" s="817"/>
      <c r="AJ16" s="814"/>
      <c r="AK16" s="814"/>
      <c r="AL16" s="809"/>
      <c r="AM16" s="132"/>
      <c r="AN16" s="132"/>
      <c r="AO16" s="132"/>
      <c r="AP16" s="132"/>
      <c r="AQ16" s="132"/>
      <c r="AR16" s="132"/>
      <c r="AS16" s="132"/>
      <c r="AT16" s="132"/>
      <c r="AU16" s="132"/>
      <c r="AV16" s="132"/>
      <c r="AW16" s="132"/>
      <c r="AX16" s="132"/>
      <c r="AY16" s="132"/>
      <c r="AZ16" s="132"/>
      <c r="BA16" s="132"/>
      <c r="BB16" s="132"/>
      <c r="BC16" s="132"/>
      <c r="BD16" s="132"/>
      <c r="BE16" s="132"/>
      <c r="BF16" s="132"/>
    </row>
    <row r="17" customFormat="false" ht="0.75" hidden="false" customHeight="true" outlineLevel="0" collapsed="false">
      <c r="A17" s="113" t="s">
        <v>1026</v>
      </c>
      <c r="E17" s="80"/>
      <c r="F17" s="810"/>
      <c r="G17" s="811"/>
      <c r="H17" s="812"/>
      <c r="I17" s="813"/>
      <c r="J17" s="149"/>
      <c r="K17" s="149"/>
      <c r="L17" s="814"/>
      <c r="M17" s="461"/>
      <c r="N17" s="818"/>
      <c r="O17" s="819"/>
      <c r="P17" s="820"/>
      <c r="Q17" s="149"/>
      <c r="R17" s="149"/>
      <c r="S17" s="149"/>
      <c r="T17" s="149"/>
      <c r="U17" s="149"/>
      <c r="V17" s="149"/>
      <c r="W17" s="149"/>
      <c r="X17" s="149"/>
      <c r="Y17" s="149"/>
      <c r="Z17" s="825"/>
      <c r="AA17" s="819"/>
      <c r="AB17" s="826"/>
      <c r="AC17" s="827"/>
      <c r="AD17" s="826"/>
      <c r="AE17" s="827"/>
      <c r="AF17" s="817"/>
      <c r="AG17" s="814"/>
      <c r="AH17" s="814"/>
      <c r="AI17" s="817"/>
      <c r="AJ17" s="814"/>
      <c r="AK17" s="814"/>
      <c r="AL17" s="809"/>
      <c r="AM17" s="132"/>
      <c r="AN17" s="132"/>
      <c r="AO17" s="132"/>
      <c r="AP17" s="132"/>
      <c r="AQ17" s="132"/>
      <c r="AR17" s="132"/>
      <c r="AS17" s="132"/>
      <c r="AT17" s="132"/>
      <c r="AU17" s="132"/>
      <c r="AV17" s="132"/>
      <c r="AW17" s="132"/>
      <c r="AX17" s="132"/>
      <c r="AY17" s="132"/>
      <c r="AZ17" s="132"/>
      <c r="BA17" s="132"/>
      <c r="BB17" s="132"/>
      <c r="BC17" s="132"/>
      <c r="BD17" s="132"/>
      <c r="BE17" s="132"/>
      <c r="BF17" s="132"/>
    </row>
    <row r="18" customFormat="false" ht="0.75" hidden="false" customHeight="true" outlineLevel="0" collapsed="false">
      <c r="A18" s="113" t="s">
        <v>1026</v>
      </c>
      <c r="E18" s="80"/>
      <c r="F18" s="810"/>
      <c r="G18" s="811"/>
      <c r="H18" s="812"/>
      <c r="I18" s="813"/>
      <c r="J18" s="149"/>
      <c r="K18" s="149"/>
      <c r="L18" s="814"/>
      <c r="M18" s="461"/>
      <c r="N18" s="818"/>
      <c r="O18" s="819"/>
      <c r="P18" s="820"/>
      <c r="Q18" s="149"/>
      <c r="R18" s="149"/>
      <c r="S18" s="149"/>
      <c r="T18" s="149"/>
      <c r="U18" s="149"/>
      <c r="V18" s="149"/>
      <c r="W18" s="149"/>
      <c r="X18" s="149"/>
      <c r="Y18" s="149"/>
      <c r="Z18" s="821"/>
      <c r="AA18" s="822"/>
      <c r="AB18" s="828"/>
      <c r="AC18" s="823"/>
      <c r="AD18" s="823"/>
      <c r="AE18" s="829"/>
      <c r="AF18" s="817"/>
      <c r="AG18" s="814"/>
      <c r="AH18" s="814"/>
      <c r="AI18" s="817"/>
      <c r="AJ18" s="814"/>
      <c r="AK18" s="814"/>
      <c r="AL18" s="809"/>
      <c r="AM18" s="132"/>
      <c r="AN18" s="132"/>
      <c r="AO18" s="132"/>
      <c r="AP18" s="132"/>
      <c r="AQ18" s="132"/>
      <c r="AR18" s="132"/>
      <c r="AS18" s="132"/>
      <c r="AT18" s="132"/>
      <c r="AU18" s="132"/>
      <c r="AV18" s="132"/>
      <c r="AW18" s="132"/>
      <c r="AX18" s="132"/>
      <c r="AY18" s="132"/>
      <c r="AZ18" s="132"/>
      <c r="BA18" s="132"/>
      <c r="BB18" s="132"/>
      <c r="BC18" s="132"/>
      <c r="BD18" s="132"/>
      <c r="BE18" s="132"/>
      <c r="BF18" s="132"/>
    </row>
    <row r="19" customFormat="false" ht="0.75" hidden="false" customHeight="true" outlineLevel="0" collapsed="false">
      <c r="A19" s="113" t="s">
        <v>1026</v>
      </c>
      <c r="E19" s="80"/>
      <c r="F19" s="810"/>
      <c r="G19" s="811"/>
      <c r="H19" s="812"/>
      <c r="I19" s="813"/>
      <c r="J19" s="149"/>
      <c r="K19" s="149"/>
      <c r="L19" s="814"/>
      <c r="M19" s="461"/>
      <c r="N19" s="822"/>
      <c r="O19" s="822"/>
      <c r="P19" s="828"/>
      <c r="Q19" s="822"/>
      <c r="R19" s="822"/>
      <c r="S19" s="822"/>
      <c r="T19" s="822"/>
      <c r="U19" s="822"/>
      <c r="V19" s="822"/>
      <c r="W19" s="822"/>
      <c r="X19" s="822"/>
      <c r="Y19" s="822"/>
      <c r="Z19" s="822"/>
      <c r="AA19" s="822"/>
      <c r="AB19" s="822"/>
      <c r="AC19" s="822"/>
      <c r="AD19" s="822"/>
      <c r="AE19" s="830"/>
      <c r="AF19" s="817"/>
      <c r="AG19" s="814"/>
      <c r="AH19" s="814"/>
      <c r="AI19" s="817"/>
      <c r="AJ19" s="814"/>
      <c r="AK19" s="814"/>
      <c r="AL19" s="809"/>
      <c r="AM19" s="132"/>
      <c r="AN19" s="132"/>
      <c r="AO19" s="132"/>
      <c r="AP19" s="132"/>
      <c r="AQ19" s="132"/>
      <c r="AR19" s="132"/>
      <c r="AS19" s="132"/>
      <c r="AT19" s="132"/>
      <c r="AU19" s="132"/>
      <c r="AV19" s="132"/>
      <c r="AW19" s="132"/>
      <c r="AX19" s="132"/>
      <c r="AY19" s="132"/>
      <c r="AZ19" s="132"/>
      <c r="BA19" s="132"/>
      <c r="BB19" s="132"/>
      <c r="BC19" s="132"/>
      <c r="BD19" s="132"/>
      <c r="BE19" s="132"/>
      <c r="BF19" s="132"/>
    </row>
    <row r="20" customFormat="false" ht="11.25" hidden="false" customHeight="true" outlineLevel="0" collapsed="false">
      <c r="A20" s="113" t="s">
        <v>1026</v>
      </c>
      <c r="E20" s="80"/>
      <c r="F20" s="810"/>
      <c r="G20" s="138" t="s">
        <v>103</v>
      </c>
      <c r="H20" s="811" t="s">
        <v>120</v>
      </c>
      <c r="I20" s="831"/>
      <c r="J20" s="335"/>
      <c r="K20" s="333" t="s">
        <v>1058</v>
      </c>
      <c r="L20" s="204" t="s">
        <v>19</v>
      </c>
      <c r="M20" s="198"/>
      <c r="N20" s="832"/>
      <c r="O20" s="833" t="s">
        <v>389</v>
      </c>
      <c r="P20" s="834"/>
      <c r="Q20" s="834"/>
      <c r="R20" s="834"/>
      <c r="S20" s="834"/>
      <c r="T20" s="834"/>
      <c r="U20" s="834"/>
      <c r="V20" s="834"/>
      <c r="W20" s="834"/>
      <c r="X20" s="834"/>
      <c r="Y20" s="834"/>
      <c r="Z20" s="834"/>
      <c r="AA20" s="834"/>
      <c r="AB20" s="834"/>
      <c r="AC20" s="834"/>
      <c r="AD20" s="834"/>
      <c r="AE20" s="834"/>
      <c r="AF20" s="835" t="n">
        <v>2019</v>
      </c>
      <c r="AG20" s="836" t="s">
        <v>1059</v>
      </c>
      <c r="AH20" s="836" t="s">
        <v>1060</v>
      </c>
      <c r="AI20" s="835" t="n">
        <v>2019</v>
      </c>
      <c r="AJ20" s="836" t="s">
        <v>1061</v>
      </c>
      <c r="AK20" s="836" t="s">
        <v>1062</v>
      </c>
      <c r="AL20" s="809"/>
      <c r="AM20" s="132"/>
      <c r="AN20" s="132"/>
      <c r="AO20" s="132"/>
      <c r="AP20" s="132"/>
      <c r="AQ20" s="132"/>
      <c r="AR20" s="132"/>
      <c r="AS20" s="132"/>
      <c r="AT20" s="132"/>
      <c r="AU20" s="132"/>
      <c r="AV20" s="132"/>
      <c r="AW20" s="132"/>
      <c r="AX20" s="132"/>
      <c r="AY20" s="132"/>
      <c r="AZ20" s="132"/>
      <c r="BA20" s="132"/>
      <c r="BB20" s="132"/>
      <c r="BC20" s="132"/>
      <c r="BD20" s="132"/>
      <c r="BE20" s="132"/>
      <c r="BF20" s="132"/>
    </row>
    <row r="21" customFormat="false" ht="11.25" hidden="false" customHeight="true" outlineLevel="0" collapsed="false">
      <c r="A21" s="113" t="s">
        <v>1026</v>
      </c>
      <c r="E21" s="80"/>
      <c r="F21" s="810"/>
      <c r="G21" s="138"/>
      <c r="H21" s="811" t="s">
        <v>389</v>
      </c>
      <c r="I21" s="831"/>
      <c r="J21" s="335"/>
      <c r="K21" s="333"/>
      <c r="L21" s="204"/>
      <c r="M21" s="198"/>
      <c r="N21" s="837"/>
      <c r="O21" s="838" t="n">
        <v>1</v>
      </c>
      <c r="P21" s="76" t="s">
        <v>61</v>
      </c>
      <c r="Q21" s="335" t="s">
        <v>1063</v>
      </c>
      <c r="R21" s="839" t="s">
        <v>1064</v>
      </c>
      <c r="S21" s="839" t="s">
        <v>99</v>
      </c>
      <c r="T21" s="839" t="s">
        <v>99</v>
      </c>
      <c r="U21" s="839" t="s">
        <v>100</v>
      </c>
      <c r="V21" s="839" t="s">
        <v>1065</v>
      </c>
      <c r="W21" s="839" t="s">
        <v>1066</v>
      </c>
      <c r="X21" s="839" t="s">
        <v>1067</v>
      </c>
      <c r="Y21" s="839" t="s">
        <v>1068</v>
      </c>
      <c r="Z21" s="840"/>
      <c r="AA21" s="841"/>
      <c r="AB21" s="841"/>
      <c r="AC21" s="842"/>
      <c r="AD21" s="842"/>
      <c r="AE21" s="843"/>
      <c r="AF21" s="835"/>
      <c r="AG21" s="836"/>
      <c r="AH21" s="836"/>
      <c r="AI21" s="835"/>
      <c r="AJ21" s="836"/>
      <c r="AK21" s="836"/>
      <c r="AL21" s="809"/>
      <c r="AM21" s="132"/>
      <c r="AN21" s="132"/>
      <c r="AO21" s="132"/>
      <c r="AP21" s="132"/>
      <c r="AQ21" s="132"/>
      <c r="AR21" s="132"/>
      <c r="AS21" s="132"/>
      <c r="AT21" s="132"/>
      <c r="AU21" s="132"/>
      <c r="AV21" s="132"/>
      <c r="AW21" s="132"/>
      <c r="AX21" s="132"/>
      <c r="AY21" s="132"/>
      <c r="AZ21" s="132"/>
      <c r="BA21" s="132"/>
      <c r="BB21" s="132"/>
      <c r="BC21" s="132"/>
      <c r="BD21" s="132"/>
      <c r="BE21" s="132"/>
      <c r="BF21" s="132"/>
    </row>
    <row r="22" customFormat="false" ht="11.25" hidden="false" customHeight="true" outlineLevel="0" collapsed="false">
      <c r="A22" s="113" t="s">
        <v>1026</v>
      </c>
      <c r="E22" s="80"/>
      <c r="F22" s="810"/>
      <c r="G22" s="138"/>
      <c r="H22" s="811" t="s">
        <v>389</v>
      </c>
      <c r="I22" s="831"/>
      <c r="J22" s="335"/>
      <c r="K22" s="333"/>
      <c r="L22" s="204"/>
      <c r="M22" s="198"/>
      <c r="N22" s="837"/>
      <c r="O22" s="838"/>
      <c r="P22" s="76"/>
      <c r="Q22" s="335"/>
      <c r="R22" s="839"/>
      <c r="S22" s="839"/>
      <c r="T22" s="839"/>
      <c r="U22" s="839"/>
      <c r="V22" s="839"/>
      <c r="W22" s="839"/>
      <c r="X22" s="839"/>
      <c r="Y22" s="839"/>
      <c r="Z22" s="844"/>
      <c r="AA22" s="845" t="n">
        <v>1</v>
      </c>
      <c r="AB22" s="846" t="s">
        <v>1069</v>
      </c>
      <c r="AC22" s="756" t="n">
        <v>693.88</v>
      </c>
      <c r="AD22" s="846" t="s">
        <v>1070</v>
      </c>
      <c r="AE22" s="756" t="n">
        <v>1527.32</v>
      </c>
      <c r="AF22" s="835"/>
      <c r="AG22" s="836"/>
      <c r="AH22" s="836"/>
      <c r="AI22" s="835"/>
      <c r="AJ22" s="836"/>
      <c r="AK22" s="836"/>
      <c r="AL22" s="809"/>
      <c r="AM22" s="132"/>
      <c r="AN22" s="132"/>
      <c r="AO22" s="132"/>
      <c r="AP22" s="132"/>
      <c r="AQ22" s="132"/>
      <c r="AR22" s="132"/>
      <c r="AS22" s="132"/>
      <c r="AT22" s="132"/>
      <c r="AU22" s="132"/>
      <c r="AV22" s="132"/>
      <c r="AW22" s="132"/>
      <c r="AX22" s="132"/>
      <c r="AY22" s="132"/>
      <c r="AZ22" s="132"/>
      <c r="BA22" s="132"/>
      <c r="BB22" s="132"/>
      <c r="BC22" s="132"/>
      <c r="BD22" s="132"/>
      <c r="BE22" s="132"/>
      <c r="BF22" s="132"/>
    </row>
    <row r="23" customFormat="false" ht="11.25" hidden="false" customHeight="true" outlineLevel="0" collapsed="false">
      <c r="A23" s="113" t="s">
        <v>1026</v>
      </c>
      <c r="E23" s="80"/>
      <c r="F23" s="810"/>
      <c r="G23" s="138"/>
      <c r="H23" s="811" t="s">
        <v>389</v>
      </c>
      <c r="I23" s="831"/>
      <c r="J23" s="335"/>
      <c r="K23" s="333"/>
      <c r="L23" s="204"/>
      <c r="M23" s="198"/>
      <c r="N23" s="837"/>
      <c r="O23" s="838"/>
      <c r="P23" s="76"/>
      <c r="Q23" s="335"/>
      <c r="R23" s="839"/>
      <c r="S23" s="839"/>
      <c r="T23" s="839"/>
      <c r="U23" s="839"/>
      <c r="V23" s="839"/>
      <c r="W23" s="839"/>
      <c r="X23" s="839"/>
      <c r="Y23" s="839"/>
      <c r="Z23" s="840"/>
      <c r="AA23" s="841"/>
      <c r="AB23" s="161" t="s">
        <v>1071</v>
      </c>
      <c r="AC23" s="842"/>
      <c r="AD23" s="842"/>
      <c r="AE23" s="847"/>
      <c r="AF23" s="835"/>
      <c r="AG23" s="836"/>
      <c r="AH23" s="836"/>
      <c r="AI23" s="835"/>
      <c r="AJ23" s="836"/>
      <c r="AK23" s="836"/>
      <c r="AL23" s="809"/>
      <c r="AM23" s="132"/>
      <c r="AN23" s="132"/>
      <c r="AO23" s="132"/>
      <c r="AP23" s="132"/>
      <c r="AQ23" s="132"/>
      <c r="AR23" s="132"/>
      <c r="AS23" s="132"/>
      <c r="AT23" s="132"/>
      <c r="AU23" s="132"/>
      <c r="AV23" s="132"/>
      <c r="AW23" s="132"/>
      <c r="AX23" s="132"/>
      <c r="AY23" s="132"/>
      <c r="AZ23" s="132"/>
      <c r="BA23" s="132"/>
      <c r="BB23" s="132"/>
      <c r="BC23" s="132"/>
      <c r="BD23" s="132"/>
      <c r="BE23" s="132"/>
      <c r="BF23" s="132"/>
    </row>
    <row r="24" customFormat="false" ht="11.25" hidden="false" customHeight="true" outlineLevel="0" collapsed="false">
      <c r="A24" s="113" t="s">
        <v>1026</v>
      </c>
      <c r="E24" s="80"/>
      <c r="F24" s="810"/>
      <c r="G24" s="138"/>
      <c r="H24" s="811" t="s">
        <v>389</v>
      </c>
      <c r="I24" s="831"/>
      <c r="J24" s="335"/>
      <c r="K24" s="333"/>
      <c r="L24" s="204"/>
      <c r="M24" s="198"/>
      <c r="N24" s="840"/>
      <c r="O24" s="841"/>
      <c r="P24" s="161" t="s">
        <v>1072</v>
      </c>
      <c r="Q24" s="841"/>
      <c r="R24" s="841"/>
      <c r="S24" s="841"/>
      <c r="T24" s="841"/>
      <c r="U24" s="841"/>
      <c r="V24" s="841"/>
      <c r="W24" s="841"/>
      <c r="X24" s="841"/>
      <c r="Y24" s="841"/>
      <c r="Z24" s="841"/>
      <c r="AA24" s="841"/>
      <c r="AB24" s="841"/>
      <c r="AC24" s="841"/>
      <c r="AD24" s="841"/>
      <c r="AE24" s="848"/>
      <c r="AF24" s="835"/>
      <c r="AG24" s="836"/>
      <c r="AH24" s="836"/>
      <c r="AI24" s="835"/>
      <c r="AJ24" s="836"/>
      <c r="AK24" s="836"/>
      <c r="AL24" s="809"/>
      <c r="AM24" s="132"/>
      <c r="AN24" s="132"/>
      <c r="AO24" s="132"/>
      <c r="AP24" s="132"/>
      <c r="AQ24" s="132"/>
      <c r="AR24" s="132"/>
      <c r="AS24" s="132"/>
      <c r="AT24" s="132"/>
      <c r="AU24" s="132"/>
      <c r="AV24" s="132"/>
      <c r="AW24" s="132"/>
      <c r="AX24" s="132"/>
      <c r="AY24" s="132"/>
      <c r="AZ24" s="132"/>
      <c r="BA24" s="132"/>
      <c r="BB24" s="132"/>
      <c r="BC24" s="132"/>
      <c r="BD24" s="132"/>
      <c r="BE24" s="132"/>
      <c r="BF24" s="132"/>
    </row>
    <row r="25" customFormat="false" ht="11.25" hidden="false" customHeight="true" outlineLevel="0" collapsed="false">
      <c r="A25" s="113" t="s">
        <v>1026</v>
      </c>
      <c r="E25" s="80"/>
      <c r="F25" s="810"/>
      <c r="G25" s="138" t="s">
        <v>103</v>
      </c>
      <c r="H25" s="811" t="s">
        <v>102</v>
      </c>
      <c r="I25" s="831"/>
      <c r="J25" s="335"/>
      <c r="K25" s="333" t="s">
        <v>1073</v>
      </c>
      <c r="L25" s="204" t="s">
        <v>19</v>
      </c>
      <c r="M25" s="198"/>
      <c r="N25" s="832"/>
      <c r="O25" s="833" t="s">
        <v>389</v>
      </c>
      <c r="P25" s="834"/>
      <c r="Q25" s="834"/>
      <c r="R25" s="834"/>
      <c r="S25" s="834"/>
      <c r="T25" s="834"/>
      <c r="U25" s="834"/>
      <c r="V25" s="834"/>
      <c r="W25" s="834"/>
      <c r="X25" s="834"/>
      <c r="Y25" s="834"/>
      <c r="Z25" s="834"/>
      <c r="AA25" s="834"/>
      <c r="AB25" s="834"/>
      <c r="AC25" s="834"/>
      <c r="AD25" s="834"/>
      <c r="AE25" s="834"/>
      <c r="AF25" s="835" t="n">
        <v>2019</v>
      </c>
      <c r="AG25" s="836" t="s">
        <v>1059</v>
      </c>
      <c r="AH25" s="836" t="s">
        <v>1060</v>
      </c>
      <c r="AI25" s="835" t="n">
        <v>2019</v>
      </c>
      <c r="AJ25" s="836" t="s">
        <v>1061</v>
      </c>
      <c r="AK25" s="836" t="s">
        <v>1062</v>
      </c>
      <c r="AL25" s="809"/>
      <c r="AM25" s="132"/>
      <c r="AN25" s="132"/>
      <c r="AO25" s="132"/>
      <c r="AP25" s="132"/>
      <c r="AQ25" s="132"/>
      <c r="AR25" s="132"/>
      <c r="AS25" s="132"/>
      <c r="AT25" s="132"/>
      <c r="AU25" s="132"/>
      <c r="AV25" s="132"/>
      <c r="AW25" s="132"/>
      <c r="AX25" s="132"/>
      <c r="AY25" s="132"/>
      <c r="AZ25" s="132"/>
      <c r="BA25" s="132"/>
      <c r="BB25" s="132"/>
      <c r="BC25" s="132"/>
      <c r="BD25" s="132"/>
      <c r="BE25" s="132"/>
      <c r="BF25" s="132"/>
    </row>
    <row r="26" customFormat="false" ht="11.25" hidden="false" customHeight="true" outlineLevel="0" collapsed="false">
      <c r="A26" s="113" t="s">
        <v>1026</v>
      </c>
      <c r="E26" s="80"/>
      <c r="F26" s="810"/>
      <c r="G26" s="138"/>
      <c r="H26" s="811" t="s">
        <v>120</v>
      </c>
      <c r="I26" s="831"/>
      <c r="J26" s="335"/>
      <c r="K26" s="333"/>
      <c r="L26" s="204"/>
      <c r="M26" s="198"/>
      <c r="N26" s="837"/>
      <c r="O26" s="838" t="n">
        <v>1</v>
      </c>
      <c r="P26" s="76" t="s">
        <v>61</v>
      </c>
      <c r="Q26" s="335" t="s">
        <v>1063</v>
      </c>
      <c r="R26" s="839" t="s">
        <v>1064</v>
      </c>
      <c r="S26" s="839" t="s">
        <v>99</v>
      </c>
      <c r="T26" s="839" t="s">
        <v>99</v>
      </c>
      <c r="U26" s="839" t="s">
        <v>100</v>
      </c>
      <c r="V26" s="839" t="s">
        <v>1065</v>
      </c>
      <c r="W26" s="839" t="s">
        <v>1066</v>
      </c>
      <c r="X26" s="839" t="s">
        <v>1067</v>
      </c>
      <c r="Y26" s="839" t="s">
        <v>1068</v>
      </c>
      <c r="Z26" s="840"/>
      <c r="AA26" s="841"/>
      <c r="AB26" s="841"/>
      <c r="AC26" s="842"/>
      <c r="AD26" s="842"/>
      <c r="AE26" s="843"/>
      <c r="AF26" s="835"/>
      <c r="AG26" s="836"/>
      <c r="AH26" s="836"/>
      <c r="AI26" s="835"/>
      <c r="AJ26" s="836"/>
      <c r="AK26" s="836"/>
      <c r="AL26" s="809"/>
      <c r="AM26" s="132"/>
      <c r="AN26" s="132"/>
      <c r="AO26" s="132"/>
      <c r="AP26" s="132"/>
      <c r="AQ26" s="132"/>
      <c r="AR26" s="132"/>
      <c r="AS26" s="132"/>
      <c r="AT26" s="132"/>
      <c r="AU26" s="132"/>
      <c r="AV26" s="132"/>
      <c r="AW26" s="132"/>
      <c r="AX26" s="132"/>
      <c r="AY26" s="132"/>
      <c r="AZ26" s="132"/>
      <c r="BA26" s="132"/>
      <c r="BB26" s="132"/>
      <c r="BC26" s="132"/>
      <c r="BD26" s="132"/>
      <c r="BE26" s="132"/>
      <c r="BF26" s="132"/>
    </row>
    <row r="27" customFormat="false" ht="11.25" hidden="false" customHeight="true" outlineLevel="0" collapsed="false">
      <c r="A27" s="113" t="s">
        <v>1026</v>
      </c>
      <c r="E27" s="80"/>
      <c r="F27" s="810"/>
      <c r="G27" s="138"/>
      <c r="H27" s="811" t="s">
        <v>120</v>
      </c>
      <c r="I27" s="831"/>
      <c r="J27" s="335"/>
      <c r="K27" s="333"/>
      <c r="L27" s="204"/>
      <c r="M27" s="198"/>
      <c r="N27" s="837"/>
      <c r="O27" s="838"/>
      <c r="P27" s="76"/>
      <c r="Q27" s="335"/>
      <c r="R27" s="839"/>
      <c r="S27" s="839"/>
      <c r="T27" s="839"/>
      <c r="U27" s="839"/>
      <c r="V27" s="839"/>
      <c r="W27" s="839"/>
      <c r="X27" s="839"/>
      <c r="Y27" s="839"/>
      <c r="Z27" s="844"/>
      <c r="AA27" s="845" t="n">
        <v>1</v>
      </c>
      <c r="AB27" s="846" t="s">
        <v>1069</v>
      </c>
      <c r="AC27" s="756" t="n">
        <v>237.483</v>
      </c>
      <c r="AD27" s="846" t="str">
        <f aca="false">AB27</f>
        <v>Прочие амортизационные отчисления</v>
      </c>
      <c r="AE27" s="756" t="n">
        <v>447.89</v>
      </c>
      <c r="AF27" s="835"/>
      <c r="AG27" s="836"/>
      <c r="AH27" s="836"/>
      <c r="AI27" s="835"/>
      <c r="AJ27" s="836"/>
      <c r="AK27" s="836"/>
      <c r="AL27" s="809"/>
      <c r="AM27" s="132"/>
      <c r="AN27" s="132"/>
      <c r="AO27" s="132"/>
      <c r="AP27" s="132"/>
      <c r="AQ27" s="132"/>
      <c r="AR27" s="132"/>
      <c r="AS27" s="132"/>
      <c r="AT27" s="132"/>
      <c r="AU27" s="132"/>
      <c r="AV27" s="132"/>
      <c r="AW27" s="132"/>
      <c r="AX27" s="132"/>
      <c r="AY27" s="132"/>
      <c r="AZ27" s="132"/>
      <c r="BA27" s="132"/>
      <c r="BB27" s="132"/>
      <c r="BC27" s="132"/>
      <c r="BD27" s="132"/>
      <c r="BE27" s="132"/>
      <c r="BF27" s="132"/>
    </row>
    <row r="28" customFormat="false" ht="11.25" hidden="false" customHeight="true" outlineLevel="0" collapsed="false">
      <c r="A28" s="113" t="s">
        <v>1026</v>
      </c>
      <c r="E28" s="80"/>
      <c r="F28" s="810"/>
      <c r="G28" s="138"/>
      <c r="H28" s="811" t="s">
        <v>120</v>
      </c>
      <c r="I28" s="831"/>
      <c r="J28" s="335"/>
      <c r="K28" s="333"/>
      <c r="L28" s="204"/>
      <c r="M28" s="198"/>
      <c r="N28" s="837"/>
      <c r="O28" s="838"/>
      <c r="P28" s="76"/>
      <c r="Q28" s="335"/>
      <c r="R28" s="839"/>
      <c r="S28" s="839"/>
      <c r="T28" s="839"/>
      <c r="U28" s="839"/>
      <c r="V28" s="839"/>
      <c r="W28" s="839"/>
      <c r="X28" s="839"/>
      <c r="Y28" s="839"/>
      <c r="Z28" s="840"/>
      <c r="AA28" s="841"/>
      <c r="AB28" s="161" t="s">
        <v>1071</v>
      </c>
      <c r="AC28" s="842"/>
      <c r="AD28" s="842"/>
      <c r="AE28" s="847"/>
      <c r="AF28" s="835"/>
      <c r="AG28" s="836"/>
      <c r="AH28" s="836"/>
      <c r="AI28" s="835"/>
      <c r="AJ28" s="836"/>
      <c r="AK28" s="836"/>
      <c r="AL28" s="809"/>
      <c r="AM28" s="132"/>
      <c r="AN28" s="132"/>
      <c r="AO28" s="132"/>
      <c r="AP28" s="132"/>
      <c r="AQ28" s="132"/>
      <c r="AR28" s="132"/>
      <c r="AS28" s="132"/>
      <c r="AT28" s="132"/>
      <c r="AU28" s="132"/>
      <c r="AV28" s="132"/>
      <c r="AW28" s="132"/>
      <c r="AX28" s="132"/>
      <c r="AY28" s="132"/>
      <c r="AZ28" s="132"/>
      <c r="BA28" s="132"/>
      <c r="BB28" s="132"/>
      <c r="BC28" s="132"/>
      <c r="BD28" s="132"/>
      <c r="BE28" s="132"/>
      <c r="BF28" s="132"/>
    </row>
    <row r="29" customFormat="false" ht="11.25" hidden="false" customHeight="true" outlineLevel="0" collapsed="false">
      <c r="A29" s="113" t="s">
        <v>1026</v>
      </c>
      <c r="E29" s="80"/>
      <c r="F29" s="810"/>
      <c r="G29" s="138"/>
      <c r="H29" s="811" t="s">
        <v>120</v>
      </c>
      <c r="I29" s="831"/>
      <c r="J29" s="335"/>
      <c r="K29" s="333"/>
      <c r="L29" s="204"/>
      <c r="M29" s="198"/>
      <c r="N29" s="840"/>
      <c r="O29" s="841"/>
      <c r="P29" s="161" t="s">
        <v>1072</v>
      </c>
      <c r="Q29" s="841"/>
      <c r="R29" s="841"/>
      <c r="S29" s="841"/>
      <c r="T29" s="841"/>
      <c r="U29" s="841"/>
      <c r="V29" s="841"/>
      <c r="W29" s="841"/>
      <c r="X29" s="841"/>
      <c r="Y29" s="841"/>
      <c r="Z29" s="841"/>
      <c r="AA29" s="841"/>
      <c r="AB29" s="841"/>
      <c r="AC29" s="841"/>
      <c r="AD29" s="841"/>
      <c r="AE29" s="848"/>
      <c r="AF29" s="835"/>
      <c r="AG29" s="836"/>
      <c r="AH29" s="836"/>
      <c r="AI29" s="835"/>
      <c r="AJ29" s="836"/>
      <c r="AK29" s="836"/>
      <c r="AL29" s="809"/>
      <c r="AM29" s="132"/>
      <c r="AN29" s="132"/>
      <c r="AO29" s="132"/>
      <c r="AP29" s="132"/>
      <c r="AQ29" s="132"/>
      <c r="AR29" s="132"/>
      <c r="AS29" s="132"/>
      <c r="AT29" s="132"/>
      <c r="AU29" s="132"/>
      <c r="AV29" s="132"/>
      <c r="AW29" s="132"/>
      <c r="AX29" s="132"/>
      <c r="AY29" s="132"/>
      <c r="AZ29" s="132"/>
      <c r="BA29" s="132"/>
      <c r="BB29" s="132"/>
      <c r="BC29" s="132"/>
      <c r="BD29" s="132"/>
      <c r="BE29" s="132"/>
      <c r="BF29" s="132"/>
    </row>
    <row r="30" customFormat="false" ht="11.25" hidden="false" customHeight="true" outlineLevel="0" collapsed="false">
      <c r="A30" s="113" t="s">
        <v>1026</v>
      </c>
      <c r="E30" s="80"/>
      <c r="F30" s="810"/>
      <c r="G30" s="138" t="s">
        <v>103</v>
      </c>
      <c r="H30" s="811" t="s">
        <v>89</v>
      </c>
      <c r="I30" s="831"/>
      <c r="J30" s="335"/>
      <c r="K30" s="333" t="s">
        <v>1074</v>
      </c>
      <c r="L30" s="204" t="s">
        <v>19</v>
      </c>
      <c r="M30" s="198"/>
      <c r="N30" s="832"/>
      <c r="O30" s="833" t="s">
        <v>389</v>
      </c>
      <c r="P30" s="834"/>
      <c r="Q30" s="834"/>
      <c r="R30" s="834"/>
      <c r="S30" s="834"/>
      <c r="T30" s="834"/>
      <c r="U30" s="834"/>
      <c r="V30" s="834"/>
      <c r="W30" s="834"/>
      <c r="X30" s="834"/>
      <c r="Y30" s="834"/>
      <c r="Z30" s="834"/>
      <c r="AA30" s="834"/>
      <c r="AB30" s="834"/>
      <c r="AC30" s="834"/>
      <c r="AD30" s="834"/>
      <c r="AE30" s="834"/>
      <c r="AF30" s="835" t="n">
        <v>2019</v>
      </c>
      <c r="AG30" s="836" t="s">
        <v>1059</v>
      </c>
      <c r="AH30" s="836" t="s">
        <v>1075</v>
      </c>
      <c r="AI30" s="835" t="n">
        <v>2019</v>
      </c>
      <c r="AJ30" s="836" t="s">
        <v>1076</v>
      </c>
      <c r="AK30" s="836" t="s">
        <v>1062</v>
      </c>
      <c r="AL30" s="809"/>
      <c r="AM30" s="132"/>
      <c r="AN30" s="132"/>
      <c r="AO30" s="132"/>
      <c r="AP30" s="132"/>
      <c r="AQ30" s="132"/>
      <c r="AR30" s="132"/>
      <c r="AS30" s="132"/>
      <c r="AT30" s="132"/>
      <c r="AU30" s="132"/>
      <c r="AV30" s="132"/>
      <c r="AW30" s="132"/>
      <c r="AX30" s="132"/>
      <c r="AY30" s="132"/>
      <c r="AZ30" s="132"/>
      <c r="BA30" s="132"/>
      <c r="BB30" s="132"/>
      <c r="BC30" s="132"/>
      <c r="BD30" s="132"/>
      <c r="BE30" s="132"/>
      <c r="BF30" s="132"/>
    </row>
    <row r="31" customFormat="false" ht="11.25" hidden="false" customHeight="true" outlineLevel="0" collapsed="false">
      <c r="A31" s="113" t="s">
        <v>1026</v>
      </c>
      <c r="E31" s="80"/>
      <c r="F31" s="810"/>
      <c r="G31" s="138"/>
      <c r="H31" s="811" t="s">
        <v>102</v>
      </c>
      <c r="I31" s="831"/>
      <c r="J31" s="335"/>
      <c r="K31" s="333"/>
      <c r="L31" s="204"/>
      <c r="M31" s="198"/>
      <c r="N31" s="837"/>
      <c r="O31" s="838" t="n">
        <v>1</v>
      </c>
      <c r="P31" s="76" t="s">
        <v>61</v>
      </c>
      <c r="Q31" s="335" t="s">
        <v>1063</v>
      </c>
      <c r="R31" s="839" t="s">
        <v>1064</v>
      </c>
      <c r="S31" s="839" t="s">
        <v>99</v>
      </c>
      <c r="T31" s="839" t="s">
        <v>99</v>
      </c>
      <c r="U31" s="839" t="s">
        <v>100</v>
      </c>
      <c r="V31" s="839" t="s">
        <v>1065</v>
      </c>
      <c r="W31" s="839" t="s">
        <v>1066</v>
      </c>
      <c r="X31" s="839" t="s">
        <v>1067</v>
      </c>
      <c r="Y31" s="839" t="s">
        <v>1068</v>
      </c>
      <c r="Z31" s="840"/>
      <c r="AA31" s="841"/>
      <c r="AB31" s="841"/>
      <c r="AC31" s="842"/>
      <c r="AD31" s="842"/>
      <c r="AE31" s="843"/>
      <c r="AF31" s="835"/>
      <c r="AG31" s="836"/>
      <c r="AH31" s="836"/>
      <c r="AI31" s="835"/>
      <c r="AJ31" s="836"/>
      <c r="AK31" s="836"/>
      <c r="AL31" s="809"/>
      <c r="AM31" s="132"/>
      <c r="AN31" s="132"/>
      <c r="AO31" s="132"/>
      <c r="AP31" s="132"/>
      <c r="AQ31" s="132"/>
      <c r="AR31" s="132"/>
      <c r="AS31" s="132"/>
      <c r="AT31" s="132"/>
      <c r="AU31" s="132"/>
      <c r="AV31" s="132"/>
      <c r="AW31" s="132"/>
      <c r="AX31" s="132"/>
      <c r="AY31" s="132"/>
      <c r="AZ31" s="132"/>
      <c r="BA31" s="132"/>
      <c r="BB31" s="132"/>
      <c r="BC31" s="132"/>
      <c r="BD31" s="132"/>
      <c r="BE31" s="132"/>
      <c r="BF31" s="132"/>
    </row>
    <row r="32" customFormat="false" ht="11.25" hidden="false" customHeight="true" outlineLevel="0" collapsed="false">
      <c r="A32" s="113" t="s">
        <v>1026</v>
      </c>
      <c r="E32" s="80"/>
      <c r="F32" s="810"/>
      <c r="G32" s="138"/>
      <c r="H32" s="811" t="s">
        <v>102</v>
      </c>
      <c r="I32" s="831"/>
      <c r="J32" s="335"/>
      <c r="K32" s="333"/>
      <c r="L32" s="204"/>
      <c r="M32" s="198"/>
      <c r="N32" s="837"/>
      <c r="O32" s="838"/>
      <c r="P32" s="76"/>
      <c r="Q32" s="335"/>
      <c r="R32" s="839"/>
      <c r="S32" s="839"/>
      <c r="T32" s="839"/>
      <c r="U32" s="839"/>
      <c r="V32" s="839"/>
      <c r="W32" s="839"/>
      <c r="X32" s="839"/>
      <c r="Y32" s="839"/>
      <c r="Z32" s="844"/>
      <c r="AA32" s="845" t="n">
        <v>1</v>
      </c>
      <c r="AB32" s="846" t="s">
        <v>1069</v>
      </c>
      <c r="AC32" s="756" t="n">
        <v>405.703</v>
      </c>
      <c r="AD32" s="846" t="str">
        <f aca="false">AB32</f>
        <v>Прочие амортизационные отчисления</v>
      </c>
      <c r="AE32" s="756" t="n">
        <v>1058.31</v>
      </c>
      <c r="AF32" s="835"/>
      <c r="AG32" s="836"/>
      <c r="AH32" s="836"/>
      <c r="AI32" s="835"/>
      <c r="AJ32" s="836"/>
      <c r="AK32" s="836"/>
      <c r="AL32" s="809"/>
      <c r="AM32" s="132"/>
      <c r="AN32" s="132"/>
      <c r="AO32" s="132"/>
      <c r="AP32" s="132"/>
      <c r="AQ32" s="132"/>
      <c r="AR32" s="132"/>
      <c r="AS32" s="132"/>
      <c r="AT32" s="132"/>
      <c r="AU32" s="132"/>
      <c r="AV32" s="132"/>
      <c r="AW32" s="132"/>
      <c r="AX32" s="132"/>
      <c r="AY32" s="132"/>
      <c r="AZ32" s="132"/>
      <c r="BA32" s="132"/>
      <c r="BB32" s="132"/>
      <c r="BC32" s="132"/>
      <c r="BD32" s="132"/>
      <c r="BE32" s="132"/>
      <c r="BF32" s="132"/>
    </row>
    <row r="33" customFormat="false" ht="11.25" hidden="false" customHeight="true" outlineLevel="0" collapsed="false">
      <c r="A33" s="113" t="s">
        <v>1026</v>
      </c>
      <c r="E33" s="80"/>
      <c r="F33" s="810"/>
      <c r="G33" s="138"/>
      <c r="H33" s="811" t="s">
        <v>102</v>
      </c>
      <c r="I33" s="831"/>
      <c r="J33" s="335"/>
      <c r="K33" s="333"/>
      <c r="L33" s="204"/>
      <c r="M33" s="198"/>
      <c r="N33" s="837"/>
      <c r="O33" s="838"/>
      <c r="P33" s="76"/>
      <c r="Q33" s="335"/>
      <c r="R33" s="839"/>
      <c r="S33" s="839"/>
      <c r="T33" s="839"/>
      <c r="U33" s="839"/>
      <c r="V33" s="839"/>
      <c r="W33" s="839"/>
      <c r="X33" s="839"/>
      <c r="Y33" s="839"/>
      <c r="Z33" s="840"/>
      <c r="AA33" s="841"/>
      <c r="AB33" s="161" t="s">
        <v>1071</v>
      </c>
      <c r="AC33" s="842"/>
      <c r="AD33" s="842"/>
      <c r="AE33" s="847"/>
      <c r="AF33" s="835"/>
      <c r="AG33" s="836"/>
      <c r="AH33" s="836"/>
      <c r="AI33" s="835"/>
      <c r="AJ33" s="836"/>
      <c r="AK33" s="836"/>
      <c r="AL33" s="809"/>
      <c r="AM33" s="132"/>
      <c r="AN33" s="132"/>
      <c r="AO33" s="132"/>
      <c r="AP33" s="132"/>
      <c r="AQ33" s="132"/>
      <c r="AR33" s="132"/>
      <c r="AS33" s="132"/>
      <c r="AT33" s="132"/>
      <c r="AU33" s="132"/>
      <c r="AV33" s="132"/>
      <c r="AW33" s="132"/>
      <c r="AX33" s="132"/>
      <c r="AY33" s="132"/>
      <c r="AZ33" s="132"/>
      <c r="BA33" s="132"/>
      <c r="BB33" s="132"/>
      <c r="BC33" s="132"/>
      <c r="BD33" s="132"/>
      <c r="BE33" s="132"/>
      <c r="BF33" s="132"/>
    </row>
    <row r="34" customFormat="false" ht="11.25" hidden="false" customHeight="true" outlineLevel="0" collapsed="false">
      <c r="A34" s="113" t="s">
        <v>1026</v>
      </c>
      <c r="E34" s="80"/>
      <c r="F34" s="810"/>
      <c r="G34" s="138"/>
      <c r="H34" s="811" t="s">
        <v>102</v>
      </c>
      <c r="I34" s="831"/>
      <c r="J34" s="335"/>
      <c r="K34" s="333"/>
      <c r="L34" s="204"/>
      <c r="M34" s="198"/>
      <c r="N34" s="840"/>
      <c r="O34" s="841"/>
      <c r="P34" s="161" t="s">
        <v>1072</v>
      </c>
      <c r="Q34" s="841"/>
      <c r="R34" s="841"/>
      <c r="S34" s="841"/>
      <c r="T34" s="841"/>
      <c r="U34" s="841"/>
      <c r="V34" s="841"/>
      <c r="W34" s="841"/>
      <c r="X34" s="841"/>
      <c r="Y34" s="841"/>
      <c r="Z34" s="841"/>
      <c r="AA34" s="841"/>
      <c r="AB34" s="841"/>
      <c r="AC34" s="841"/>
      <c r="AD34" s="841"/>
      <c r="AE34" s="848"/>
      <c r="AF34" s="835"/>
      <c r="AG34" s="836"/>
      <c r="AH34" s="836"/>
      <c r="AI34" s="835"/>
      <c r="AJ34" s="836"/>
      <c r="AK34" s="836"/>
      <c r="AL34" s="809"/>
      <c r="AM34" s="132"/>
      <c r="AN34" s="132"/>
      <c r="AO34" s="132"/>
      <c r="AP34" s="132"/>
      <c r="AQ34" s="132"/>
      <c r="AR34" s="132"/>
      <c r="AS34" s="132"/>
      <c r="AT34" s="132"/>
      <c r="AU34" s="132"/>
      <c r="AV34" s="132"/>
      <c r="AW34" s="132"/>
      <c r="AX34" s="132"/>
      <c r="AY34" s="132"/>
      <c r="AZ34" s="132"/>
      <c r="BA34" s="132"/>
      <c r="BB34" s="132"/>
      <c r="BC34" s="132"/>
      <c r="BD34" s="132"/>
      <c r="BE34" s="132"/>
      <c r="BF34" s="132"/>
    </row>
    <row r="35" customFormat="false" ht="11.25" hidden="false" customHeight="true" outlineLevel="0" collapsed="false">
      <c r="A35" s="113" t="s">
        <v>1026</v>
      </c>
      <c r="E35" s="80"/>
      <c r="F35" s="810"/>
      <c r="G35" s="138" t="s">
        <v>103</v>
      </c>
      <c r="H35" s="811" t="s">
        <v>90</v>
      </c>
      <c r="I35" s="831"/>
      <c r="J35" s="335"/>
      <c r="K35" s="333" t="s">
        <v>1077</v>
      </c>
      <c r="L35" s="204" t="s">
        <v>19</v>
      </c>
      <c r="M35" s="198"/>
      <c r="N35" s="832"/>
      <c r="O35" s="833" t="s">
        <v>389</v>
      </c>
      <c r="P35" s="834"/>
      <c r="Q35" s="834"/>
      <c r="R35" s="834"/>
      <c r="S35" s="834"/>
      <c r="T35" s="834"/>
      <c r="U35" s="834"/>
      <c r="V35" s="834"/>
      <c r="W35" s="834"/>
      <c r="X35" s="834"/>
      <c r="Y35" s="834"/>
      <c r="Z35" s="834"/>
      <c r="AA35" s="834"/>
      <c r="AB35" s="834"/>
      <c r="AC35" s="834"/>
      <c r="AD35" s="834"/>
      <c r="AE35" s="834"/>
      <c r="AF35" s="835" t="n">
        <v>2019</v>
      </c>
      <c r="AG35" s="836" t="s">
        <v>1059</v>
      </c>
      <c r="AH35" s="836" t="s">
        <v>1075</v>
      </c>
      <c r="AI35" s="835" t="n">
        <v>2019</v>
      </c>
      <c r="AJ35" s="836" t="s">
        <v>1061</v>
      </c>
      <c r="AK35" s="836" t="s">
        <v>1060</v>
      </c>
      <c r="AL35" s="809"/>
      <c r="AM35" s="132"/>
      <c r="AN35" s="132"/>
      <c r="AO35" s="132"/>
      <c r="AP35" s="132"/>
      <c r="AQ35" s="132"/>
      <c r="AR35" s="132"/>
      <c r="AS35" s="132"/>
      <c r="AT35" s="132"/>
      <c r="AU35" s="132"/>
      <c r="AV35" s="132"/>
      <c r="AW35" s="132"/>
      <c r="AX35" s="132"/>
      <c r="AY35" s="132"/>
      <c r="AZ35" s="132"/>
      <c r="BA35" s="132"/>
      <c r="BB35" s="132"/>
      <c r="BC35" s="132"/>
      <c r="BD35" s="132"/>
      <c r="BE35" s="132"/>
      <c r="BF35" s="132"/>
    </row>
    <row r="36" customFormat="false" ht="11.25" hidden="false" customHeight="true" outlineLevel="0" collapsed="false">
      <c r="A36" s="113" t="s">
        <v>1026</v>
      </c>
      <c r="E36" s="80"/>
      <c r="F36" s="810"/>
      <c r="G36" s="138"/>
      <c r="H36" s="811" t="s">
        <v>89</v>
      </c>
      <c r="I36" s="831"/>
      <c r="J36" s="335"/>
      <c r="K36" s="333"/>
      <c r="L36" s="204"/>
      <c r="M36" s="198"/>
      <c r="N36" s="837"/>
      <c r="O36" s="838" t="n">
        <v>1</v>
      </c>
      <c r="P36" s="76" t="s">
        <v>61</v>
      </c>
      <c r="Q36" s="335" t="s">
        <v>1063</v>
      </c>
      <c r="R36" s="839" t="s">
        <v>1064</v>
      </c>
      <c r="S36" s="839" t="s">
        <v>99</v>
      </c>
      <c r="T36" s="839" t="s">
        <v>99</v>
      </c>
      <c r="U36" s="839" t="s">
        <v>100</v>
      </c>
      <c r="V36" s="839" t="s">
        <v>1065</v>
      </c>
      <c r="W36" s="839" t="s">
        <v>1066</v>
      </c>
      <c r="X36" s="839" t="s">
        <v>1067</v>
      </c>
      <c r="Y36" s="839" t="s">
        <v>1068</v>
      </c>
      <c r="Z36" s="840"/>
      <c r="AA36" s="841"/>
      <c r="AB36" s="841"/>
      <c r="AC36" s="842"/>
      <c r="AD36" s="842"/>
      <c r="AE36" s="843"/>
      <c r="AF36" s="835"/>
      <c r="AG36" s="836"/>
      <c r="AH36" s="836"/>
      <c r="AI36" s="835"/>
      <c r="AJ36" s="836"/>
      <c r="AK36" s="836"/>
      <c r="AL36" s="809"/>
      <c r="AM36" s="132"/>
      <c r="AN36" s="132"/>
      <c r="AO36" s="132"/>
      <c r="AP36" s="132"/>
      <c r="AQ36" s="132"/>
      <c r="AR36" s="132"/>
      <c r="AS36" s="132"/>
      <c r="AT36" s="132"/>
      <c r="AU36" s="132"/>
      <c r="AV36" s="132"/>
      <c r="AW36" s="132"/>
      <c r="AX36" s="132"/>
      <c r="AY36" s="132"/>
      <c r="AZ36" s="132"/>
      <c r="BA36" s="132"/>
      <c r="BB36" s="132"/>
      <c r="BC36" s="132"/>
      <c r="BD36" s="132"/>
      <c r="BE36" s="132"/>
      <c r="BF36" s="132"/>
    </row>
    <row r="37" customFormat="false" ht="11.25" hidden="false" customHeight="true" outlineLevel="0" collapsed="false">
      <c r="A37" s="113" t="s">
        <v>1026</v>
      </c>
      <c r="E37" s="80"/>
      <c r="F37" s="810"/>
      <c r="G37" s="138"/>
      <c r="H37" s="811" t="s">
        <v>89</v>
      </c>
      <c r="I37" s="831"/>
      <c r="J37" s="335"/>
      <c r="K37" s="333"/>
      <c r="L37" s="204"/>
      <c r="M37" s="198"/>
      <c r="N37" s="837"/>
      <c r="O37" s="838"/>
      <c r="P37" s="76"/>
      <c r="Q37" s="335"/>
      <c r="R37" s="839"/>
      <c r="S37" s="839"/>
      <c r="T37" s="839"/>
      <c r="U37" s="839"/>
      <c r="V37" s="839"/>
      <c r="W37" s="839"/>
      <c r="X37" s="839"/>
      <c r="Y37" s="839"/>
      <c r="Z37" s="844"/>
      <c r="AA37" s="845" t="n">
        <v>1</v>
      </c>
      <c r="AB37" s="846" t="s">
        <v>1069</v>
      </c>
      <c r="AC37" s="756" t="n">
        <v>1592.63</v>
      </c>
      <c r="AD37" s="846" t="str">
        <f aca="false">AB37</f>
        <v>Прочие амортизационные отчисления</v>
      </c>
      <c r="AE37" s="756" t="n">
        <v>2867.7</v>
      </c>
      <c r="AF37" s="835"/>
      <c r="AG37" s="836"/>
      <c r="AH37" s="836"/>
      <c r="AI37" s="835"/>
      <c r="AJ37" s="836"/>
      <c r="AK37" s="836"/>
      <c r="AL37" s="809"/>
      <c r="AM37" s="132"/>
      <c r="AN37" s="132"/>
      <c r="AO37" s="132"/>
      <c r="AP37" s="132"/>
      <c r="AQ37" s="132"/>
      <c r="AR37" s="132"/>
      <c r="AS37" s="132"/>
      <c r="AT37" s="132"/>
      <c r="AU37" s="132"/>
      <c r="AV37" s="132"/>
      <c r="AW37" s="132"/>
      <c r="AX37" s="132"/>
      <c r="AY37" s="132"/>
      <c r="AZ37" s="132"/>
      <c r="BA37" s="132"/>
      <c r="BB37" s="132"/>
      <c r="BC37" s="132"/>
      <c r="BD37" s="132"/>
      <c r="BE37" s="132"/>
      <c r="BF37" s="132"/>
    </row>
    <row r="38" customFormat="false" ht="11.25" hidden="false" customHeight="true" outlineLevel="0" collapsed="false">
      <c r="A38" s="113" t="s">
        <v>1026</v>
      </c>
      <c r="E38" s="80"/>
      <c r="F38" s="810"/>
      <c r="G38" s="138"/>
      <c r="H38" s="811" t="s">
        <v>89</v>
      </c>
      <c r="I38" s="831"/>
      <c r="J38" s="335"/>
      <c r="K38" s="333"/>
      <c r="L38" s="204"/>
      <c r="M38" s="198"/>
      <c r="N38" s="837"/>
      <c r="O38" s="838"/>
      <c r="P38" s="76"/>
      <c r="Q38" s="335"/>
      <c r="R38" s="839"/>
      <c r="S38" s="839"/>
      <c r="T38" s="839"/>
      <c r="U38" s="839"/>
      <c r="V38" s="839"/>
      <c r="W38" s="839"/>
      <c r="X38" s="839"/>
      <c r="Y38" s="839"/>
      <c r="Z38" s="840"/>
      <c r="AA38" s="841"/>
      <c r="AB38" s="161" t="s">
        <v>1071</v>
      </c>
      <c r="AC38" s="842"/>
      <c r="AD38" s="842"/>
      <c r="AE38" s="847"/>
      <c r="AF38" s="835"/>
      <c r="AG38" s="836"/>
      <c r="AH38" s="836"/>
      <c r="AI38" s="835"/>
      <c r="AJ38" s="836"/>
      <c r="AK38" s="836"/>
      <c r="AL38" s="809"/>
      <c r="AM38" s="132"/>
      <c r="AN38" s="132"/>
      <c r="AO38" s="132"/>
      <c r="AP38" s="132"/>
      <c r="AQ38" s="132"/>
      <c r="AR38" s="132"/>
      <c r="AS38" s="132"/>
      <c r="AT38" s="132"/>
      <c r="AU38" s="132"/>
      <c r="AV38" s="132"/>
      <c r="AW38" s="132"/>
      <c r="AX38" s="132"/>
      <c r="AY38" s="132"/>
      <c r="AZ38" s="132"/>
      <c r="BA38" s="132"/>
      <c r="BB38" s="132"/>
      <c r="BC38" s="132"/>
      <c r="BD38" s="132"/>
      <c r="BE38" s="132"/>
      <c r="BF38" s="132"/>
    </row>
    <row r="39" customFormat="false" ht="11.25" hidden="false" customHeight="true" outlineLevel="0" collapsed="false">
      <c r="A39" s="113" t="s">
        <v>1026</v>
      </c>
      <c r="E39" s="80"/>
      <c r="F39" s="810"/>
      <c r="G39" s="138"/>
      <c r="H39" s="811" t="s">
        <v>89</v>
      </c>
      <c r="I39" s="831"/>
      <c r="J39" s="335"/>
      <c r="K39" s="333"/>
      <c r="L39" s="204"/>
      <c r="M39" s="198"/>
      <c r="N39" s="840"/>
      <c r="O39" s="841"/>
      <c r="P39" s="161" t="s">
        <v>1072</v>
      </c>
      <c r="Q39" s="841"/>
      <c r="R39" s="841"/>
      <c r="S39" s="841"/>
      <c r="T39" s="841"/>
      <c r="U39" s="841"/>
      <c r="V39" s="841"/>
      <c r="W39" s="841"/>
      <c r="X39" s="841"/>
      <c r="Y39" s="841"/>
      <c r="Z39" s="841"/>
      <c r="AA39" s="841"/>
      <c r="AB39" s="841"/>
      <c r="AC39" s="841"/>
      <c r="AD39" s="841"/>
      <c r="AE39" s="848"/>
      <c r="AF39" s="835"/>
      <c r="AG39" s="836"/>
      <c r="AH39" s="836"/>
      <c r="AI39" s="835"/>
      <c r="AJ39" s="836"/>
      <c r="AK39" s="836"/>
      <c r="AL39" s="809"/>
      <c r="AM39" s="132"/>
      <c r="AN39" s="132"/>
      <c r="AO39" s="132"/>
      <c r="AP39" s="132"/>
      <c r="AQ39" s="132"/>
      <c r="AR39" s="132"/>
      <c r="AS39" s="132"/>
      <c r="AT39" s="132"/>
      <c r="AU39" s="132"/>
      <c r="AV39" s="132"/>
      <c r="AW39" s="132"/>
      <c r="AX39" s="132"/>
      <c r="AY39" s="132"/>
      <c r="AZ39" s="132"/>
      <c r="BA39" s="132"/>
      <c r="BB39" s="132"/>
      <c r="BC39" s="132"/>
      <c r="BD39" s="132"/>
      <c r="BE39" s="132"/>
      <c r="BF39" s="132"/>
    </row>
    <row r="40" customFormat="false" ht="11.25" hidden="false" customHeight="true" outlineLevel="0" collapsed="false">
      <c r="A40" s="113" t="s">
        <v>1026</v>
      </c>
      <c r="E40" s="80"/>
      <c r="F40" s="810"/>
      <c r="G40" s="138" t="s">
        <v>103</v>
      </c>
      <c r="H40" s="811" t="s">
        <v>121</v>
      </c>
      <c r="I40" s="831"/>
      <c r="J40" s="335"/>
      <c r="K40" s="333" t="s">
        <v>1078</v>
      </c>
      <c r="L40" s="204" t="s">
        <v>19</v>
      </c>
      <c r="M40" s="198"/>
      <c r="N40" s="832"/>
      <c r="O40" s="833" t="s">
        <v>389</v>
      </c>
      <c r="P40" s="834"/>
      <c r="Q40" s="834"/>
      <c r="R40" s="834"/>
      <c r="S40" s="834"/>
      <c r="T40" s="834"/>
      <c r="U40" s="834"/>
      <c r="V40" s="834"/>
      <c r="W40" s="834"/>
      <c r="X40" s="834"/>
      <c r="Y40" s="834"/>
      <c r="Z40" s="834"/>
      <c r="AA40" s="834"/>
      <c r="AB40" s="834"/>
      <c r="AC40" s="834"/>
      <c r="AD40" s="834"/>
      <c r="AE40" s="834"/>
      <c r="AF40" s="835" t="n">
        <v>2019</v>
      </c>
      <c r="AG40" s="836" t="s">
        <v>1059</v>
      </c>
      <c r="AH40" s="836" t="s">
        <v>1060</v>
      </c>
      <c r="AI40" s="835" t="n">
        <v>2019</v>
      </c>
      <c r="AJ40" s="836" t="s">
        <v>1079</v>
      </c>
      <c r="AK40" s="836" t="s">
        <v>1062</v>
      </c>
      <c r="AL40" s="809"/>
      <c r="AM40" s="132"/>
      <c r="AN40" s="132"/>
      <c r="AO40" s="132"/>
      <c r="AP40" s="132"/>
      <c r="AQ40" s="132"/>
      <c r="AR40" s="132"/>
      <c r="AS40" s="132"/>
      <c r="AT40" s="132"/>
      <c r="AU40" s="132"/>
      <c r="AV40" s="132"/>
      <c r="AW40" s="132"/>
      <c r="AX40" s="132"/>
      <c r="AY40" s="132"/>
      <c r="AZ40" s="132"/>
      <c r="BA40" s="132"/>
      <c r="BB40" s="132"/>
      <c r="BC40" s="132"/>
      <c r="BD40" s="132"/>
      <c r="BE40" s="132"/>
      <c r="BF40" s="132"/>
    </row>
    <row r="41" customFormat="false" ht="11.25" hidden="false" customHeight="true" outlineLevel="0" collapsed="false">
      <c r="A41" s="113" t="s">
        <v>1026</v>
      </c>
      <c r="E41" s="80"/>
      <c r="F41" s="810"/>
      <c r="G41" s="138"/>
      <c r="H41" s="811" t="s">
        <v>90</v>
      </c>
      <c r="I41" s="831"/>
      <c r="J41" s="335"/>
      <c r="K41" s="333"/>
      <c r="L41" s="204"/>
      <c r="M41" s="198"/>
      <c r="N41" s="837"/>
      <c r="O41" s="838" t="n">
        <v>1</v>
      </c>
      <c r="P41" s="76" t="s">
        <v>61</v>
      </c>
      <c r="Q41" s="335" t="s">
        <v>1080</v>
      </c>
      <c r="R41" s="839" t="s">
        <v>1064</v>
      </c>
      <c r="S41" s="839" t="s">
        <v>99</v>
      </c>
      <c r="T41" s="839" t="s">
        <v>99</v>
      </c>
      <c r="U41" s="839" t="s">
        <v>100</v>
      </c>
      <c r="V41" s="839" t="s">
        <v>1065</v>
      </c>
      <c r="W41" s="839" t="s">
        <v>1066</v>
      </c>
      <c r="X41" s="839" t="s">
        <v>1081</v>
      </c>
      <c r="Y41" s="839" t="s">
        <v>1082</v>
      </c>
      <c r="Z41" s="840"/>
      <c r="AA41" s="841"/>
      <c r="AB41" s="841"/>
      <c r="AC41" s="842"/>
      <c r="AD41" s="842"/>
      <c r="AE41" s="843"/>
      <c r="AF41" s="835"/>
      <c r="AG41" s="836"/>
      <c r="AH41" s="836"/>
      <c r="AI41" s="835"/>
      <c r="AJ41" s="836"/>
      <c r="AK41" s="836"/>
      <c r="AL41" s="809"/>
      <c r="AM41" s="132"/>
      <c r="AN41" s="132"/>
      <c r="AO41" s="132"/>
      <c r="AP41" s="132"/>
      <c r="AQ41" s="132"/>
      <c r="AR41" s="132"/>
      <c r="AS41" s="132"/>
      <c r="AT41" s="132"/>
      <c r="AU41" s="132"/>
      <c r="AV41" s="132"/>
      <c r="AW41" s="132"/>
      <c r="AX41" s="132"/>
      <c r="AY41" s="132"/>
      <c r="AZ41" s="132"/>
      <c r="BA41" s="132"/>
      <c r="BB41" s="132"/>
      <c r="BC41" s="132"/>
      <c r="BD41" s="132"/>
      <c r="BE41" s="132"/>
      <c r="BF41" s="132"/>
    </row>
    <row r="42" customFormat="false" ht="11.25" hidden="false" customHeight="true" outlineLevel="0" collapsed="false">
      <c r="A42" s="113" t="s">
        <v>1026</v>
      </c>
      <c r="E42" s="80"/>
      <c r="F42" s="810"/>
      <c r="G42" s="138"/>
      <c r="H42" s="811" t="s">
        <v>90</v>
      </c>
      <c r="I42" s="831"/>
      <c r="J42" s="335"/>
      <c r="K42" s="333"/>
      <c r="L42" s="204"/>
      <c r="M42" s="198"/>
      <c r="N42" s="837"/>
      <c r="O42" s="838"/>
      <c r="P42" s="76"/>
      <c r="Q42" s="335"/>
      <c r="R42" s="839"/>
      <c r="S42" s="839"/>
      <c r="T42" s="839"/>
      <c r="U42" s="839"/>
      <c r="V42" s="839"/>
      <c r="W42" s="839"/>
      <c r="X42" s="839"/>
      <c r="Y42" s="839"/>
      <c r="Z42" s="844"/>
      <c r="AA42" s="845" t="n">
        <v>1</v>
      </c>
      <c r="AB42" s="846" t="s">
        <v>1069</v>
      </c>
      <c r="AC42" s="756" t="n">
        <v>426.03</v>
      </c>
      <c r="AD42" s="846" t="str">
        <f aca="false">AB42</f>
        <v>Прочие амортизационные отчисления</v>
      </c>
      <c r="AE42" s="756" t="n">
        <v>805.57</v>
      </c>
      <c r="AF42" s="835"/>
      <c r="AG42" s="836"/>
      <c r="AH42" s="836"/>
      <c r="AI42" s="835"/>
      <c r="AJ42" s="836"/>
      <c r="AK42" s="836"/>
      <c r="AL42" s="809"/>
      <c r="AM42" s="132"/>
      <c r="AN42" s="132"/>
      <c r="AO42" s="132"/>
      <c r="AP42" s="132"/>
      <c r="AQ42" s="132"/>
      <c r="AR42" s="132"/>
      <c r="AS42" s="132"/>
      <c r="AT42" s="132"/>
      <c r="AU42" s="132"/>
      <c r="AV42" s="132"/>
      <c r="AW42" s="132"/>
      <c r="AX42" s="132"/>
      <c r="AY42" s="132"/>
      <c r="AZ42" s="132"/>
      <c r="BA42" s="132"/>
      <c r="BB42" s="132"/>
      <c r="BC42" s="132"/>
      <c r="BD42" s="132"/>
      <c r="BE42" s="132"/>
      <c r="BF42" s="132"/>
    </row>
    <row r="43" customFormat="false" ht="11.25" hidden="false" customHeight="true" outlineLevel="0" collapsed="false">
      <c r="A43" s="113" t="s">
        <v>1026</v>
      </c>
      <c r="E43" s="80"/>
      <c r="F43" s="810"/>
      <c r="G43" s="138"/>
      <c r="H43" s="811" t="s">
        <v>90</v>
      </c>
      <c r="I43" s="831"/>
      <c r="J43" s="335"/>
      <c r="K43" s="333"/>
      <c r="L43" s="204"/>
      <c r="M43" s="198"/>
      <c r="N43" s="837"/>
      <c r="O43" s="838"/>
      <c r="P43" s="76"/>
      <c r="Q43" s="335"/>
      <c r="R43" s="839"/>
      <c r="S43" s="839"/>
      <c r="T43" s="839"/>
      <c r="U43" s="839"/>
      <c r="V43" s="839"/>
      <c r="W43" s="839"/>
      <c r="X43" s="839"/>
      <c r="Y43" s="839"/>
      <c r="Z43" s="840"/>
      <c r="AA43" s="841"/>
      <c r="AB43" s="161" t="s">
        <v>1071</v>
      </c>
      <c r="AC43" s="842"/>
      <c r="AD43" s="842"/>
      <c r="AE43" s="847"/>
      <c r="AF43" s="835"/>
      <c r="AG43" s="836"/>
      <c r="AH43" s="836"/>
      <c r="AI43" s="835"/>
      <c r="AJ43" s="836"/>
      <c r="AK43" s="836"/>
      <c r="AL43" s="809"/>
      <c r="AM43" s="132"/>
      <c r="AN43" s="132"/>
      <c r="AO43" s="132"/>
      <c r="AP43" s="132"/>
      <c r="AQ43" s="132"/>
      <c r="AR43" s="132"/>
      <c r="AS43" s="132"/>
      <c r="AT43" s="132"/>
      <c r="AU43" s="132"/>
      <c r="AV43" s="132"/>
      <c r="AW43" s="132"/>
      <c r="AX43" s="132"/>
      <c r="AY43" s="132"/>
      <c r="AZ43" s="132"/>
      <c r="BA43" s="132"/>
      <c r="BB43" s="132"/>
      <c r="BC43" s="132"/>
      <c r="BD43" s="132"/>
      <c r="BE43" s="132"/>
      <c r="BF43" s="132"/>
    </row>
    <row r="44" customFormat="false" ht="11.25" hidden="false" customHeight="true" outlineLevel="0" collapsed="false">
      <c r="A44" s="113" t="s">
        <v>1026</v>
      </c>
      <c r="E44" s="80"/>
      <c r="F44" s="810"/>
      <c r="G44" s="138"/>
      <c r="H44" s="811" t="s">
        <v>90</v>
      </c>
      <c r="I44" s="831"/>
      <c r="J44" s="335"/>
      <c r="K44" s="333"/>
      <c r="L44" s="204"/>
      <c r="M44" s="198"/>
      <c r="N44" s="840"/>
      <c r="O44" s="841"/>
      <c r="P44" s="161" t="s">
        <v>1072</v>
      </c>
      <c r="Q44" s="841"/>
      <c r="R44" s="841"/>
      <c r="S44" s="841"/>
      <c r="T44" s="841"/>
      <c r="U44" s="841"/>
      <c r="V44" s="841"/>
      <c r="W44" s="841"/>
      <c r="X44" s="841"/>
      <c r="Y44" s="841"/>
      <c r="Z44" s="841"/>
      <c r="AA44" s="841"/>
      <c r="AB44" s="841"/>
      <c r="AC44" s="841"/>
      <c r="AD44" s="841"/>
      <c r="AE44" s="848"/>
      <c r="AF44" s="835"/>
      <c r="AG44" s="836"/>
      <c r="AH44" s="836"/>
      <c r="AI44" s="835"/>
      <c r="AJ44" s="836"/>
      <c r="AK44" s="836"/>
      <c r="AL44" s="809"/>
      <c r="AM44" s="132"/>
      <c r="AN44" s="132"/>
      <c r="AO44" s="132"/>
      <c r="AP44" s="132"/>
      <c r="AQ44" s="132"/>
      <c r="AR44" s="132"/>
      <c r="AS44" s="132"/>
      <c r="AT44" s="132"/>
      <c r="AU44" s="132"/>
      <c r="AV44" s="132"/>
      <c r="AW44" s="132"/>
      <c r="AX44" s="132"/>
      <c r="AY44" s="132"/>
      <c r="AZ44" s="132"/>
      <c r="BA44" s="132"/>
      <c r="BB44" s="132"/>
      <c r="BC44" s="132"/>
      <c r="BD44" s="132"/>
      <c r="BE44" s="132"/>
      <c r="BF44" s="132"/>
    </row>
    <row r="45" customFormat="false" ht="11.25" hidden="false" customHeight="true" outlineLevel="0" collapsed="false">
      <c r="A45" s="113" t="s">
        <v>1026</v>
      </c>
      <c r="E45" s="80"/>
      <c r="F45" s="810"/>
      <c r="G45" s="138" t="s">
        <v>103</v>
      </c>
      <c r="H45" s="811" t="s">
        <v>91</v>
      </c>
      <c r="I45" s="831"/>
      <c r="J45" s="335"/>
      <c r="K45" s="333" t="s">
        <v>1083</v>
      </c>
      <c r="L45" s="204" t="s">
        <v>19</v>
      </c>
      <c r="M45" s="198"/>
      <c r="N45" s="832"/>
      <c r="O45" s="833" t="s">
        <v>389</v>
      </c>
      <c r="P45" s="834"/>
      <c r="Q45" s="834"/>
      <c r="R45" s="834"/>
      <c r="S45" s="834"/>
      <c r="T45" s="834"/>
      <c r="U45" s="834"/>
      <c r="V45" s="834"/>
      <c r="W45" s="834"/>
      <c r="X45" s="834"/>
      <c r="Y45" s="834"/>
      <c r="Z45" s="834"/>
      <c r="AA45" s="834"/>
      <c r="AB45" s="834"/>
      <c r="AC45" s="834"/>
      <c r="AD45" s="834"/>
      <c r="AE45" s="834"/>
      <c r="AF45" s="835" t="n">
        <v>2019</v>
      </c>
      <c r="AG45" s="836" t="s">
        <v>1059</v>
      </c>
      <c r="AH45" s="836" t="s">
        <v>1060</v>
      </c>
      <c r="AI45" s="835" t="n">
        <v>2019</v>
      </c>
      <c r="AJ45" s="836" t="s">
        <v>1061</v>
      </c>
      <c r="AK45" s="836" t="s">
        <v>1062</v>
      </c>
      <c r="AL45" s="809"/>
      <c r="AM45" s="132"/>
      <c r="AN45" s="132"/>
      <c r="AO45" s="132"/>
      <c r="AP45" s="132"/>
      <c r="AQ45" s="132"/>
      <c r="AR45" s="132"/>
      <c r="AS45" s="132"/>
      <c r="AT45" s="132"/>
      <c r="AU45" s="132"/>
      <c r="AV45" s="132"/>
      <c r="AW45" s="132"/>
      <c r="AX45" s="132"/>
      <c r="AY45" s="132"/>
      <c r="AZ45" s="132"/>
      <c r="BA45" s="132"/>
      <c r="BB45" s="132"/>
      <c r="BC45" s="132"/>
      <c r="BD45" s="132"/>
      <c r="BE45" s="132"/>
      <c r="BF45" s="132"/>
    </row>
    <row r="46" customFormat="false" ht="11.25" hidden="false" customHeight="true" outlineLevel="0" collapsed="false">
      <c r="A46" s="113" t="s">
        <v>1026</v>
      </c>
      <c r="E46" s="80"/>
      <c r="F46" s="810"/>
      <c r="G46" s="138"/>
      <c r="H46" s="811" t="s">
        <v>121</v>
      </c>
      <c r="I46" s="831"/>
      <c r="J46" s="335"/>
      <c r="K46" s="333"/>
      <c r="L46" s="204"/>
      <c r="M46" s="198"/>
      <c r="N46" s="837"/>
      <c r="O46" s="838" t="n">
        <v>1</v>
      </c>
      <c r="P46" s="76" t="s">
        <v>61</v>
      </c>
      <c r="Q46" s="335" t="s">
        <v>1080</v>
      </c>
      <c r="R46" s="839" t="s">
        <v>1064</v>
      </c>
      <c r="S46" s="839" t="s">
        <v>99</v>
      </c>
      <c r="T46" s="839" t="s">
        <v>99</v>
      </c>
      <c r="U46" s="839" t="s">
        <v>100</v>
      </c>
      <c r="V46" s="839" t="s">
        <v>1065</v>
      </c>
      <c r="W46" s="839" t="s">
        <v>1066</v>
      </c>
      <c r="X46" s="839" t="s">
        <v>1081</v>
      </c>
      <c r="Y46" s="839" t="s">
        <v>1082</v>
      </c>
      <c r="Z46" s="840"/>
      <c r="AA46" s="841"/>
      <c r="AB46" s="841"/>
      <c r="AC46" s="842"/>
      <c r="AD46" s="842"/>
      <c r="AE46" s="843"/>
      <c r="AF46" s="835"/>
      <c r="AG46" s="836"/>
      <c r="AH46" s="836"/>
      <c r="AI46" s="835"/>
      <c r="AJ46" s="836"/>
      <c r="AK46" s="836"/>
      <c r="AL46" s="809"/>
      <c r="AM46" s="132"/>
      <c r="AN46" s="132"/>
      <c r="AO46" s="132"/>
      <c r="AP46" s="132"/>
      <c r="AQ46" s="132"/>
      <c r="AR46" s="132"/>
      <c r="AS46" s="132"/>
      <c r="AT46" s="132"/>
      <c r="AU46" s="132"/>
      <c r="AV46" s="132"/>
      <c r="AW46" s="132"/>
      <c r="AX46" s="132"/>
      <c r="AY46" s="132"/>
      <c r="AZ46" s="132"/>
      <c r="BA46" s="132"/>
      <c r="BB46" s="132"/>
      <c r="BC46" s="132"/>
      <c r="BD46" s="132"/>
      <c r="BE46" s="132"/>
      <c r="BF46" s="132"/>
    </row>
    <row r="47" customFormat="false" ht="11.25" hidden="false" customHeight="true" outlineLevel="0" collapsed="false">
      <c r="A47" s="113" t="s">
        <v>1026</v>
      </c>
      <c r="E47" s="80"/>
      <c r="F47" s="810"/>
      <c r="G47" s="138"/>
      <c r="H47" s="811" t="s">
        <v>121</v>
      </c>
      <c r="I47" s="831"/>
      <c r="J47" s="335"/>
      <c r="K47" s="333"/>
      <c r="L47" s="204"/>
      <c r="M47" s="198"/>
      <c r="N47" s="837"/>
      <c r="O47" s="838"/>
      <c r="P47" s="76"/>
      <c r="Q47" s="335"/>
      <c r="R47" s="839"/>
      <c r="S47" s="839"/>
      <c r="T47" s="839"/>
      <c r="U47" s="839"/>
      <c r="V47" s="839"/>
      <c r="W47" s="839"/>
      <c r="X47" s="839"/>
      <c r="Y47" s="839"/>
      <c r="Z47" s="844"/>
      <c r="AA47" s="845" t="n">
        <v>1</v>
      </c>
      <c r="AB47" s="846" t="s">
        <v>1069</v>
      </c>
      <c r="AC47" s="756" t="n">
        <v>113.78</v>
      </c>
      <c r="AD47" s="846" t="str">
        <f aca="false">AB47</f>
        <v>Прочие амортизационные отчисления</v>
      </c>
      <c r="AE47" s="756" t="n">
        <v>225.82</v>
      </c>
      <c r="AF47" s="835"/>
      <c r="AG47" s="836"/>
      <c r="AH47" s="836"/>
      <c r="AI47" s="835"/>
      <c r="AJ47" s="836"/>
      <c r="AK47" s="836"/>
      <c r="AL47" s="809"/>
      <c r="AM47" s="132"/>
      <c r="AN47" s="132"/>
      <c r="AO47" s="132"/>
      <c r="AP47" s="132"/>
      <c r="AQ47" s="132"/>
      <c r="AR47" s="132"/>
      <c r="AS47" s="132"/>
      <c r="AT47" s="132"/>
      <c r="AU47" s="132"/>
      <c r="AV47" s="132"/>
      <c r="AW47" s="132"/>
      <c r="AX47" s="132"/>
      <c r="AY47" s="132"/>
      <c r="AZ47" s="132"/>
      <c r="BA47" s="132"/>
      <c r="BB47" s="132"/>
      <c r="BC47" s="132"/>
      <c r="BD47" s="132"/>
      <c r="BE47" s="132"/>
      <c r="BF47" s="132"/>
    </row>
    <row r="48" customFormat="false" ht="11.25" hidden="false" customHeight="true" outlineLevel="0" collapsed="false">
      <c r="A48" s="113" t="s">
        <v>1026</v>
      </c>
      <c r="E48" s="80"/>
      <c r="F48" s="810"/>
      <c r="G48" s="138"/>
      <c r="H48" s="811" t="s">
        <v>121</v>
      </c>
      <c r="I48" s="831"/>
      <c r="J48" s="335"/>
      <c r="K48" s="333"/>
      <c r="L48" s="204"/>
      <c r="M48" s="198"/>
      <c r="N48" s="837"/>
      <c r="O48" s="838"/>
      <c r="P48" s="76"/>
      <c r="Q48" s="335"/>
      <c r="R48" s="839"/>
      <c r="S48" s="839"/>
      <c r="T48" s="839"/>
      <c r="U48" s="839"/>
      <c r="V48" s="839"/>
      <c r="W48" s="839"/>
      <c r="X48" s="839"/>
      <c r="Y48" s="839"/>
      <c r="Z48" s="840"/>
      <c r="AA48" s="841"/>
      <c r="AB48" s="161" t="s">
        <v>1071</v>
      </c>
      <c r="AC48" s="842"/>
      <c r="AD48" s="842"/>
      <c r="AE48" s="847"/>
      <c r="AF48" s="835"/>
      <c r="AG48" s="836"/>
      <c r="AH48" s="836"/>
      <c r="AI48" s="835"/>
      <c r="AJ48" s="836"/>
      <c r="AK48" s="836"/>
      <c r="AL48" s="809"/>
      <c r="AM48" s="132"/>
      <c r="AN48" s="132"/>
      <c r="AO48" s="132"/>
      <c r="AP48" s="132"/>
      <c r="AQ48" s="132"/>
      <c r="AR48" s="132"/>
      <c r="AS48" s="132"/>
      <c r="AT48" s="132"/>
      <c r="AU48" s="132"/>
      <c r="AV48" s="132"/>
      <c r="AW48" s="132"/>
      <c r="AX48" s="132"/>
      <c r="AY48" s="132"/>
      <c r="AZ48" s="132"/>
      <c r="BA48" s="132"/>
      <c r="BB48" s="132"/>
      <c r="BC48" s="132"/>
      <c r="BD48" s="132"/>
      <c r="BE48" s="132"/>
      <c r="BF48" s="132"/>
    </row>
    <row r="49" customFormat="false" ht="11.25" hidden="false" customHeight="true" outlineLevel="0" collapsed="false">
      <c r="A49" s="113" t="s">
        <v>1026</v>
      </c>
      <c r="E49" s="80"/>
      <c r="F49" s="810"/>
      <c r="G49" s="138"/>
      <c r="H49" s="811" t="s">
        <v>121</v>
      </c>
      <c r="I49" s="831"/>
      <c r="J49" s="335"/>
      <c r="K49" s="333"/>
      <c r="L49" s="204"/>
      <c r="M49" s="198"/>
      <c r="N49" s="840"/>
      <c r="O49" s="841"/>
      <c r="P49" s="161" t="s">
        <v>1072</v>
      </c>
      <c r="Q49" s="841"/>
      <c r="R49" s="841"/>
      <c r="S49" s="841"/>
      <c r="T49" s="841"/>
      <c r="U49" s="841"/>
      <c r="V49" s="841"/>
      <c r="W49" s="841"/>
      <c r="X49" s="841"/>
      <c r="Y49" s="841"/>
      <c r="Z49" s="841"/>
      <c r="AA49" s="841"/>
      <c r="AB49" s="841"/>
      <c r="AC49" s="841"/>
      <c r="AD49" s="841"/>
      <c r="AE49" s="848"/>
      <c r="AF49" s="835"/>
      <c r="AG49" s="836"/>
      <c r="AH49" s="836"/>
      <c r="AI49" s="835"/>
      <c r="AJ49" s="836"/>
      <c r="AK49" s="836"/>
      <c r="AL49" s="809"/>
      <c r="AM49" s="132"/>
      <c r="AN49" s="132"/>
      <c r="AO49" s="132"/>
      <c r="AP49" s="132"/>
      <c r="AQ49" s="132"/>
      <c r="AR49" s="132"/>
      <c r="AS49" s="132"/>
      <c r="AT49" s="132"/>
      <c r="AU49" s="132"/>
      <c r="AV49" s="132"/>
      <c r="AW49" s="132"/>
      <c r="AX49" s="132"/>
      <c r="AY49" s="132"/>
      <c r="AZ49" s="132"/>
      <c r="BA49" s="132"/>
      <c r="BB49" s="132"/>
      <c r="BC49" s="132"/>
      <c r="BD49" s="132"/>
      <c r="BE49" s="132"/>
      <c r="BF49" s="132"/>
    </row>
    <row r="50" customFormat="false" ht="11.25" hidden="false" customHeight="true" outlineLevel="0" collapsed="false">
      <c r="A50" s="113" t="s">
        <v>1026</v>
      </c>
      <c r="E50" s="80"/>
      <c r="F50" s="810"/>
      <c r="G50" s="138" t="s">
        <v>103</v>
      </c>
      <c r="H50" s="811" t="s">
        <v>92</v>
      </c>
      <c r="I50" s="831"/>
      <c r="J50" s="335"/>
      <c r="K50" s="333" t="s">
        <v>1084</v>
      </c>
      <c r="L50" s="204" t="s">
        <v>19</v>
      </c>
      <c r="M50" s="198"/>
      <c r="N50" s="832"/>
      <c r="O50" s="833" t="s">
        <v>389</v>
      </c>
      <c r="P50" s="834"/>
      <c r="Q50" s="834"/>
      <c r="R50" s="834"/>
      <c r="S50" s="834"/>
      <c r="T50" s="834"/>
      <c r="U50" s="834"/>
      <c r="V50" s="834"/>
      <c r="W50" s="834"/>
      <c r="X50" s="834"/>
      <c r="Y50" s="834"/>
      <c r="Z50" s="834"/>
      <c r="AA50" s="834"/>
      <c r="AB50" s="834"/>
      <c r="AC50" s="834"/>
      <c r="AD50" s="834"/>
      <c r="AE50" s="834"/>
      <c r="AF50" s="835" t="n">
        <v>2019</v>
      </c>
      <c r="AG50" s="836" t="s">
        <v>1059</v>
      </c>
      <c r="AH50" s="836" t="s">
        <v>1060</v>
      </c>
      <c r="AI50" s="835" t="n">
        <v>2019</v>
      </c>
      <c r="AJ50" s="836" t="s">
        <v>1061</v>
      </c>
      <c r="AK50" s="836" t="s">
        <v>1062</v>
      </c>
      <c r="AL50" s="809"/>
      <c r="AM50" s="132"/>
      <c r="AN50" s="132"/>
      <c r="AO50" s="132"/>
      <c r="AP50" s="132"/>
      <c r="AQ50" s="132"/>
      <c r="AR50" s="132"/>
      <c r="AS50" s="132"/>
      <c r="AT50" s="132"/>
      <c r="AU50" s="132"/>
      <c r="AV50" s="132"/>
      <c r="AW50" s="132"/>
      <c r="AX50" s="132"/>
      <c r="AY50" s="132"/>
      <c r="AZ50" s="132"/>
      <c r="BA50" s="132"/>
      <c r="BB50" s="132"/>
      <c r="BC50" s="132"/>
      <c r="BD50" s="132"/>
      <c r="BE50" s="132"/>
      <c r="BF50" s="132"/>
    </row>
    <row r="51" customFormat="false" ht="11.25" hidden="false" customHeight="true" outlineLevel="0" collapsed="false">
      <c r="A51" s="113" t="s">
        <v>1026</v>
      </c>
      <c r="E51" s="80"/>
      <c r="F51" s="810"/>
      <c r="G51" s="138"/>
      <c r="H51" s="811" t="s">
        <v>91</v>
      </c>
      <c r="I51" s="831"/>
      <c r="J51" s="335"/>
      <c r="K51" s="333"/>
      <c r="L51" s="204"/>
      <c r="M51" s="198"/>
      <c r="N51" s="837"/>
      <c r="O51" s="838" t="n">
        <v>1</v>
      </c>
      <c r="P51" s="76" t="s">
        <v>61</v>
      </c>
      <c r="Q51" s="335" t="s">
        <v>1080</v>
      </c>
      <c r="R51" s="839" t="s">
        <v>1064</v>
      </c>
      <c r="S51" s="839" t="s">
        <v>99</v>
      </c>
      <c r="T51" s="839" t="s">
        <v>99</v>
      </c>
      <c r="U51" s="839" t="s">
        <v>100</v>
      </c>
      <c r="V51" s="839" t="s">
        <v>1065</v>
      </c>
      <c r="W51" s="839" t="s">
        <v>1066</v>
      </c>
      <c r="X51" s="839" t="s">
        <v>1081</v>
      </c>
      <c r="Y51" s="839" t="s">
        <v>1082</v>
      </c>
      <c r="Z51" s="840"/>
      <c r="AA51" s="841"/>
      <c r="AB51" s="841"/>
      <c r="AC51" s="842"/>
      <c r="AD51" s="842"/>
      <c r="AE51" s="843"/>
      <c r="AF51" s="835"/>
      <c r="AG51" s="836"/>
      <c r="AH51" s="836"/>
      <c r="AI51" s="835"/>
      <c r="AJ51" s="836"/>
      <c r="AK51" s="836"/>
      <c r="AL51" s="809"/>
      <c r="AM51" s="132"/>
      <c r="AN51" s="132"/>
      <c r="AO51" s="132"/>
      <c r="AP51" s="132"/>
      <c r="AQ51" s="132"/>
      <c r="AR51" s="132"/>
      <c r="AS51" s="132"/>
      <c r="AT51" s="132"/>
      <c r="AU51" s="132"/>
      <c r="AV51" s="132"/>
      <c r="AW51" s="132"/>
      <c r="AX51" s="132"/>
      <c r="AY51" s="132"/>
      <c r="AZ51" s="132"/>
      <c r="BA51" s="132"/>
      <c r="BB51" s="132"/>
      <c r="BC51" s="132"/>
      <c r="BD51" s="132"/>
      <c r="BE51" s="132"/>
      <c r="BF51" s="132"/>
    </row>
    <row r="52" customFormat="false" ht="11.25" hidden="false" customHeight="true" outlineLevel="0" collapsed="false">
      <c r="A52" s="113" t="s">
        <v>1026</v>
      </c>
      <c r="E52" s="80"/>
      <c r="F52" s="810"/>
      <c r="G52" s="138"/>
      <c r="H52" s="811" t="s">
        <v>91</v>
      </c>
      <c r="I52" s="831"/>
      <c r="J52" s="335"/>
      <c r="K52" s="333"/>
      <c r="L52" s="204"/>
      <c r="M52" s="198"/>
      <c r="N52" s="837"/>
      <c r="O52" s="838"/>
      <c r="P52" s="76"/>
      <c r="Q52" s="335"/>
      <c r="R52" s="839"/>
      <c r="S52" s="839"/>
      <c r="T52" s="839"/>
      <c r="U52" s="839"/>
      <c r="V52" s="839"/>
      <c r="W52" s="839"/>
      <c r="X52" s="839"/>
      <c r="Y52" s="839"/>
      <c r="Z52" s="844"/>
      <c r="AA52" s="845" t="n">
        <v>1</v>
      </c>
      <c r="AB52" s="846" t="s">
        <v>1069</v>
      </c>
      <c r="AC52" s="756" t="n">
        <v>113.78</v>
      </c>
      <c r="AD52" s="846" t="str">
        <f aca="false">AB52</f>
        <v>Прочие амортизационные отчисления</v>
      </c>
      <c r="AE52" s="756" t="n">
        <v>225.82</v>
      </c>
      <c r="AF52" s="835"/>
      <c r="AG52" s="836"/>
      <c r="AH52" s="836"/>
      <c r="AI52" s="835"/>
      <c r="AJ52" s="836"/>
      <c r="AK52" s="836"/>
      <c r="AL52" s="809"/>
      <c r="AM52" s="132"/>
      <c r="AN52" s="132"/>
      <c r="AO52" s="132"/>
      <c r="AP52" s="132"/>
      <c r="AQ52" s="132"/>
      <c r="AR52" s="132"/>
      <c r="AS52" s="132"/>
      <c r="AT52" s="132"/>
      <c r="AU52" s="132"/>
      <c r="AV52" s="132"/>
      <c r="AW52" s="132"/>
      <c r="AX52" s="132"/>
      <c r="AY52" s="132"/>
      <c r="AZ52" s="132"/>
      <c r="BA52" s="132"/>
      <c r="BB52" s="132"/>
      <c r="BC52" s="132"/>
      <c r="BD52" s="132"/>
      <c r="BE52" s="132"/>
      <c r="BF52" s="132"/>
    </row>
    <row r="53" customFormat="false" ht="11.25" hidden="false" customHeight="true" outlineLevel="0" collapsed="false">
      <c r="A53" s="113" t="s">
        <v>1026</v>
      </c>
      <c r="E53" s="80"/>
      <c r="F53" s="810"/>
      <c r="G53" s="138"/>
      <c r="H53" s="811" t="s">
        <v>91</v>
      </c>
      <c r="I53" s="831"/>
      <c r="J53" s="335"/>
      <c r="K53" s="333"/>
      <c r="L53" s="204"/>
      <c r="M53" s="198"/>
      <c r="N53" s="837"/>
      <c r="O53" s="838"/>
      <c r="P53" s="76"/>
      <c r="Q53" s="335"/>
      <c r="R53" s="839"/>
      <c r="S53" s="839"/>
      <c r="T53" s="839"/>
      <c r="U53" s="839"/>
      <c r="V53" s="839"/>
      <c r="W53" s="839"/>
      <c r="X53" s="839"/>
      <c r="Y53" s="839"/>
      <c r="Z53" s="840"/>
      <c r="AA53" s="841"/>
      <c r="AB53" s="161" t="s">
        <v>1071</v>
      </c>
      <c r="AC53" s="842"/>
      <c r="AD53" s="842"/>
      <c r="AE53" s="847"/>
      <c r="AF53" s="835"/>
      <c r="AG53" s="836"/>
      <c r="AH53" s="836"/>
      <c r="AI53" s="835"/>
      <c r="AJ53" s="836"/>
      <c r="AK53" s="836"/>
      <c r="AL53" s="809"/>
      <c r="AM53" s="132"/>
      <c r="AN53" s="132"/>
      <c r="AO53" s="132"/>
      <c r="AP53" s="132"/>
      <c r="AQ53" s="132"/>
      <c r="AR53" s="132"/>
      <c r="AS53" s="132"/>
      <c r="AT53" s="132"/>
      <c r="AU53" s="132"/>
      <c r="AV53" s="132"/>
      <c r="AW53" s="132"/>
      <c r="AX53" s="132"/>
      <c r="AY53" s="132"/>
      <c r="AZ53" s="132"/>
      <c r="BA53" s="132"/>
      <c r="BB53" s="132"/>
      <c r="BC53" s="132"/>
      <c r="BD53" s="132"/>
      <c r="BE53" s="132"/>
      <c r="BF53" s="132"/>
    </row>
    <row r="54" customFormat="false" ht="11.25" hidden="false" customHeight="true" outlineLevel="0" collapsed="false">
      <c r="A54" s="113" t="s">
        <v>1026</v>
      </c>
      <c r="E54" s="80"/>
      <c r="F54" s="810"/>
      <c r="G54" s="138"/>
      <c r="H54" s="811" t="s">
        <v>91</v>
      </c>
      <c r="I54" s="831"/>
      <c r="J54" s="335"/>
      <c r="K54" s="333"/>
      <c r="L54" s="204"/>
      <c r="M54" s="198"/>
      <c r="N54" s="840"/>
      <c r="O54" s="841"/>
      <c r="P54" s="161" t="s">
        <v>1072</v>
      </c>
      <c r="Q54" s="841"/>
      <c r="R54" s="841"/>
      <c r="S54" s="841"/>
      <c r="T54" s="841"/>
      <c r="U54" s="841"/>
      <c r="V54" s="841"/>
      <c r="W54" s="841"/>
      <c r="X54" s="841"/>
      <c r="Y54" s="841"/>
      <c r="Z54" s="841"/>
      <c r="AA54" s="841"/>
      <c r="AB54" s="841"/>
      <c r="AC54" s="841"/>
      <c r="AD54" s="841"/>
      <c r="AE54" s="848"/>
      <c r="AF54" s="835"/>
      <c r="AG54" s="836"/>
      <c r="AH54" s="836"/>
      <c r="AI54" s="835"/>
      <c r="AJ54" s="836"/>
      <c r="AK54" s="836"/>
      <c r="AL54" s="809"/>
      <c r="AM54" s="132"/>
      <c r="AN54" s="132"/>
      <c r="AO54" s="132"/>
      <c r="AP54" s="132"/>
      <c r="AQ54" s="132"/>
      <c r="AR54" s="132"/>
      <c r="AS54" s="132"/>
      <c r="AT54" s="132"/>
      <c r="AU54" s="132"/>
      <c r="AV54" s="132"/>
      <c r="AW54" s="132"/>
      <c r="AX54" s="132"/>
      <c r="AY54" s="132"/>
      <c r="AZ54" s="132"/>
      <c r="BA54" s="132"/>
      <c r="BB54" s="132"/>
      <c r="BC54" s="132"/>
      <c r="BD54" s="132"/>
      <c r="BE54" s="132"/>
      <c r="BF54" s="132"/>
    </row>
    <row r="55" customFormat="false" ht="11.25" hidden="false" customHeight="true" outlineLevel="0" collapsed="false">
      <c r="A55" s="113" t="s">
        <v>1026</v>
      </c>
      <c r="E55" s="80"/>
      <c r="F55" s="810"/>
      <c r="G55" s="138" t="s">
        <v>103</v>
      </c>
      <c r="H55" s="811" t="s">
        <v>122</v>
      </c>
      <c r="I55" s="831"/>
      <c r="J55" s="335"/>
      <c r="K55" s="333" t="s">
        <v>1085</v>
      </c>
      <c r="L55" s="204" t="s">
        <v>19</v>
      </c>
      <c r="M55" s="198"/>
      <c r="N55" s="832"/>
      <c r="O55" s="833" t="s">
        <v>389</v>
      </c>
      <c r="P55" s="834"/>
      <c r="Q55" s="834"/>
      <c r="R55" s="834"/>
      <c r="S55" s="834"/>
      <c r="T55" s="834"/>
      <c r="U55" s="834"/>
      <c r="V55" s="834"/>
      <c r="W55" s="834"/>
      <c r="X55" s="834"/>
      <c r="Y55" s="834"/>
      <c r="Z55" s="834"/>
      <c r="AA55" s="834"/>
      <c r="AB55" s="834"/>
      <c r="AC55" s="834"/>
      <c r="AD55" s="834"/>
      <c r="AE55" s="834"/>
      <c r="AF55" s="835" t="n">
        <v>2019</v>
      </c>
      <c r="AG55" s="836" t="s">
        <v>1059</v>
      </c>
      <c r="AH55" s="836" t="s">
        <v>1060</v>
      </c>
      <c r="AI55" s="835" t="n">
        <v>2019</v>
      </c>
      <c r="AJ55" s="836" t="s">
        <v>1086</v>
      </c>
      <c r="AK55" s="836" t="s">
        <v>1062</v>
      </c>
      <c r="AL55" s="809"/>
      <c r="AM55" s="132"/>
      <c r="AN55" s="132"/>
      <c r="AO55" s="132"/>
      <c r="AP55" s="132"/>
      <c r="AQ55" s="132"/>
      <c r="AR55" s="132"/>
      <c r="AS55" s="132"/>
      <c r="AT55" s="132"/>
      <c r="AU55" s="132"/>
      <c r="AV55" s="132"/>
      <c r="AW55" s="132"/>
      <c r="AX55" s="132"/>
      <c r="AY55" s="132"/>
      <c r="AZ55" s="132"/>
      <c r="BA55" s="132"/>
      <c r="BB55" s="132"/>
      <c r="BC55" s="132"/>
      <c r="BD55" s="132"/>
      <c r="BE55" s="132"/>
      <c r="BF55" s="132"/>
    </row>
    <row r="56" customFormat="false" ht="11.25" hidden="false" customHeight="true" outlineLevel="0" collapsed="false">
      <c r="A56" s="113" t="s">
        <v>1026</v>
      </c>
      <c r="E56" s="80"/>
      <c r="F56" s="810"/>
      <c r="G56" s="138"/>
      <c r="H56" s="811" t="s">
        <v>92</v>
      </c>
      <c r="I56" s="831"/>
      <c r="J56" s="335"/>
      <c r="K56" s="333"/>
      <c r="L56" s="204"/>
      <c r="M56" s="198"/>
      <c r="N56" s="837"/>
      <c r="O56" s="838" t="n">
        <v>1</v>
      </c>
      <c r="P56" s="76" t="s">
        <v>61</v>
      </c>
      <c r="Q56" s="335" t="s">
        <v>1080</v>
      </c>
      <c r="R56" s="839" t="s">
        <v>1064</v>
      </c>
      <c r="S56" s="839" t="s">
        <v>99</v>
      </c>
      <c r="T56" s="839" t="s">
        <v>99</v>
      </c>
      <c r="U56" s="839" t="s">
        <v>100</v>
      </c>
      <c r="V56" s="839" t="s">
        <v>1065</v>
      </c>
      <c r="W56" s="839" t="s">
        <v>1066</v>
      </c>
      <c r="X56" s="839" t="s">
        <v>1081</v>
      </c>
      <c r="Y56" s="839" t="s">
        <v>1082</v>
      </c>
      <c r="Z56" s="840"/>
      <c r="AA56" s="841"/>
      <c r="AB56" s="841"/>
      <c r="AC56" s="842"/>
      <c r="AD56" s="842"/>
      <c r="AE56" s="843"/>
      <c r="AF56" s="835"/>
      <c r="AG56" s="836"/>
      <c r="AH56" s="836"/>
      <c r="AI56" s="835"/>
      <c r="AJ56" s="836"/>
      <c r="AK56" s="836"/>
      <c r="AL56" s="809"/>
      <c r="AM56" s="132"/>
      <c r="AN56" s="132"/>
      <c r="AO56" s="132"/>
      <c r="AP56" s="132"/>
      <c r="AQ56" s="132"/>
      <c r="AR56" s="132"/>
      <c r="AS56" s="132"/>
      <c r="AT56" s="132"/>
      <c r="AU56" s="132"/>
      <c r="AV56" s="132"/>
      <c r="AW56" s="132"/>
      <c r="AX56" s="132"/>
      <c r="AY56" s="132"/>
      <c r="AZ56" s="132"/>
      <c r="BA56" s="132"/>
      <c r="BB56" s="132"/>
      <c r="BC56" s="132"/>
      <c r="BD56" s="132"/>
      <c r="BE56" s="132"/>
      <c r="BF56" s="132"/>
    </row>
    <row r="57" customFormat="false" ht="11.25" hidden="false" customHeight="true" outlineLevel="0" collapsed="false">
      <c r="A57" s="113" t="s">
        <v>1026</v>
      </c>
      <c r="E57" s="80"/>
      <c r="F57" s="810"/>
      <c r="G57" s="138"/>
      <c r="H57" s="811" t="s">
        <v>92</v>
      </c>
      <c r="I57" s="831"/>
      <c r="J57" s="335"/>
      <c r="K57" s="333"/>
      <c r="L57" s="204"/>
      <c r="M57" s="198"/>
      <c r="N57" s="837"/>
      <c r="O57" s="838"/>
      <c r="P57" s="76"/>
      <c r="Q57" s="335"/>
      <c r="R57" s="839"/>
      <c r="S57" s="839"/>
      <c r="T57" s="839"/>
      <c r="U57" s="839"/>
      <c r="V57" s="839"/>
      <c r="W57" s="839"/>
      <c r="X57" s="839"/>
      <c r="Y57" s="839"/>
      <c r="Z57" s="844"/>
      <c r="AA57" s="845" t="n">
        <v>1</v>
      </c>
      <c r="AB57" s="846" t="s">
        <v>1069</v>
      </c>
      <c r="AC57" s="756" t="n">
        <v>95.19</v>
      </c>
      <c r="AD57" s="846" t="str">
        <f aca="false">AB57</f>
        <v>Прочие амортизационные отчисления</v>
      </c>
      <c r="AE57" s="756" t="n">
        <v>174.84</v>
      </c>
      <c r="AF57" s="835"/>
      <c r="AG57" s="836"/>
      <c r="AH57" s="836"/>
      <c r="AI57" s="835"/>
      <c r="AJ57" s="836"/>
      <c r="AK57" s="836"/>
      <c r="AL57" s="809"/>
      <c r="AM57" s="132"/>
      <c r="AN57" s="132"/>
      <c r="AO57" s="132"/>
      <c r="AP57" s="132"/>
      <c r="AQ57" s="132"/>
      <c r="AR57" s="132"/>
      <c r="AS57" s="132"/>
      <c r="AT57" s="132"/>
      <c r="AU57" s="132"/>
      <c r="AV57" s="132"/>
      <c r="AW57" s="132"/>
      <c r="AX57" s="132"/>
      <c r="AY57" s="132"/>
      <c r="AZ57" s="132"/>
      <c r="BA57" s="132"/>
      <c r="BB57" s="132"/>
      <c r="BC57" s="132"/>
      <c r="BD57" s="132"/>
      <c r="BE57" s="132"/>
      <c r="BF57" s="132"/>
    </row>
    <row r="58" customFormat="false" ht="11.25" hidden="false" customHeight="true" outlineLevel="0" collapsed="false">
      <c r="A58" s="113" t="s">
        <v>1026</v>
      </c>
      <c r="E58" s="80"/>
      <c r="F58" s="810"/>
      <c r="G58" s="138"/>
      <c r="H58" s="811" t="s">
        <v>92</v>
      </c>
      <c r="I58" s="831"/>
      <c r="J58" s="335"/>
      <c r="K58" s="333"/>
      <c r="L58" s="204"/>
      <c r="M58" s="198"/>
      <c r="N58" s="837"/>
      <c r="O58" s="838"/>
      <c r="P58" s="76"/>
      <c r="Q58" s="335"/>
      <c r="R58" s="839"/>
      <c r="S58" s="839"/>
      <c r="T58" s="839"/>
      <c r="U58" s="839"/>
      <c r="V58" s="839"/>
      <c r="W58" s="839"/>
      <c r="X58" s="839"/>
      <c r="Y58" s="839"/>
      <c r="Z58" s="840"/>
      <c r="AA58" s="841"/>
      <c r="AB58" s="161" t="s">
        <v>1071</v>
      </c>
      <c r="AC58" s="842"/>
      <c r="AD58" s="842"/>
      <c r="AE58" s="847"/>
      <c r="AF58" s="835"/>
      <c r="AG58" s="836"/>
      <c r="AH58" s="836"/>
      <c r="AI58" s="835"/>
      <c r="AJ58" s="836"/>
      <c r="AK58" s="836"/>
      <c r="AL58" s="809"/>
      <c r="AM58" s="132"/>
      <c r="AN58" s="132"/>
      <c r="AO58" s="132"/>
      <c r="AP58" s="132"/>
      <c r="AQ58" s="132"/>
      <c r="AR58" s="132"/>
      <c r="AS58" s="132"/>
      <c r="AT58" s="132"/>
      <c r="AU58" s="132"/>
      <c r="AV58" s="132"/>
      <c r="AW58" s="132"/>
      <c r="AX58" s="132"/>
      <c r="AY58" s="132"/>
      <c r="AZ58" s="132"/>
      <c r="BA58" s="132"/>
      <c r="BB58" s="132"/>
      <c r="BC58" s="132"/>
      <c r="BD58" s="132"/>
      <c r="BE58" s="132"/>
      <c r="BF58" s="132"/>
    </row>
    <row r="59" customFormat="false" ht="11.25" hidden="false" customHeight="true" outlineLevel="0" collapsed="false">
      <c r="A59" s="113" t="s">
        <v>1026</v>
      </c>
      <c r="E59" s="80"/>
      <c r="F59" s="810"/>
      <c r="G59" s="138"/>
      <c r="H59" s="811" t="s">
        <v>92</v>
      </c>
      <c r="I59" s="831"/>
      <c r="J59" s="335"/>
      <c r="K59" s="333"/>
      <c r="L59" s="204"/>
      <c r="M59" s="198"/>
      <c r="N59" s="840"/>
      <c r="O59" s="841"/>
      <c r="P59" s="161" t="s">
        <v>1072</v>
      </c>
      <c r="Q59" s="841"/>
      <c r="R59" s="841"/>
      <c r="S59" s="841"/>
      <c r="T59" s="841"/>
      <c r="U59" s="841"/>
      <c r="V59" s="841"/>
      <c r="W59" s="841"/>
      <c r="X59" s="841"/>
      <c r="Y59" s="841"/>
      <c r="Z59" s="841"/>
      <c r="AA59" s="841"/>
      <c r="AB59" s="841"/>
      <c r="AC59" s="841"/>
      <c r="AD59" s="841"/>
      <c r="AE59" s="848"/>
      <c r="AF59" s="835"/>
      <c r="AG59" s="836"/>
      <c r="AH59" s="836"/>
      <c r="AI59" s="835"/>
      <c r="AJ59" s="836"/>
      <c r="AK59" s="836"/>
      <c r="AL59" s="809"/>
      <c r="AM59" s="132"/>
      <c r="AN59" s="132"/>
      <c r="AO59" s="132"/>
      <c r="AP59" s="132"/>
      <c r="AQ59" s="132"/>
      <c r="AR59" s="132"/>
      <c r="AS59" s="132"/>
      <c r="AT59" s="132"/>
      <c r="AU59" s="132"/>
      <c r="AV59" s="132"/>
      <c r="AW59" s="132"/>
      <c r="AX59" s="132"/>
      <c r="AY59" s="132"/>
      <c r="AZ59" s="132"/>
      <c r="BA59" s="132"/>
      <c r="BB59" s="132"/>
      <c r="BC59" s="132"/>
      <c r="BD59" s="132"/>
      <c r="BE59" s="132"/>
      <c r="BF59" s="132"/>
    </row>
    <row r="60" customFormat="false" ht="11.25" hidden="false" customHeight="true" outlineLevel="0" collapsed="false">
      <c r="A60" s="113" t="s">
        <v>1026</v>
      </c>
      <c r="E60" s="80"/>
      <c r="F60" s="810"/>
      <c r="G60" s="138" t="s">
        <v>103</v>
      </c>
      <c r="H60" s="811" t="s">
        <v>163</v>
      </c>
      <c r="I60" s="831"/>
      <c r="J60" s="335"/>
      <c r="K60" s="333" t="s">
        <v>1087</v>
      </c>
      <c r="L60" s="204" t="s">
        <v>19</v>
      </c>
      <c r="M60" s="198"/>
      <c r="N60" s="832"/>
      <c r="O60" s="833" t="s">
        <v>389</v>
      </c>
      <c r="P60" s="834"/>
      <c r="Q60" s="834"/>
      <c r="R60" s="834"/>
      <c r="S60" s="834"/>
      <c r="T60" s="834"/>
      <c r="U60" s="834"/>
      <c r="V60" s="834"/>
      <c r="W60" s="834"/>
      <c r="X60" s="834"/>
      <c r="Y60" s="834"/>
      <c r="Z60" s="834"/>
      <c r="AA60" s="834"/>
      <c r="AB60" s="834"/>
      <c r="AC60" s="834"/>
      <c r="AD60" s="834"/>
      <c r="AE60" s="834"/>
      <c r="AF60" s="835" t="n">
        <v>2019</v>
      </c>
      <c r="AG60" s="836" t="s">
        <v>1059</v>
      </c>
      <c r="AH60" s="836" t="s">
        <v>1060</v>
      </c>
      <c r="AI60" s="835" t="n">
        <v>2019</v>
      </c>
      <c r="AJ60" s="836" t="s">
        <v>1086</v>
      </c>
      <c r="AK60" s="836" t="s">
        <v>1062</v>
      </c>
      <c r="AL60" s="809"/>
      <c r="AM60" s="132"/>
      <c r="AN60" s="132"/>
      <c r="AO60" s="132"/>
      <c r="AP60" s="132"/>
      <c r="AQ60" s="132"/>
      <c r="AR60" s="132"/>
      <c r="AS60" s="132"/>
      <c r="AT60" s="132"/>
      <c r="AU60" s="132"/>
      <c r="AV60" s="132"/>
      <c r="AW60" s="132"/>
      <c r="AX60" s="132"/>
      <c r="AY60" s="132"/>
      <c r="AZ60" s="132"/>
      <c r="BA60" s="132"/>
      <c r="BB60" s="132"/>
      <c r="BC60" s="132"/>
      <c r="BD60" s="132"/>
      <c r="BE60" s="132"/>
      <c r="BF60" s="132"/>
    </row>
    <row r="61" customFormat="false" ht="11.25" hidden="false" customHeight="true" outlineLevel="0" collapsed="false">
      <c r="A61" s="113" t="s">
        <v>1026</v>
      </c>
      <c r="E61" s="80"/>
      <c r="F61" s="810"/>
      <c r="G61" s="138"/>
      <c r="H61" s="811" t="s">
        <v>122</v>
      </c>
      <c r="I61" s="831"/>
      <c r="J61" s="335"/>
      <c r="K61" s="333"/>
      <c r="L61" s="204"/>
      <c r="M61" s="198"/>
      <c r="N61" s="837"/>
      <c r="O61" s="838" t="n">
        <v>1</v>
      </c>
      <c r="P61" s="76" t="s">
        <v>61</v>
      </c>
      <c r="Q61" s="335" t="s">
        <v>1080</v>
      </c>
      <c r="R61" s="839" t="s">
        <v>1064</v>
      </c>
      <c r="S61" s="839" t="s">
        <v>99</v>
      </c>
      <c r="T61" s="839" t="s">
        <v>99</v>
      </c>
      <c r="U61" s="839" t="s">
        <v>100</v>
      </c>
      <c r="V61" s="839" t="s">
        <v>1065</v>
      </c>
      <c r="W61" s="839" t="s">
        <v>1066</v>
      </c>
      <c r="X61" s="839" t="s">
        <v>1081</v>
      </c>
      <c r="Y61" s="839" t="s">
        <v>1082</v>
      </c>
      <c r="Z61" s="840"/>
      <c r="AA61" s="841"/>
      <c r="AB61" s="841"/>
      <c r="AC61" s="842"/>
      <c r="AD61" s="842"/>
      <c r="AE61" s="843"/>
      <c r="AF61" s="835"/>
      <c r="AG61" s="836"/>
      <c r="AH61" s="836"/>
      <c r="AI61" s="835"/>
      <c r="AJ61" s="836"/>
      <c r="AK61" s="836"/>
      <c r="AL61" s="809"/>
      <c r="AM61" s="132"/>
      <c r="AN61" s="132"/>
      <c r="AO61" s="132"/>
      <c r="AP61" s="132"/>
      <c r="AQ61" s="132"/>
      <c r="AR61" s="132"/>
      <c r="AS61" s="132"/>
      <c r="AT61" s="132"/>
      <c r="AU61" s="132"/>
      <c r="AV61" s="132"/>
      <c r="AW61" s="132"/>
      <c r="AX61" s="132"/>
      <c r="AY61" s="132"/>
      <c r="AZ61" s="132"/>
      <c r="BA61" s="132"/>
      <c r="BB61" s="132"/>
      <c r="BC61" s="132"/>
      <c r="BD61" s="132"/>
      <c r="BE61" s="132"/>
      <c r="BF61" s="132"/>
    </row>
    <row r="62" customFormat="false" ht="11.25" hidden="false" customHeight="true" outlineLevel="0" collapsed="false">
      <c r="A62" s="113" t="s">
        <v>1026</v>
      </c>
      <c r="E62" s="80"/>
      <c r="F62" s="810"/>
      <c r="G62" s="138"/>
      <c r="H62" s="811" t="s">
        <v>122</v>
      </c>
      <c r="I62" s="831"/>
      <c r="J62" s="335"/>
      <c r="K62" s="333"/>
      <c r="L62" s="204"/>
      <c r="M62" s="198"/>
      <c r="N62" s="837"/>
      <c r="O62" s="838"/>
      <c r="P62" s="76"/>
      <c r="Q62" s="335"/>
      <c r="R62" s="839"/>
      <c r="S62" s="839"/>
      <c r="T62" s="839"/>
      <c r="U62" s="839"/>
      <c r="V62" s="839"/>
      <c r="W62" s="839"/>
      <c r="X62" s="839"/>
      <c r="Y62" s="839"/>
      <c r="Z62" s="844"/>
      <c r="AA62" s="845" t="n">
        <v>1</v>
      </c>
      <c r="AB62" s="846" t="s">
        <v>1069</v>
      </c>
      <c r="AC62" s="756" t="n">
        <v>62.84</v>
      </c>
      <c r="AD62" s="846" t="str">
        <f aca="false">AB62</f>
        <v>Прочие амортизационные отчисления</v>
      </c>
      <c r="AE62" s="756" t="n">
        <v>124.79</v>
      </c>
      <c r="AF62" s="835"/>
      <c r="AG62" s="836"/>
      <c r="AH62" s="836"/>
      <c r="AI62" s="835"/>
      <c r="AJ62" s="836"/>
      <c r="AK62" s="836"/>
      <c r="AL62" s="809"/>
      <c r="AM62" s="132"/>
      <c r="AN62" s="132"/>
      <c r="AO62" s="132"/>
      <c r="AP62" s="132"/>
      <c r="AQ62" s="132"/>
      <c r="AR62" s="132"/>
      <c r="AS62" s="132"/>
      <c r="AT62" s="132"/>
      <c r="AU62" s="132"/>
      <c r="AV62" s="132"/>
      <c r="AW62" s="132"/>
      <c r="AX62" s="132"/>
      <c r="AY62" s="132"/>
      <c r="AZ62" s="132"/>
      <c r="BA62" s="132"/>
      <c r="BB62" s="132"/>
      <c r="BC62" s="132"/>
      <c r="BD62" s="132"/>
      <c r="BE62" s="132"/>
      <c r="BF62" s="132"/>
    </row>
    <row r="63" customFormat="false" ht="11.25" hidden="false" customHeight="true" outlineLevel="0" collapsed="false">
      <c r="A63" s="113" t="s">
        <v>1026</v>
      </c>
      <c r="E63" s="80"/>
      <c r="F63" s="810"/>
      <c r="G63" s="138"/>
      <c r="H63" s="811" t="s">
        <v>122</v>
      </c>
      <c r="I63" s="831"/>
      <c r="J63" s="335"/>
      <c r="K63" s="333"/>
      <c r="L63" s="204"/>
      <c r="M63" s="198"/>
      <c r="N63" s="837"/>
      <c r="O63" s="838"/>
      <c r="P63" s="76"/>
      <c r="Q63" s="335"/>
      <c r="R63" s="839"/>
      <c r="S63" s="839"/>
      <c r="T63" s="839"/>
      <c r="U63" s="839"/>
      <c r="V63" s="839"/>
      <c r="W63" s="839"/>
      <c r="X63" s="839"/>
      <c r="Y63" s="839"/>
      <c r="Z63" s="840"/>
      <c r="AA63" s="841"/>
      <c r="AB63" s="161" t="s">
        <v>1071</v>
      </c>
      <c r="AC63" s="842"/>
      <c r="AD63" s="842"/>
      <c r="AE63" s="847"/>
      <c r="AF63" s="835"/>
      <c r="AG63" s="836"/>
      <c r="AH63" s="836"/>
      <c r="AI63" s="835"/>
      <c r="AJ63" s="836"/>
      <c r="AK63" s="836"/>
      <c r="AL63" s="809"/>
      <c r="AM63" s="132"/>
      <c r="AN63" s="132"/>
      <c r="AO63" s="132"/>
      <c r="AP63" s="132"/>
      <c r="AQ63" s="132"/>
      <c r="AR63" s="132"/>
      <c r="AS63" s="132"/>
      <c r="AT63" s="132"/>
      <c r="AU63" s="132"/>
      <c r="AV63" s="132"/>
      <c r="AW63" s="132"/>
      <c r="AX63" s="132"/>
      <c r="AY63" s="132"/>
      <c r="AZ63" s="132"/>
      <c r="BA63" s="132"/>
      <c r="BB63" s="132"/>
      <c r="BC63" s="132"/>
      <c r="BD63" s="132"/>
      <c r="BE63" s="132"/>
      <c r="BF63" s="132"/>
    </row>
    <row r="64" customFormat="false" ht="11.25" hidden="false" customHeight="true" outlineLevel="0" collapsed="false">
      <c r="A64" s="113" t="s">
        <v>1026</v>
      </c>
      <c r="E64" s="80"/>
      <c r="F64" s="810"/>
      <c r="G64" s="138"/>
      <c r="H64" s="811" t="s">
        <v>122</v>
      </c>
      <c r="I64" s="831"/>
      <c r="J64" s="335"/>
      <c r="K64" s="333"/>
      <c r="L64" s="204"/>
      <c r="M64" s="198"/>
      <c r="N64" s="840"/>
      <c r="O64" s="841"/>
      <c r="P64" s="161" t="s">
        <v>1072</v>
      </c>
      <c r="Q64" s="841"/>
      <c r="R64" s="841"/>
      <c r="S64" s="841"/>
      <c r="T64" s="841"/>
      <c r="U64" s="841"/>
      <c r="V64" s="841"/>
      <c r="W64" s="841"/>
      <c r="X64" s="841"/>
      <c r="Y64" s="841"/>
      <c r="Z64" s="841"/>
      <c r="AA64" s="841"/>
      <c r="AB64" s="841"/>
      <c r="AC64" s="841"/>
      <c r="AD64" s="841"/>
      <c r="AE64" s="848"/>
      <c r="AF64" s="835"/>
      <c r="AG64" s="836"/>
      <c r="AH64" s="836"/>
      <c r="AI64" s="835"/>
      <c r="AJ64" s="836"/>
      <c r="AK64" s="836"/>
      <c r="AL64" s="809"/>
      <c r="AM64" s="132"/>
      <c r="AN64" s="132"/>
      <c r="AO64" s="132"/>
      <c r="AP64" s="132"/>
      <c r="AQ64" s="132"/>
      <c r="AR64" s="132"/>
      <c r="AS64" s="132"/>
      <c r="AT64" s="132"/>
      <c r="AU64" s="132"/>
      <c r="AV64" s="132"/>
      <c r="AW64" s="132"/>
      <c r="AX64" s="132"/>
      <c r="AY64" s="132"/>
      <c r="AZ64" s="132"/>
      <c r="BA64" s="132"/>
      <c r="BB64" s="132"/>
      <c r="BC64" s="132"/>
      <c r="BD64" s="132"/>
      <c r="BE64" s="132"/>
      <c r="BF64" s="132"/>
    </row>
    <row r="65" customFormat="false" ht="11.25" hidden="false" customHeight="true" outlineLevel="0" collapsed="false">
      <c r="A65" s="113" t="s">
        <v>1026</v>
      </c>
      <c r="E65" s="80"/>
      <c r="F65" s="810"/>
      <c r="G65" s="138" t="s">
        <v>103</v>
      </c>
      <c r="H65" s="811" t="s">
        <v>164</v>
      </c>
      <c r="I65" s="831"/>
      <c r="J65" s="335"/>
      <c r="K65" s="333" t="s">
        <v>1088</v>
      </c>
      <c r="L65" s="204" t="s">
        <v>19</v>
      </c>
      <c r="M65" s="198"/>
      <c r="N65" s="832"/>
      <c r="O65" s="833" t="s">
        <v>389</v>
      </c>
      <c r="P65" s="834"/>
      <c r="Q65" s="834"/>
      <c r="R65" s="834"/>
      <c r="S65" s="834"/>
      <c r="T65" s="834"/>
      <c r="U65" s="834"/>
      <c r="V65" s="834"/>
      <c r="W65" s="834"/>
      <c r="X65" s="834"/>
      <c r="Y65" s="834"/>
      <c r="Z65" s="834"/>
      <c r="AA65" s="834"/>
      <c r="AB65" s="834"/>
      <c r="AC65" s="834"/>
      <c r="AD65" s="834"/>
      <c r="AE65" s="834"/>
      <c r="AF65" s="835" t="n">
        <v>2019</v>
      </c>
      <c r="AG65" s="836" t="s">
        <v>1059</v>
      </c>
      <c r="AH65" s="836" t="s">
        <v>1060</v>
      </c>
      <c r="AI65" s="835" t="n">
        <v>2019</v>
      </c>
      <c r="AJ65" s="836" t="s">
        <v>1061</v>
      </c>
      <c r="AK65" s="836" t="s">
        <v>1062</v>
      </c>
      <c r="AL65" s="809"/>
      <c r="AM65" s="132"/>
      <c r="AN65" s="132"/>
      <c r="AO65" s="132"/>
      <c r="AP65" s="132"/>
      <c r="AQ65" s="132"/>
      <c r="AR65" s="132"/>
      <c r="AS65" s="132"/>
      <c r="AT65" s="132"/>
      <c r="AU65" s="132"/>
      <c r="AV65" s="132"/>
      <c r="AW65" s="132"/>
      <c r="AX65" s="132"/>
      <c r="AY65" s="132"/>
      <c r="AZ65" s="132"/>
      <c r="BA65" s="132"/>
      <c r="BB65" s="132"/>
      <c r="BC65" s="132"/>
      <c r="BD65" s="132"/>
      <c r="BE65" s="132"/>
      <c r="BF65" s="132"/>
    </row>
    <row r="66" customFormat="false" ht="11.25" hidden="false" customHeight="true" outlineLevel="0" collapsed="false">
      <c r="A66" s="113" t="s">
        <v>1026</v>
      </c>
      <c r="E66" s="80"/>
      <c r="F66" s="810"/>
      <c r="G66" s="138"/>
      <c r="H66" s="811" t="s">
        <v>163</v>
      </c>
      <c r="I66" s="831"/>
      <c r="J66" s="335"/>
      <c r="K66" s="333"/>
      <c r="L66" s="204"/>
      <c r="M66" s="198"/>
      <c r="N66" s="837"/>
      <c r="O66" s="838" t="n">
        <v>1</v>
      </c>
      <c r="P66" s="76" t="s">
        <v>61</v>
      </c>
      <c r="Q66" s="335" t="s">
        <v>1080</v>
      </c>
      <c r="R66" s="839" t="s">
        <v>1064</v>
      </c>
      <c r="S66" s="839" t="s">
        <v>99</v>
      </c>
      <c r="T66" s="839" t="s">
        <v>99</v>
      </c>
      <c r="U66" s="839" t="s">
        <v>100</v>
      </c>
      <c r="V66" s="839" t="s">
        <v>1065</v>
      </c>
      <c r="W66" s="839" t="s">
        <v>1066</v>
      </c>
      <c r="X66" s="839" t="s">
        <v>1081</v>
      </c>
      <c r="Y66" s="839" t="s">
        <v>1082</v>
      </c>
      <c r="Z66" s="840"/>
      <c r="AA66" s="841"/>
      <c r="AB66" s="841"/>
      <c r="AC66" s="842"/>
      <c r="AD66" s="842"/>
      <c r="AE66" s="843"/>
      <c r="AF66" s="835"/>
      <c r="AG66" s="836"/>
      <c r="AH66" s="836"/>
      <c r="AI66" s="835"/>
      <c r="AJ66" s="836"/>
      <c r="AK66" s="836"/>
      <c r="AL66" s="809"/>
      <c r="AM66" s="132"/>
      <c r="AN66" s="132"/>
      <c r="AO66" s="132"/>
      <c r="AP66" s="132"/>
      <c r="AQ66" s="132"/>
      <c r="AR66" s="132"/>
      <c r="AS66" s="132"/>
      <c r="AT66" s="132"/>
      <c r="AU66" s="132"/>
      <c r="AV66" s="132"/>
      <c r="AW66" s="132"/>
      <c r="AX66" s="132"/>
      <c r="AY66" s="132"/>
      <c r="AZ66" s="132"/>
      <c r="BA66" s="132"/>
      <c r="BB66" s="132"/>
      <c r="BC66" s="132"/>
      <c r="BD66" s="132"/>
      <c r="BE66" s="132"/>
      <c r="BF66" s="132"/>
    </row>
    <row r="67" customFormat="false" ht="11.25" hidden="false" customHeight="true" outlineLevel="0" collapsed="false">
      <c r="A67" s="113" t="s">
        <v>1026</v>
      </c>
      <c r="E67" s="80"/>
      <c r="F67" s="810"/>
      <c r="G67" s="138"/>
      <c r="H67" s="811" t="s">
        <v>163</v>
      </c>
      <c r="I67" s="831"/>
      <c r="J67" s="335"/>
      <c r="K67" s="333"/>
      <c r="L67" s="204"/>
      <c r="M67" s="198"/>
      <c r="N67" s="837"/>
      <c r="O67" s="838"/>
      <c r="P67" s="76"/>
      <c r="Q67" s="335"/>
      <c r="R67" s="839"/>
      <c r="S67" s="839"/>
      <c r="T67" s="839"/>
      <c r="U67" s="839"/>
      <c r="V67" s="839"/>
      <c r="W67" s="839"/>
      <c r="X67" s="839"/>
      <c r="Y67" s="839"/>
      <c r="Z67" s="844"/>
      <c r="AA67" s="845" t="n">
        <v>1</v>
      </c>
      <c r="AB67" s="846" t="s">
        <v>1069</v>
      </c>
      <c r="AC67" s="756" t="n">
        <v>188.57</v>
      </c>
      <c r="AD67" s="846" t="str">
        <f aca="false">AB67</f>
        <v>Прочие амортизационные отчисления</v>
      </c>
      <c r="AE67" s="756" t="n">
        <v>873.34</v>
      </c>
      <c r="AF67" s="835"/>
      <c r="AG67" s="836"/>
      <c r="AH67" s="836"/>
      <c r="AI67" s="835"/>
      <c r="AJ67" s="836"/>
      <c r="AK67" s="836"/>
      <c r="AL67" s="809"/>
      <c r="AM67" s="132"/>
      <c r="AN67" s="132"/>
      <c r="AO67" s="132"/>
      <c r="AP67" s="132"/>
      <c r="AQ67" s="132"/>
      <c r="AR67" s="132"/>
      <c r="AS67" s="132"/>
      <c r="AT67" s="132"/>
      <c r="AU67" s="132"/>
      <c r="AV67" s="132"/>
      <c r="AW67" s="132"/>
      <c r="AX67" s="132"/>
      <c r="AY67" s="132"/>
      <c r="AZ67" s="132"/>
      <c r="BA67" s="132"/>
      <c r="BB67" s="132"/>
      <c r="BC67" s="132"/>
      <c r="BD67" s="132"/>
      <c r="BE67" s="132"/>
      <c r="BF67" s="132"/>
    </row>
    <row r="68" customFormat="false" ht="11.25" hidden="false" customHeight="true" outlineLevel="0" collapsed="false">
      <c r="A68" s="113" t="s">
        <v>1026</v>
      </c>
      <c r="E68" s="80"/>
      <c r="F68" s="810"/>
      <c r="G68" s="138"/>
      <c r="H68" s="811" t="s">
        <v>163</v>
      </c>
      <c r="I68" s="831"/>
      <c r="J68" s="335"/>
      <c r="K68" s="333"/>
      <c r="L68" s="204"/>
      <c r="M68" s="198"/>
      <c r="N68" s="837"/>
      <c r="O68" s="838"/>
      <c r="P68" s="76"/>
      <c r="Q68" s="335"/>
      <c r="R68" s="839"/>
      <c r="S68" s="839"/>
      <c r="T68" s="839"/>
      <c r="U68" s="839"/>
      <c r="V68" s="839"/>
      <c r="W68" s="839"/>
      <c r="X68" s="839"/>
      <c r="Y68" s="839"/>
      <c r="Z68" s="840"/>
      <c r="AA68" s="841"/>
      <c r="AB68" s="161" t="s">
        <v>1071</v>
      </c>
      <c r="AC68" s="842"/>
      <c r="AD68" s="842"/>
      <c r="AE68" s="847"/>
      <c r="AF68" s="835"/>
      <c r="AG68" s="836"/>
      <c r="AH68" s="836"/>
      <c r="AI68" s="835"/>
      <c r="AJ68" s="836"/>
      <c r="AK68" s="836"/>
      <c r="AL68" s="809"/>
      <c r="AM68" s="132"/>
      <c r="AN68" s="132"/>
      <c r="AO68" s="132"/>
      <c r="AP68" s="132"/>
      <c r="AQ68" s="132"/>
      <c r="AR68" s="132"/>
      <c r="AS68" s="132"/>
      <c r="AT68" s="132"/>
      <c r="AU68" s="132"/>
      <c r="AV68" s="132"/>
      <c r="AW68" s="132"/>
      <c r="AX68" s="132"/>
      <c r="AY68" s="132"/>
      <c r="AZ68" s="132"/>
      <c r="BA68" s="132"/>
      <c r="BB68" s="132"/>
      <c r="BC68" s="132"/>
      <c r="BD68" s="132"/>
      <c r="BE68" s="132"/>
      <c r="BF68" s="132"/>
    </row>
    <row r="69" customFormat="false" ht="11.25" hidden="false" customHeight="true" outlineLevel="0" collapsed="false">
      <c r="A69" s="113" t="s">
        <v>1026</v>
      </c>
      <c r="E69" s="80"/>
      <c r="F69" s="810"/>
      <c r="G69" s="138"/>
      <c r="H69" s="811" t="s">
        <v>163</v>
      </c>
      <c r="I69" s="831"/>
      <c r="J69" s="335"/>
      <c r="K69" s="333"/>
      <c r="L69" s="204"/>
      <c r="M69" s="198"/>
      <c r="N69" s="840"/>
      <c r="O69" s="841"/>
      <c r="P69" s="161" t="s">
        <v>1072</v>
      </c>
      <c r="Q69" s="841"/>
      <c r="R69" s="841"/>
      <c r="S69" s="841"/>
      <c r="T69" s="841"/>
      <c r="U69" s="841"/>
      <c r="V69" s="841"/>
      <c r="W69" s="841"/>
      <c r="X69" s="841"/>
      <c r="Y69" s="841"/>
      <c r="Z69" s="841"/>
      <c r="AA69" s="841"/>
      <c r="AB69" s="841"/>
      <c r="AC69" s="841"/>
      <c r="AD69" s="841"/>
      <c r="AE69" s="848"/>
      <c r="AF69" s="835"/>
      <c r="AG69" s="836"/>
      <c r="AH69" s="836"/>
      <c r="AI69" s="835"/>
      <c r="AJ69" s="836"/>
      <c r="AK69" s="836"/>
      <c r="AL69" s="809"/>
      <c r="AM69" s="132"/>
      <c r="AN69" s="132"/>
      <c r="AO69" s="132"/>
      <c r="AP69" s="132"/>
      <c r="AQ69" s="132"/>
      <c r="AR69" s="132"/>
      <c r="AS69" s="132"/>
      <c r="AT69" s="132"/>
      <c r="AU69" s="132"/>
      <c r="AV69" s="132"/>
      <c r="AW69" s="132"/>
      <c r="AX69" s="132"/>
      <c r="AY69" s="132"/>
      <c r="AZ69" s="132"/>
      <c r="BA69" s="132"/>
      <c r="BB69" s="132"/>
      <c r="BC69" s="132"/>
      <c r="BD69" s="132"/>
      <c r="BE69" s="132"/>
      <c r="BF69" s="132"/>
    </row>
    <row r="70" customFormat="false" ht="11.25" hidden="false" customHeight="true" outlineLevel="0" collapsed="false">
      <c r="A70" s="113" t="s">
        <v>1026</v>
      </c>
      <c r="E70" s="80"/>
      <c r="F70" s="810"/>
      <c r="G70" s="138" t="s">
        <v>103</v>
      </c>
      <c r="H70" s="811" t="s">
        <v>165</v>
      </c>
      <c r="I70" s="831"/>
      <c r="J70" s="335"/>
      <c r="K70" s="333" t="s">
        <v>1089</v>
      </c>
      <c r="L70" s="204" t="s">
        <v>19</v>
      </c>
      <c r="M70" s="198"/>
      <c r="N70" s="832"/>
      <c r="O70" s="833" t="s">
        <v>389</v>
      </c>
      <c r="P70" s="834"/>
      <c r="Q70" s="834"/>
      <c r="R70" s="834"/>
      <c r="S70" s="834"/>
      <c r="T70" s="834"/>
      <c r="U70" s="834"/>
      <c r="V70" s="834"/>
      <c r="W70" s="834"/>
      <c r="X70" s="834"/>
      <c r="Y70" s="834"/>
      <c r="Z70" s="834"/>
      <c r="AA70" s="834"/>
      <c r="AB70" s="834"/>
      <c r="AC70" s="834"/>
      <c r="AD70" s="834"/>
      <c r="AE70" s="834"/>
      <c r="AF70" s="835" t="n">
        <v>2019</v>
      </c>
      <c r="AG70" s="836" t="s">
        <v>1059</v>
      </c>
      <c r="AH70" s="836" t="s">
        <v>1060</v>
      </c>
      <c r="AI70" s="835" t="n">
        <v>2019</v>
      </c>
      <c r="AJ70" s="836" t="s">
        <v>1079</v>
      </c>
      <c r="AK70" s="836" t="s">
        <v>1062</v>
      </c>
      <c r="AL70" s="809"/>
      <c r="AM70" s="132"/>
      <c r="AN70" s="132"/>
      <c r="AO70" s="132"/>
      <c r="AP70" s="132"/>
      <c r="AQ70" s="132"/>
      <c r="AR70" s="132"/>
      <c r="AS70" s="132"/>
      <c r="AT70" s="132"/>
      <c r="AU70" s="132"/>
      <c r="AV70" s="132"/>
      <c r="AW70" s="132"/>
      <c r="AX70" s="132"/>
      <c r="AY70" s="132"/>
      <c r="AZ70" s="132"/>
      <c r="BA70" s="132"/>
      <c r="BB70" s="132"/>
      <c r="BC70" s="132"/>
      <c r="BD70" s="132"/>
      <c r="BE70" s="132"/>
      <c r="BF70" s="132"/>
    </row>
    <row r="71" customFormat="false" ht="11.25" hidden="false" customHeight="true" outlineLevel="0" collapsed="false">
      <c r="A71" s="113" t="s">
        <v>1026</v>
      </c>
      <c r="E71" s="80"/>
      <c r="F71" s="810"/>
      <c r="G71" s="138"/>
      <c r="H71" s="811" t="s">
        <v>164</v>
      </c>
      <c r="I71" s="831"/>
      <c r="J71" s="335"/>
      <c r="K71" s="333"/>
      <c r="L71" s="204"/>
      <c r="M71" s="198"/>
      <c r="N71" s="837"/>
      <c r="O71" s="838" t="n">
        <v>1</v>
      </c>
      <c r="P71" s="76" t="s">
        <v>61</v>
      </c>
      <c r="Q71" s="335" t="s">
        <v>1080</v>
      </c>
      <c r="R71" s="839" t="s">
        <v>1064</v>
      </c>
      <c r="S71" s="839" t="s">
        <v>99</v>
      </c>
      <c r="T71" s="839" t="s">
        <v>99</v>
      </c>
      <c r="U71" s="839" t="s">
        <v>100</v>
      </c>
      <c r="V71" s="839" t="s">
        <v>1065</v>
      </c>
      <c r="W71" s="839" t="s">
        <v>1066</v>
      </c>
      <c r="X71" s="839" t="s">
        <v>1081</v>
      </c>
      <c r="Y71" s="839" t="s">
        <v>1082</v>
      </c>
      <c r="Z71" s="840"/>
      <c r="AA71" s="841"/>
      <c r="AB71" s="841"/>
      <c r="AC71" s="842"/>
      <c r="AD71" s="842"/>
      <c r="AE71" s="843"/>
      <c r="AF71" s="835"/>
      <c r="AG71" s="836"/>
      <c r="AH71" s="836"/>
      <c r="AI71" s="835"/>
      <c r="AJ71" s="836"/>
      <c r="AK71" s="836"/>
      <c r="AL71" s="809"/>
      <c r="AM71" s="132"/>
      <c r="AN71" s="132"/>
      <c r="AO71" s="132"/>
      <c r="AP71" s="132"/>
      <c r="AQ71" s="132"/>
      <c r="AR71" s="132"/>
      <c r="AS71" s="132"/>
      <c r="AT71" s="132"/>
      <c r="AU71" s="132"/>
      <c r="AV71" s="132"/>
      <c r="AW71" s="132"/>
      <c r="AX71" s="132"/>
      <c r="AY71" s="132"/>
      <c r="AZ71" s="132"/>
      <c r="BA71" s="132"/>
      <c r="BB71" s="132"/>
      <c r="BC71" s="132"/>
      <c r="BD71" s="132"/>
      <c r="BE71" s="132"/>
      <c r="BF71" s="132"/>
    </row>
    <row r="72" customFormat="false" ht="11.25" hidden="false" customHeight="true" outlineLevel="0" collapsed="false">
      <c r="A72" s="113" t="s">
        <v>1026</v>
      </c>
      <c r="E72" s="80"/>
      <c r="F72" s="810"/>
      <c r="G72" s="138"/>
      <c r="H72" s="811" t="s">
        <v>164</v>
      </c>
      <c r="I72" s="831"/>
      <c r="J72" s="335"/>
      <c r="K72" s="333"/>
      <c r="L72" s="204"/>
      <c r="M72" s="198"/>
      <c r="N72" s="837"/>
      <c r="O72" s="838"/>
      <c r="P72" s="76"/>
      <c r="Q72" s="335"/>
      <c r="R72" s="839"/>
      <c r="S72" s="839"/>
      <c r="T72" s="839"/>
      <c r="U72" s="839"/>
      <c r="V72" s="839"/>
      <c r="W72" s="839"/>
      <c r="X72" s="839"/>
      <c r="Y72" s="839"/>
      <c r="Z72" s="844"/>
      <c r="AA72" s="845" t="n">
        <v>1</v>
      </c>
      <c r="AB72" s="846" t="s">
        <v>1069</v>
      </c>
      <c r="AC72" s="756" t="n">
        <v>53.04</v>
      </c>
      <c r="AD72" s="846" t="str">
        <f aca="false">AB72</f>
        <v>Прочие амортизационные отчисления</v>
      </c>
      <c r="AE72" s="756" t="n">
        <v>71.1</v>
      </c>
      <c r="AF72" s="835"/>
      <c r="AG72" s="836"/>
      <c r="AH72" s="836"/>
      <c r="AI72" s="835"/>
      <c r="AJ72" s="836"/>
      <c r="AK72" s="836"/>
      <c r="AL72" s="809"/>
      <c r="AM72" s="132"/>
      <c r="AN72" s="132"/>
      <c r="AO72" s="132"/>
      <c r="AP72" s="132"/>
      <c r="AQ72" s="132"/>
      <c r="AR72" s="132"/>
      <c r="AS72" s="132"/>
      <c r="AT72" s="132"/>
      <c r="AU72" s="132"/>
      <c r="AV72" s="132"/>
      <c r="AW72" s="132"/>
      <c r="AX72" s="132"/>
      <c r="AY72" s="132"/>
      <c r="AZ72" s="132"/>
      <c r="BA72" s="132"/>
      <c r="BB72" s="132"/>
      <c r="BC72" s="132"/>
      <c r="BD72" s="132"/>
      <c r="BE72" s="132"/>
      <c r="BF72" s="132"/>
    </row>
    <row r="73" customFormat="false" ht="11.25" hidden="false" customHeight="true" outlineLevel="0" collapsed="false">
      <c r="A73" s="113" t="s">
        <v>1026</v>
      </c>
      <c r="E73" s="80"/>
      <c r="F73" s="810"/>
      <c r="G73" s="138"/>
      <c r="H73" s="811" t="s">
        <v>164</v>
      </c>
      <c r="I73" s="831"/>
      <c r="J73" s="335"/>
      <c r="K73" s="333"/>
      <c r="L73" s="204"/>
      <c r="M73" s="198"/>
      <c r="N73" s="837"/>
      <c r="O73" s="838"/>
      <c r="P73" s="76"/>
      <c r="Q73" s="335"/>
      <c r="R73" s="839"/>
      <c r="S73" s="839"/>
      <c r="T73" s="839"/>
      <c r="U73" s="839"/>
      <c r="V73" s="839"/>
      <c r="W73" s="839"/>
      <c r="X73" s="839"/>
      <c r="Y73" s="839"/>
      <c r="Z73" s="840"/>
      <c r="AA73" s="841"/>
      <c r="AB73" s="161" t="s">
        <v>1071</v>
      </c>
      <c r="AC73" s="842"/>
      <c r="AD73" s="842"/>
      <c r="AE73" s="847"/>
      <c r="AF73" s="835"/>
      <c r="AG73" s="836"/>
      <c r="AH73" s="836"/>
      <c r="AI73" s="835"/>
      <c r="AJ73" s="836"/>
      <c r="AK73" s="836"/>
      <c r="AL73" s="809"/>
      <c r="AM73" s="132"/>
      <c r="AN73" s="132"/>
      <c r="AO73" s="132"/>
      <c r="AP73" s="132"/>
      <c r="AQ73" s="132"/>
      <c r="AR73" s="132"/>
      <c r="AS73" s="132"/>
      <c r="AT73" s="132"/>
      <c r="AU73" s="132"/>
      <c r="AV73" s="132"/>
      <c r="AW73" s="132"/>
      <c r="AX73" s="132"/>
      <c r="AY73" s="132"/>
      <c r="AZ73" s="132"/>
      <c r="BA73" s="132"/>
      <c r="BB73" s="132"/>
      <c r="BC73" s="132"/>
      <c r="BD73" s="132"/>
      <c r="BE73" s="132"/>
      <c r="BF73" s="132"/>
    </row>
    <row r="74" customFormat="false" ht="11.25" hidden="false" customHeight="true" outlineLevel="0" collapsed="false">
      <c r="A74" s="113" t="s">
        <v>1026</v>
      </c>
      <c r="E74" s="80"/>
      <c r="F74" s="810"/>
      <c r="G74" s="138"/>
      <c r="H74" s="811" t="s">
        <v>164</v>
      </c>
      <c r="I74" s="831"/>
      <c r="J74" s="335"/>
      <c r="K74" s="333"/>
      <c r="L74" s="204"/>
      <c r="M74" s="198"/>
      <c r="N74" s="840"/>
      <c r="O74" s="841"/>
      <c r="P74" s="161" t="s">
        <v>1072</v>
      </c>
      <c r="Q74" s="841"/>
      <c r="R74" s="841"/>
      <c r="S74" s="841"/>
      <c r="T74" s="841"/>
      <c r="U74" s="841"/>
      <c r="V74" s="841"/>
      <c r="W74" s="841"/>
      <c r="X74" s="841"/>
      <c r="Y74" s="841"/>
      <c r="Z74" s="841"/>
      <c r="AA74" s="841"/>
      <c r="AB74" s="841"/>
      <c r="AC74" s="841"/>
      <c r="AD74" s="841"/>
      <c r="AE74" s="848"/>
      <c r="AF74" s="835"/>
      <c r="AG74" s="836"/>
      <c r="AH74" s="836"/>
      <c r="AI74" s="835"/>
      <c r="AJ74" s="836"/>
      <c r="AK74" s="836"/>
      <c r="AL74" s="809"/>
      <c r="AM74" s="132"/>
      <c r="AN74" s="132"/>
      <c r="AO74" s="132"/>
      <c r="AP74" s="132"/>
      <c r="AQ74" s="132"/>
      <c r="AR74" s="132"/>
      <c r="AS74" s="132"/>
      <c r="AT74" s="132"/>
      <c r="AU74" s="132"/>
      <c r="AV74" s="132"/>
      <c r="AW74" s="132"/>
      <c r="AX74" s="132"/>
      <c r="AY74" s="132"/>
      <c r="AZ74" s="132"/>
      <c r="BA74" s="132"/>
      <c r="BB74" s="132"/>
      <c r="BC74" s="132"/>
      <c r="BD74" s="132"/>
      <c r="BE74" s="132"/>
      <c r="BF74" s="132"/>
    </row>
    <row r="75" customFormat="false" ht="11.25" hidden="false" customHeight="true" outlineLevel="0" collapsed="false">
      <c r="A75" s="113" t="s">
        <v>1026</v>
      </c>
      <c r="E75" s="80"/>
      <c r="F75" s="810"/>
      <c r="G75" s="138" t="s">
        <v>103</v>
      </c>
      <c r="H75" s="811" t="s">
        <v>166</v>
      </c>
      <c r="I75" s="831"/>
      <c r="J75" s="335"/>
      <c r="K75" s="333" t="s">
        <v>1090</v>
      </c>
      <c r="L75" s="204" t="s">
        <v>19</v>
      </c>
      <c r="M75" s="198"/>
      <c r="N75" s="832"/>
      <c r="O75" s="833" t="s">
        <v>389</v>
      </c>
      <c r="P75" s="834"/>
      <c r="Q75" s="834"/>
      <c r="R75" s="834"/>
      <c r="S75" s="834"/>
      <c r="T75" s="834"/>
      <c r="U75" s="834"/>
      <c r="V75" s="834"/>
      <c r="W75" s="834"/>
      <c r="X75" s="834"/>
      <c r="Y75" s="834"/>
      <c r="Z75" s="834"/>
      <c r="AA75" s="834"/>
      <c r="AB75" s="834"/>
      <c r="AC75" s="834"/>
      <c r="AD75" s="834"/>
      <c r="AE75" s="834"/>
      <c r="AF75" s="835" t="n">
        <v>2019</v>
      </c>
      <c r="AG75" s="836" t="s">
        <v>1059</v>
      </c>
      <c r="AH75" s="836" t="s">
        <v>1060</v>
      </c>
      <c r="AI75" s="835" t="n">
        <v>2019</v>
      </c>
      <c r="AJ75" s="836" t="s">
        <v>1079</v>
      </c>
      <c r="AK75" s="836" t="s">
        <v>1062</v>
      </c>
      <c r="AL75" s="809"/>
      <c r="AM75" s="132"/>
      <c r="AN75" s="132"/>
      <c r="AO75" s="132"/>
      <c r="AP75" s="132"/>
      <c r="AQ75" s="132"/>
      <c r="AR75" s="132"/>
      <c r="AS75" s="132"/>
      <c r="AT75" s="132"/>
      <c r="AU75" s="132"/>
      <c r="AV75" s="132"/>
      <c r="AW75" s="132"/>
      <c r="AX75" s="132"/>
      <c r="AY75" s="132"/>
      <c r="AZ75" s="132"/>
      <c r="BA75" s="132"/>
      <c r="BB75" s="132"/>
      <c r="BC75" s="132"/>
      <c r="BD75" s="132"/>
      <c r="BE75" s="132"/>
      <c r="BF75" s="132"/>
    </row>
    <row r="76" customFormat="false" ht="11.25" hidden="false" customHeight="true" outlineLevel="0" collapsed="false">
      <c r="A76" s="113" t="s">
        <v>1026</v>
      </c>
      <c r="E76" s="80"/>
      <c r="F76" s="810"/>
      <c r="G76" s="138"/>
      <c r="H76" s="811" t="s">
        <v>165</v>
      </c>
      <c r="I76" s="831"/>
      <c r="J76" s="335"/>
      <c r="K76" s="333"/>
      <c r="L76" s="204"/>
      <c r="M76" s="198"/>
      <c r="N76" s="837"/>
      <c r="O76" s="838" t="n">
        <v>1</v>
      </c>
      <c r="P76" s="76" t="s">
        <v>61</v>
      </c>
      <c r="Q76" s="335" t="s">
        <v>1080</v>
      </c>
      <c r="R76" s="839" t="s">
        <v>1064</v>
      </c>
      <c r="S76" s="839" t="s">
        <v>99</v>
      </c>
      <c r="T76" s="839" t="s">
        <v>99</v>
      </c>
      <c r="U76" s="839" t="s">
        <v>100</v>
      </c>
      <c r="V76" s="839" t="s">
        <v>1065</v>
      </c>
      <c r="W76" s="839" t="s">
        <v>1066</v>
      </c>
      <c r="X76" s="839" t="s">
        <v>1081</v>
      </c>
      <c r="Y76" s="839" t="s">
        <v>1082</v>
      </c>
      <c r="Z76" s="840"/>
      <c r="AA76" s="841"/>
      <c r="AB76" s="841"/>
      <c r="AC76" s="842"/>
      <c r="AD76" s="842"/>
      <c r="AE76" s="843"/>
      <c r="AF76" s="835"/>
      <c r="AG76" s="836"/>
      <c r="AH76" s="836"/>
      <c r="AI76" s="835"/>
      <c r="AJ76" s="836"/>
      <c r="AK76" s="836"/>
      <c r="AL76" s="809"/>
      <c r="AM76" s="132"/>
      <c r="AN76" s="132"/>
      <c r="AO76" s="132"/>
      <c r="AP76" s="132"/>
      <c r="AQ76" s="132"/>
      <c r="AR76" s="132"/>
      <c r="AS76" s="132"/>
      <c r="AT76" s="132"/>
      <c r="AU76" s="132"/>
      <c r="AV76" s="132"/>
      <c r="AW76" s="132"/>
      <c r="AX76" s="132"/>
      <c r="AY76" s="132"/>
      <c r="AZ76" s="132"/>
      <c r="BA76" s="132"/>
      <c r="BB76" s="132"/>
      <c r="BC76" s="132"/>
      <c r="BD76" s="132"/>
      <c r="BE76" s="132"/>
      <c r="BF76" s="132"/>
    </row>
    <row r="77" customFormat="false" ht="11.25" hidden="false" customHeight="true" outlineLevel="0" collapsed="false">
      <c r="A77" s="113" t="s">
        <v>1026</v>
      </c>
      <c r="E77" s="80"/>
      <c r="F77" s="810"/>
      <c r="G77" s="138"/>
      <c r="H77" s="811" t="s">
        <v>165</v>
      </c>
      <c r="I77" s="831"/>
      <c r="J77" s="335"/>
      <c r="K77" s="333"/>
      <c r="L77" s="204"/>
      <c r="M77" s="198"/>
      <c r="N77" s="837"/>
      <c r="O77" s="838"/>
      <c r="P77" s="76"/>
      <c r="Q77" s="335"/>
      <c r="R77" s="839"/>
      <c r="S77" s="839"/>
      <c r="T77" s="839"/>
      <c r="U77" s="839"/>
      <c r="V77" s="839"/>
      <c r="W77" s="839"/>
      <c r="X77" s="839"/>
      <c r="Y77" s="839"/>
      <c r="Z77" s="844"/>
      <c r="AA77" s="845" t="n">
        <v>1</v>
      </c>
      <c r="AB77" s="846" t="s">
        <v>1069</v>
      </c>
      <c r="AC77" s="756" t="n">
        <v>66.64</v>
      </c>
      <c r="AD77" s="846" t="str">
        <f aca="false">AB77</f>
        <v>Прочие амортизационные отчисления</v>
      </c>
      <c r="AE77" s="756" t="n">
        <v>204.61</v>
      </c>
      <c r="AF77" s="835"/>
      <c r="AG77" s="836"/>
      <c r="AH77" s="836"/>
      <c r="AI77" s="835"/>
      <c r="AJ77" s="836"/>
      <c r="AK77" s="836"/>
      <c r="AL77" s="809"/>
      <c r="AM77" s="132"/>
      <c r="AN77" s="132"/>
      <c r="AO77" s="132"/>
      <c r="AP77" s="132"/>
      <c r="AQ77" s="132"/>
      <c r="AR77" s="132"/>
      <c r="AS77" s="132"/>
      <c r="AT77" s="132"/>
      <c r="AU77" s="132"/>
      <c r="AV77" s="132"/>
      <c r="AW77" s="132"/>
      <c r="AX77" s="132"/>
      <c r="AY77" s="132"/>
      <c r="AZ77" s="132"/>
      <c r="BA77" s="132"/>
      <c r="BB77" s="132"/>
      <c r="BC77" s="132"/>
      <c r="BD77" s="132"/>
      <c r="BE77" s="132"/>
      <c r="BF77" s="132"/>
    </row>
    <row r="78" customFormat="false" ht="11.25" hidden="false" customHeight="true" outlineLevel="0" collapsed="false">
      <c r="A78" s="113" t="s">
        <v>1026</v>
      </c>
      <c r="E78" s="80"/>
      <c r="F78" s="810"/>
      <c r="G78" s="138"/>
      <c r="H78" s="811" t="s">
        <v>165</v>
      </c>
      <c r="I78" s="831"/>
      <c r="J78" s="335"/>
      <c r="K78" s="333"/>
      <c r="L78" s="204"/>
      <c r="M78" s="198"/>
      <c r="N78" s="837"/>
      <c r="O78" s="838"/>
      <c r="P78" s="76"/>
      <c r="Q78" s="335"/>
      <c r="R78" s="839"/>
      <c r="S78" s="839"/>
      <c r="T78" s="839"/>
      <c r="U78" s="839"/>
      <c r="V78" s="839"/>
      <c r="W78" s="839"/>
      <c r="X78" s="839"/>
      <c r="Y78" s="839"/>
      <c r="Z78" s="840"/>
      <c r="AA78" s="841"/>
      <c r="AB78" s="161" t="s">
        <v>1071</v>
      </c>
      <c r="AC78" s="842"/>
      <c r="AD78" s="842"/>
      <c r="AE78" s="847"/>
      <c r="AF78" s="835"/>
      <c r="AG78" s="836"/>
      <c r="AH78" s="836"/>
      <c r="AI78" s="835"/>
      <c r="AJ78" s="836"/>
      <c r="AK78" s="836"/>
      <c r="AL78" s="809"/>
      <c r="AM78" s="132"/>
      <c r="AN78" s="132"/>
      <c r="AO78" s="132"/>
      <c r="AP78" s="132"/>
      <c r="AQ78" s="132"/>
      <c r="AR78" s="132"/>
      <c r="AS78" s="132"/>
      <c r="AT78" s="132"/>
      <c r="AU78" s="132"/>
      <c r="AV78" s="132"/>
      <c r="AW78" s="132"/>
      <c r="AX78" s="132"/>
      <c r="AY78" s="132"/>
      <c r="AZ78" s="132"/>
      <c r="BA78" s="132"/>
      <c r="BB78" s="132"/>
      <c r="BC78" s="132"/>
      <c r="BD78" s="132"/>
      <c r="BE78" s="132"/>
      <c r="BF78" s="132"/>
    </row>
    <row r="79" customFormat="false" ht="11.25" hidden="false" customHeight="true" outlineLevel="0" collapsed="false">
      <c r="A79" s="113" t="s">
        <v>1026</v>
      </c>
      <c r="E79" s="80"/>
      <c r="F79" s="810"/>
      <c r="G79" s="138"/>
      <c r="H79" s="811" t="s">
        <v>165</v>
      </c>
      <c r="I79" s="831"/>
      <c r="J79" s="335"/>
      <c r="K79" s="333"/>
      <c r="L79" s="204"/>
      <c r="M79" s="198"/>
      <c r="N79" s="840"/>
      <c r="O79" s="841"/>
      <c r="P79" s="161" t="s">
        <v>1072</v>
      </c>
      <c r="Q79" s="841"/>
      <c r="R79" s="841"/>
      <c r="S79" s="841"/>
      <c r="T79" s="841"/>
      <c r="U79" s="841"/>
      <c r="V79" s="841"/>
      <c r="W79" s="841"/>
      <c r="X79" s="841"/>
      <c r="Y79" s="841"/>
      <c r="Z79" s="841"/>
      <c r="AA79" s="841"/>
      <c r="AB79" s="841"/>
      <c r="AC79" s="841"/>
      <c r="AD79" s="841"/>
      <c r="AE79" s="848"/>
      <c r="AF79" s="835"/>
      <c r="AG79" s="836"/>
      <c r="AH79" s="836"/>
      <c r="AI79" s="835"/>
      <c r="AJ79" s="836"/>
      <c r="AK79" s="836"/>
      <c r="AL79" s="809"/>
      <c r="AM79" s="132"/>
      <c r="AN79" s="132"/>
      <c r="AO79" s="132"/>
      <c r="AP79" s="132"/>
      <c r="AQ79" s="132"/>
      <c r="AR79" s="132"/>
      <c r="AS79" s="132"/>
      <c r="AT79" s="132"/>
      <c r="AU79" s="132"/>
      <c r="AV79" s="132"/>
      <c r="AW79" s="132"/>
      <c r="AX79" s="132"/>
      <c r="AY79" s="132"/>
      <c r="AZ79" s="132"/>
      <c r="BA79" s="132"/>
      <c r="BB79" s="132"/>
      <c r="BC79" s="132"/>
      <c r="BD79" s="132"/>
      <c r="BE79" s="132"/>
      <c r="BF79" s="132"/>
    </row>
    <row r="80" customFormat="false" ht="11.25" hidden="false" customHeight="true" outlineLevel="0" collapsed="false">
      <c r="A80" s="113" t="s">
        <v>1026</v>
      </c>
      <c r="E80" s="80"/>
      <c r="F80" s="810"/>
      <c r="G80" s="138" t="s">
        <v>103</v>
      </c>
      <c r="H80" s="811" t="s">
        <v>167</v>
      </c>
      <c r="I80" s="831"/>
      <c r="J80" s="335"/>
      <c r="K80" s="333" t="s">
        <v>1091</v>
      </c>
      <c r="L80" s="204" t="s">
        <v>19</v>
      </c>
      <c r="M80" s="198"/>
      <c r="N80" s="832"/>
      <c r="O80" s="833" t="s">
        <v>389</v>
      </c>
      <c r="P80" s="834"/>
      <c r="Q80" s="834"/>
      <c r="R80" s="834"/>
      <c r="S80" s="834"/>
      <c r="T80" s="834"/>
      <c r="U80" s="834"/>
      <c r="V80" s="834"/>
      <c r="W80" s="834"/>
      <c r="X80" s="834"/>
      <c r="Y80" s="834"/>
      <c r="Z80" s="834"/>
      <c r="AA80" s="834"/>
      <c r="AB80" s="834"/>
      <c r="AC80" s="834"/>
      <c r="AD80" s="834"/>
      <c r="AE80" s="834"/>
      <c r="AF80" s="835" t="n">
        <v>2019</v>
      </c>
      <c r="AG80" s="836" t="s">
        <v>1059</v>
      </c>
      <c r="AH80" s="836" t="s">
        <v>1060</v>
      </c>
      <c r="AI80" s="835" t="n">
        <v>2019</v>
      </c>
      <c r="AJ80" s="836" t="s">
        <v>1061</v>
      </c>
      <c r="AK80" s="836" t="s">
        <v>1062</v>
      </c>
      <c r="AL80" s="809"/>
      <c r="AM80" s="132"/>
      <c r="AN80" s="132"/>
      <c r="AO80" s="132"/>
      <c r="AP80" s="132"/>
      <c r="AQ80" s="132"/>
      <c r="AR80" s="132"/>
      <c r="AS80" s="132"/>
      <c r="AT80" s="132"/>
      <c r="AU80" s="132"/>
      <c r="AV80" s="132"/>
      <c r="AW80" s="132"/>
      <c r="AX80" s="132"/>
      <c r="AY80" s="132"/>
      <c r="AZ80" s="132"/>
      <c r="BA80" s="132"/>
      <c r="BB80" s="132"/>
      <c r="BC80" s="132"/>
      <c r="BD80" s="132"/>
      <c r="BE80" s="132"/>
      <c r="BF80" s="132"/>
    </row>
    <row r="81" customFormat="false" ht="11.25" hidden="false" customHeight="true" outlineLevel="0" collapsed="false">
      <c r="A81" s="113" t="s">
        <v>1026</v>
      </c>
      <c r="E81" s="80"/>
      <c r="F81" s="810"/>
      <c r="G81" s="138"/>
      <c r="H81" s="811" t="s">
        <v>166</v>
      </c>
      <c r="I81" s="831"/>
      <c r="J81" s="335"/>
      <c r="K81" s="333"/>
      <c r="L81" s="204"/>
      <c r="M81" s="198"/>
      <c r="N81" s="837"/>
      <c r="O81" s="838" t="n">
        <v>1</v>
      </c>
      <c r="P81" s="76" t="s">
        <v>61</v>
      </c>
      <c r="Q81" s="335" t="s">
        <v>1080</v>
      </c>
      <c r="R81" s="839" t="s">
        <v>1064</v>
      </c>
      <c r="S81" s="839" t="s">
        <v>99</v>
      </c>
      <c r="T81" s="839" t="s">
        <v>99</v>
      </c>
      <c r="U81" s="839" t="s">
        <v>100</v>
      </c>
      <c r="V81" s="839" t="s">
        <v>1065</v>
      </c>
      <c r="W81" s="839" t="s">
        <v>1066</v>
      </c>
      <c r="X81" s="839" t="s">
        <v>1081</v>
      </c>
      <c r="Y81" s="839" t="s">
        <v>1082</v>
      </c>
      <c r="Z81" s="840"/>
      <c r="AA81" s="841"/>
      <c r="AB81" s="841"/>
      <c r="AC81" s="842"/>
      <c r="AD81" s="842"/>
      <c r="AE81" s="843"/>
      <c r="AF81" s="835"/>
      <c r="AG81" s="836"/>
      <c r="AH81" s="836"/>
      <c r="AI81" s="835"/>
      <c r="AJ81" s="836"/>
      <c r="AK81" s="836"/>
      <c r="AL81" s="809"/>
      <c r="AM81" s="132"/>
      <c r="AN81" s="132"/>
      <c r="AO81" s="132"/>
      <c r="AP81" s="132"/>
      <c r="AQ81" s="132"/>
      <c r="AR81" s="132"/>
      <c r="AS81" s="132"/>
      <c r="AT81" s="132"/>
      <c r="AU81" s="132"/>
      <c r="AV81" s="132"/>
      <c r="AW81" s="132"/>
      <c r="AX81" s="132"/>
      <c r="AY81" s="132"/>
      <c r="AZ81" s="132"/>
      <c r="BA81" s="132"/>
      <c r="BB81" s="132"/>
      <c r="BC81" s="132"/>
      <c r="BD81" s="132"/>
      <c r="BE81" s="132"/>
      <c r="BF81" s="132"/>
    </row>
    <row r="82" customFormat="false" ht="11.25" hidden="false" customHeight="true" outlineLevel="0" collapsed="false">
      <c r="A82" s="113" t="s">
        <v>1026</v>
      </c>
      <c r="E82" s="80"/>
      <c r="F82" s="810"/>
      <c r="G82" s="138"/>
      <c r="H82" s="811" t="s">
        <v>166</v>
      </c>
      <c r="I82" s="831"/>
      <c r="J82" s="335"/>
      <c r="K82" s="333"/>
      <c r="L82" s="204"/>
      <c r="M82" s="198"/>
      <c r="N82" s="837"/>
      <c r="O82" s="838"/>
      <c r="P82" s="76"/>
      <c r="Q82" s="335"/>
      <c r="R82" s="839"/>
      <c r="S82" s="839"/>
      <c r="T82" s="839"/>
      <c r="U82" s="839"/>
      <c r="V82" s="839"/>
      <c r="W82" s="839"/>
      <c r="X82" s="839"/>
      <c r="Y82" s="839"/>
      <c r="Z82" s="844"/>
      <c r="AA82" s="845" t="n">
        <v>1</v>
      </c>
      <c r="AB82" s="846" t="s">
        <v>1069</v>
      </c>
      <c r="AC82" s="756" t="n">
        <v>108.483</v>
      </c>
      <c r="AD82" s="846" t="str">
        <f aca="false">AB82</f>
        <v>Прочие амортизационные отчисления</v>
      </c>
      <c r="AE82" s="756" t="n">
        <v>270.32</v>
      </c>
      <c r="AF82" s="835"/>
      <c r="AG82" s="836"/>
      <c r="AH82" s="836"/>
      <c r="AI82" s="835"/>
      <c r="AJ82" s="836"/>
      <c r="AK82" s="836"/>
      <c r="AL82" s="809"/>
      <c r="AM82" s="132"/>
      <c r="AN82" s="132"/>
      <c r="AO82" s="132"/>
      <c r="AP82" s="132"/>
      <c r="AQ82" s="132"/>
      <c r="AR82" s="132"/>
      <c r="AS82" s="132"/>
      <c r="AT82" s="132"/>
      <c r="AU82" s="132"/>
      <c r="AV82" s="132"/>
      <c r="AW82" s="132"/>
      <c r="AX82" s="132"/>
      <c r="AY82" s="132"/>
      <c r="AZ82" s="132"/>
      <c r="BA82" s="132"/>
      <c r="BB82" s="132"/>
      <c r="BC82" s="132"/>
      <c r="BD82" s="132"/>
      <c r="BE82" s="132"/>
      <c r="BF82" s="132"/>
    </row>
    <row r="83" customFormat="false" ht="11.25" hidden="false" customHeight="true" outlineLevel="0" collapsed="false">
      <c r="A83" s="113" t="s">
        <v>1026</v>
      </c>
      <c r="E83" s="80"/>
      <c r="F83" s="810"/>
      <c r="G83" s="138"/>
      <c r="H83" s="811" t="s">
        <v>166</v>
      </c>
      <c r="I83" s="831"/>
      <c r="J83" s="335"/>
      <c r="K83" s="333"/>
      <c r="L83" s="204"/>
      <c r="M83" s="198"/>
      <c r="N83" s="837"/>
      <c r="O83" s="838"/>
      <c r="P83" s="76"/>
      <c r="Q83" s="335"/>
      <c r="R83" s="839"/>
      <c r="S83" s="839"/>
      <c r="T83" s="839"/>
      <c r="U83" s="839"/>
      <c r="V83" s="839"/>
      <c r="W83" s="839"/>
      <c r="X83" s="839"/>
      <c r="Y83" s="839"/>
      <c r="Z83" s="840"/>
      <c r="AA83" s="841"/>
      <c r="AB83" s="161" t="s">
        <v>1071</v>
      </c>
      <c r="AC83" s="842"/>
      <c r="AD83" s="842"/>
      <c r="AE83" s="847"/>
      <c r="AF83" s="835"/>
      <c r="AG83" s="836"/>
      <c r="AH83" s="836"/>
      <c r="AI83" s="835"/>
      <c r="AJ83" s="836"/>
      <c r="AK83" s="836"/>
      <c r="AL83" s="809"/>
      <c r="AM83" s="132"/>
      <c r="AN83" s="132"/>
      <c r="AO83" s="132"/>
      <c r="AP83" s="132"/>
      <c r="AQ83" s="132"/>
      <c r="AR83" s="132"/>
      <c r="AS83" s="132"/>
      <c r="AT83" s="132"/>
      <c r="AU83" s="132"/>
      <c r="AV83" s="132"/>
      <c r="AW83" s="132"/>
      <c r="AX83" s="132"/>
      <c r="AY83" s="132"/>
      <c r="AZ83" s="132"/>
      <c r="BA83" s="132"/>
      <c r="BB83" s="132"/>
      <c r="BC83" s="132"/>
      <c r="BD83" s="132"/>
      <c r="BE83" s="132"/>
      <c r="BF83" s="132"/>
    </row>
    <row r="84" customFormat="false" ht="11.25" hidden="false" customHeight="true" outlineLevel="0" collapsed="false">
      <c r="A84" s="113" t="s">
        <v>1026</v>
      </c>
      <c r="E84" s="80"/>
      <c r="F84" s="810"/>
      <c r="G84" s="138"/>
      <c r="H84" s="811" t="s">
        <v>166</v>
      </c>
      <c r="I84" s="831"/>
      <c r="J84" s="335"/>
      <c r="K84" s="333"/>
      <c r="L84" s="204"/>
      <c r="M84" s="198"/>
      <c r="N84" s="840"/>
      <c r="O84" s="841"/>
      <c r="P84" s="161" t="s">
        <v>1072</v>
      </c>
      <c r="Q84" s="841"/>
      <c r="R84" s="841"/>
      <c r="S84" s="841"/>
      <c r="T84" s="841"/>
      <c r="U84" s="841"/>
      <c r="V84" s="841"/>
      <c r="W84" s="841"/>
      <c r="X84" s="841"/>
      <c r="Y84" s="841"/>
      <c r="Z84" s="841"/>
      <c r="AA84" s="841"/>
      <c r="AB84" s="841"/>
      <c r="AC84" s="841"/>
      <c r="AD84" s="841"/>
      <c r="AE84" s="848"/>
      <c r="AF84" s="835"/>
      <c r="AG84" s="836"/>
      <c r="AH84" s="836"/>
      <c r="AI84" s="835"/>
      <c r="AJ84" s="836"/>
      <c r="AK84" s="836"/>
      <c r="AL84" s="809"/>
      <c r="AM84" s="132"/>
      <c r="AN84" s="132"/>
      <c r="AO84" s="132"/>
      <c r="AP84" s="132"/>
      <c r="AQ84" s="132"/>
      <c r="AR84" s="132"/>
      <c r="AS84" s="132"/>
      <c r="AT84" s="132"/>
      <c r="AU84" s="132"/>
      <c r="AV84" s="132"/>
      <c r="AW84" s="132"/>
      <c r="AX84" s="132"/>
      <c r="AY84" s="132"/>
      <c r="AZ84" s="132"/>
      <c r="BA84" s="132"/>
      <c r="BB84" s="132"/>
      <c r="BC84" s="132"/>
      <c r="BD84" s="132"/>
      <c r="BE84" s="132"/>
      <c r="BF84" s="132"/>
    </row>
    <row r="85" customFormat="false" ht="11.25" hidden="false" customHeight="true" outlineLevel="0" collapsed="false">
      <c r="A85" s="113" t="s">
        <v>1026</v>
      </c>
      <c r="E85" s="80"/>
      <c r="F85" s="810"/>
      <c r="G85" s="138" t="s">
        <v>103</v>
      </c>
      <c r="H85" s="811" t="s">
        <v>168</v>
      </c>
      <c r="I85" s="831"/>
      <c r="J85" s="335"/>
      <c r="K85" s="333" t="s">
        <v>1092</v>
      </c>
      <c r="L85" s="204" t="s">
        <v>19</v>
      </c>
      <c r="M85" s="198"/>
      <c r="N85" s="832"/>
      <c r="O85" s="833" t="s">
        <v>389</v>
      </c>
      <c r="P85" s="834"/>
      <c r="Q85" s="834"/>
      <c r="R85" s="834"/>
      <c r="S85" s="834"/>
      <c r="T85" s="834"/>
      <c r="U85" s="834"/>
      <c r="V85" s="834"/>
      <c r="W85" s="834"/>
      <c r="X85" s="834"/>
      <c r="Y85" s="834"/>
      <c r="Z85" s="834"/>
      <c r="AA85" s="834"/>
      <c r="AB85" s="834"/>
      <c r="AC85" s="834"/>
      <c r="AD85" s="834"/>
      <c r="AE85" s="834"/>
      <c r="AF85" s="835" t="n">
        <v>2020</v>
      </c>
      <c r="AG85" s="836" t="s">
        <v>1059</v>
      </c>
      <c r="AH85" s="836" t="s">
        <v>1060</v>
      </c>
      <c r="AI85" s="835" t="n">
        <v>2020</v>
      </c>
      <c r="AJ85" s="836" t="s">
        <v>1093</v>
      </c>
      <c r="AK85" s="836" t="s">
        <v>1060</v>
      </c>
      <c r="AL85" s="809"/>
      <c r="AM85" s="132"/>
      <c r="AN85" s="132"/>
      <c r="AO85" s="132"/>
      <c r="AP85" s="132"/>
      <c r="AQ85" s="132"/>
      <c r="AR85" s="132"/>
      <c r="AS85" s="132"/>
      <c r="AT85" s="132"/>
      <c r="AU85" s="132"/>
      <c r="AV85" s="132"/>
      <c r="AW85" s="132"/>
      <c r="AX85" s="132"/>
      <c r="AY85" s="132"/>
      <c r="AZ85" s="132"/>
      <c r="BA85" s="132"/>
      <c r="BB85" s="132"/>
      <c r="BC85" s="132"/>
      <c r="BD85" s="132"/>
      <c r="BE85" s="132"/>
      <c r="BF85" s="132"/>
    </row>
    <row r="86" customFormat="false" ht="11.25" hidden="false" customHeight="true" outlineLevel="0" collapsed="false">
      <c r="A86" s="113" t="s">
        <v>1026</v>
      </c>
      <c r="E86" s="80"/>
      <c r="F86" s="810"/>
      <c r="G86" s="138"/>
      <c r="H86" s="811" t="s">
        <v>167</v>
      </c>
      <c r="I86" s="831"/>
      <c r="J86" s="335"/>
      <c r="K86" s="333"/>
      <c r="L86" s="204"/>
      <c r="M86" s="198"/>
      <c r="N86" s="837"/>
      <c r="O86" s="838" t="n">
        <v>1</v>
      </c>
      <c r="P86" s="76" t="s">
        <v>61</v>
      </c>
      <c r="Q86" s="335" t="s">
        <v>1080</v>
      </c>
      <c r="R86" s="839" t="s">
        <v>1064</v>
      </c>
      <c r="S86" s="839" t="s">
        <v>99</v>
      </c>
      <c r="T86" s="839" t="s">
        <v>99</v>
      </c>
      <c r="U86" s="839" t="s">
        <v>100</v>
      </c>
      <c r="V86" s="839" t="s">
        <v>1065</v>
      </c>
      <c r="W86" s="839" t="s">
        <v>1066</v>
      </c>
      <c r="X86" s="839" t="s">
        <v>1081</v>
      </c>
      <c r="Y86" s="839" t="s">
        <v>1082</v>
      </c>
      <c r="Z86" s="840"/>
      <c r="AA86" s="841"/>
      <c r="AB86" s="841"/>
      <c r="AC86" s="842"/>
      <c r="AD86" s="842"/>
      <c r="AE86" s="843"/>
      <c r="AF86" s="835"/>
      <c r="AG86" s="836"/>
      <c r="AH86" s="836"/>
      <c r="AI86" s="835"/>
      <c r="AJ86" s="836"/>
      <c r="AK86" s="836"/>
      <c r="AL86" s="809"/>
      <c r="AM86" s="132"/>
      <c r="AN86" s="132"/>
      <c r="AO86" s="132"/>
      <c r="AP86" s="132"/>
      <c r="AQ86" s="132"/>
      <c r="AR86" s="132"/>
      <c r="AS86" s="132"/>
      <c r="AT86" s="132"/>
      <c r="AU86" s="132"/>
      <c r="AV86" s="132"/>
      <c r="AW86" s="132"/>
      <c r="AX86" s="132"/>
      <c r="AY86" s="132"/>
      <c r="AZ86" s="132"/>
      <c r="BA86" s="132"/>
      <c r="BB86" s="132"/>
      <c r="BC86" s="132"/>
      <c r="BD86" s="132"/>
      <c r="BE86" s="132"/>
      <c r="BF86" s="132"/>
    </row>
    <row r="87" customFormat="false" ht="11.25" hidden="false" customHeight="true" outlineLevel="0" collapsed="false">
      <c r="A87" s="113" t="s">
        <v>1026</v>
      </c>
      <c r="E87" s="80"/>
      <c r="F87" s="810"/>
      <c r="G87" s="138"/>
      <c r="H87" s="811" t="s">
        <v>167</v>
      </c>
      <c r="I87" s="831"/>
      <c r="J87" s="335"/>
      <c r="K87" s="333"/>
      <c r="L87" s="204"/>
      <c r="M87" s="198"/>
      <c r="N87" s="837"/>
      <c r="O87" s="838"/>
      <c r="P87" s="76"/>
      <c r="Q87" s="335"/>
      <c r="R87" s="839"/>
      <c r="S87" s="839"/>
      <c r="T87" s="839"/>
      <c r="U87" s="839"/>
      <c r="V87" s="839"/>
      <c r="W87" s="839"/>
      <c r="X87" s="839"/>
      <c r="Y87" s="839"/>
      <c r="Z87" s="844"/>
      <c r="AA87" s="845" t="n">
        <v>1</v>
      </c>
      <c r="AB87" s="846" t="s">
        <v>1069</v>
      </c>
      <c r="AC87" s="756" t="n">
        <v>0</v>
      </c>
      <c r="AD87" s="846" t="str">
        <f aca="false">AB87</f>
        <v>Прочие амортизационные отчисления</v>
      </c>
      <c r="AE87" s="756" t="n">
        <v>152.54</v>
      </c>
      <c r="AF87" s="835"/>
      <c r="AG87" s="836"/>
      <c r="AH87" s="836"/>
      <c r="AI87" s="835"/>
      <c r="AJ87" s="836"/>
      <c r="AK87" s="836"/>
      <c r="AL87" s="809"/>
      <c r="AM87" s="132"/>
      <c r="AN87" s="132"/>
      <c r="AO87" s="132"/>
      <c r="AP87" s="132"/>
      <c r="AQ87" s="132"/>
      <c r="AR87" s="132"/>
      <c r="AS87" s="132"/>
      <c r="AT87" s="132"/>
      <c r="AU87" s="132"/>
      <c r="AV87" s="132"/>
      <c r="AW87" s="132"/>
      <c r="AX87" s="132"/>
      <c r="AY87" s="132"/>
      <c r="AZ87" s="132"/>
      <c r="BA87" s="132"/>
      <c r="BB87" s="132"/>
      <c r="BC87" s="132"/>
      <c r="BD87" s="132"/>
      <c r="BE87" s="132"/>
      <c r="BF87" s="132"/>
    </row>
    <row r="88" customFormat="false" ht="11.25" hidden="false" customHeight="true" outlineLevel="0" collapsed="false">
      <c r="A88" s="113" t="s">
        <v>1026</v>
      </c>
      <c r="E88" s="80"/>
      <c r="F88" s="810"/>
      <c r="G88" s="138"/>
      <c r="H88" s="811" t="s">
        <v>167</v>
      </c>
      <c r="I88" s="831"/>
      <c r="J88" s="335"/>
      <c r="K88" s="333"/>
      <c r="L88" s="204"/>
      <c r="M88" s="198"/>
      <c r="N88" s="837"/>
      <c r="O88" s="838"/>
      <c r="P88" s="76"/>
      <c r="Q88" s="335"/>
      <c r="R88" s="839"/>
      <c r="S88" s="839"/>
      <c r="T88" s="839"/>
      <c r="U88" s="839"/>
      <c r="V88" s="839"/>
      <c r="W88" s="839"/>
      <c r="X88" s="839"/>
      <c r="Y88" s="839"/>
      <c r="Z88" s="840"/>
      <c r="AA88" s="841"/>
      <c r="AB88" s="161" t="s">
        <v>1071</v>
      </c>
      <c r="AC88" s="842"/>
      <c r="AD88" s="842"/>
      <c r="AE88" s="847"/>
      <c r="AF88" s="835"/>
      <c r="AG88" s="836"/>
      <c r="AH88" s="836"/>
      <c r="AI88" s="835"/>
      <c r="AJ88" s="836"/>
      <c r="AK88" s="836"/>
      <c r="AL88" s="809"/>
      <c r="AM88" s="132"/>
      <c r="AN88" s="132"/>
      <c r="AO88" s="132"/>
      <c r="AP88" s="132"/>
      <c r="AQ88" s="132"/>
      <c r="AR88" s="132"/>
      <c r="AS88" s="132"/>
      <c r="AT88" s="132"/>
      <c r="AU88" s="132"/>
      <c r="AV88" s="132"/>
      <c r="AW88" s="132"/>
      <c r="AX88" s="132"/>
      <c r="AY88" s="132"/>
      <c r="AZ88" s="132"/>
      <c r="BA88" s="132"/>
      <c r="BB88" s="132"/>
      <c r="BC88" s="132"/>
      <c r="BD88" s="132"/>
      <c r="BE88" s="132"/>
      <c r="BF88" s="132"/>
    </row>
    <row r="89" customFormat="false" ht="11.25" hidden="false" customHeight="true" outlineLevel="0" collapsed="false">
      <c r="A89" s="113" t="s">
        <v>1026</v>
      </c>
      <c r="E89" s="80"/>
      <c r="F89" s="810"/>
      <c r="G89" s="138"/>
      <c r="H89" s="811" t="s">
        <v>167</v>
      </c>
      <c r="I89" s="831"/>
      <c r="J89" s="335"/>
      <c r="K89" s="333"/>
      <c r="L89" s="204"/>
      <c r="M89" s="198"/>
      <c r="N89" s="840"/>
      <c r="O89" s="841"/>
      <c r="P89" s="161" t="s">
        <v>1072</v>
      </c>
      <c r="Q89" s="841"/>
      <c r="R89" s="841"/>
      <c r="S89" s="841"/>
      <c r="T89" s="841"/>
      <c r="U89" s="841"/>
      <c r="V89" s="841"/>
      <c r="W89" s="841"/>
      <c r="X89" s="841"/>
      <c r="Y89" s="841"/>
      <c r="Z89" s="841"/>
      <c r="AA89" s="841"/>
      <c r="AB89" s="841"/>
      <c r="AC89" s="841"/>
      <c r="AD89" s="841"/>
      <c r="AE89" s="848"/>
      <c r="AF89" s="835"/>
      <c r="AG89" s="836"/>
      <c r="AH89" s="836"/>
      <c r="AI89" s="835"/>
      <c r="AJ89" s="836"/>
      <c r="AK89" s="836"/>
      <c r="AL89" s="809"/>
      <c r="AM89" s="132"/>
      <c r="AN89" s="132"/>
      <c r="AO89" s="132"/>
      <c r="AP89" s="132"/>
      <c r="AQ89" s="132"/>
      <c r="AR89" s="132"/>
      <c r="AS89" s="132"/>
      <c r="AT89" s="132"/>
      <c r="AU89" s="132"/>
      <c r="AV89" s="132"/>
      <c r="AW89" s="132"/>
      <c r="AX89" s="132"/>
      <c r="AY89" s="132"/>
      <c r="AZ89" s="132"/>
      <c r="BA89" s="132"/>
      <c r="BB89" s="132"/>
      <c r="BC89" s="132"/>
      <c r="BD89" s="132"/>
      <c r="BE89" s="132"/>
      <c r="BF89" s="132"/>
    </row>
    <row r="90" customFormat="false" ht="11.25" hidden="false" customHeight="true" outlineLevel="0" collapsed="false">
      <c r="A90" s="113" t="s">
        <v>1026</v>
      </c>
      <c r="E90" s="80"/>
      <c r="F90" s="810"/>
      <c r="G90" s="138" t="s">
        <v>103</v>
      </c>
      <c r="H90" s="811" t="s">
        <v>1094</v>
      </c>
      <c r="I90" s="831"/>
      <c r="J90" s="335"/>
      <c r="K90" s="333" t="s">
        <v>1095</v>
      </c>
      <c r="L90" s="204" t="s">
        <v>19</v>
      </c>
      <c r="M90" s="198"/>
      <c r="N90" s="832"/>
      <c r="O90" s="833" t="s">
        <v>389</v>
      </c>
      <c r="P90" s="834"/>
      <c r="Q90" s="834"/>
      <c r="R90" s="834"/>
      <c r="S90" s="834"/>
      <c r="T90" s="834"/>
      <c r="U90" s="834"/>
      <c r="V90" s="834"/>
      <c r="W90" s="834"/>
      <c r="X90" s="834"/>
      <c r="Y90" s="834"/>
      <c r="Z90" s="834"/>
      <c r="AA90" s="834"/>
      <c r="AB90" s="834"/>
      <c r="AC90" s="834"/>
      <c r="AD90" s="834"/>
      <c r="AE90" s="834"/>
      <c r="AF90" s="835" t="n">
        <v>2019</v>
      </c>
      <c r="AG90" s="836" t="s">
        <v>1059</v>
      </c>
      <c r="AH90" s="836" t="s">
        <v>1096</v>
      </c>
      <c r="AI90" s="835" t="n">
        <v>2019</v>
      </c>
      <c r="AJ90" s="836" t="s">
        <v>1076</v>
      </c>
      <c r="AK90" s="836" t="s">
        <v>1062</v>
      </c>
      <c r="AL90" s="809"/>
      <c r="AM90" s="132"/>
      <c r="AN90" s="132"/>
      <c r="AO90" s="132"/>
      <c r="AP90" s="132"/>
      <c r="AQ90" s="132"/>
      <c r="AR90" s="132"/>
      <c r="AS90" s="132"/>
      <c r="AT90" s="132"/>
      <c r="AU90" s="132"/>
      <c r="AV90" s="132"/>
      <c r="AW90" s="132"/>
      <c r="AX90" s="132"/>
      <c r="AY90" s="132"/>
      <c r="AZ90" s="132"/>
      <c r="BA90" s="132"/>
      <c r="BB90" s="132"/>
      <c r="BC90" s="132"/>
      <c r="BD90" s="132"/>
      <c r="BE90" s="132"/>
      <c r="BF90" s="132"/>
    </row>
    <row r="91" customFormat="false" ht="11.25" hidden="false" customHeight="true" outlineLevel="0" collapsed="false">
      <c r="A91" s="113" t="s">
        <v>1026</v>
      </c>
      <c r="E91" s="80"/>
      <c r="F91" s="810"/>
      <c r="G91" s="138"/>
      <c r="H91" s="811" t="s">
        <v>168</v>
      </c>
      <c r="I91" s="831"/>
      <c r="J91" s="335"/>
      <c r="K91" s="333"/>
      <c r="L91" s="204"/>
      <c r="M91" s="198"/>
      <c r="N91" s="837"/>
      <c r="O91" s="838" t="n">
        <v>1</v>
      </c>
      <c r="P91" s="76" t="s">
        <v>61</v>
      </c>
      <c r="Q91" s="335" t="s">
        <v>1097</v>
      </c>
      <c r="R91" s="839" t="s">
        <v>1064</v>
      </c>
      <c r="S91" s="839" t="s">
        <v>99</v>
      </c>
      <c r="T91" s="839" t="s">
        <v>99</v>
      </c>
      <c r="U91" s="839" t="s">
        <v>100</v>
      </c>
      <c r="V91" s="839" t="s">
        <v>1065</v>
      </c>
      <c r="W91" s="839" t="s">
        <v>1066</v>
      </c>
      <c r="X91" s="839" t="s">
        <v>1098</v>
      </c>
      <c r="Y91" s="839" t="s">
        <v>1099</v>
      </c>
      <c r="Z91" s="840"/>
      <c r="AA91" s="841"/>
      <c r="AB91" s="841"/>
      <c r="AC91" s="842"/>
      <c r="AD91" s="842"/>
      <c r="AE91" s="843"/>
      <c r="AF91" s="835"/>
      <c r="AG91" s="836"/>
      <c r="AH91" s="836"/>
      <c r="AI91" s="835"/>
      <c r="AJ91" s="836"/>
      <c r="AK91" s="836"/>
      <c r="AL91" s="809"/>
      <c r="AM91" s="132"/>
      <c r="AN91" s="132"/>
      <c r="AO91" s="132"/>
      <c r="AP91" s="132"/>
      <c r="AQ91" s="132"/>
      <c r="AR91" s="132"/>
      <c r="AS91" s="132"/>
      <c r="AT91" s="132"/>
      <c r="AU91" s="132"/>
      <c r="AV91" s="132"/>
      <c r="AW91" s="132"/>
      <c r="AX91" s="132"/>
      <c r="AY91" s="132"/>
      <c r="AZ91" s="132"/>
      <c r="BA91" s="132"/>
      <c r="BB91" s="132"/>
      <c r="BC91" s="132"/>
      <c r="BD91" s="132"/>
      <c r="BE91" s="132"/>
      <c r="BF91" s="132"/>
    </row>
    <row r="92" customFormat="false" ht="11.25" hidden="false" customHeight="true" outlineLevel="0" collapsed="false">
      <c r="A92" s="113" t="s">
        <v>1026</v>
      </c>
      <c r="E92" s="80"/>
      <c r="F92" s="810"/>
      <c r="G92" s="138"/>
      <c r="H92" s="811" t="s">
        <v>168</v>
      </c>
      <c r="I92" s="831"/>
      <c r="J92" s="335"/>
      <c r="K92" s="333"/>
      <c r="L92" s="204"/>
      <c r="M92" s="198"/>
      <c r="N92" s="837"/>
      <c r="O92" s="838"/>
      <c r="P92" s="76"/>
      <c r="Q92" s="335"/>
      <c r="R92" s="839"/>
      <c r="S92" s="839"/>
      <c r="T92" s="839"/>
      <c r="U92" s="839"/>
      <c r="V92" s="839"/>
      <c r="W92" s="839"/>
      <c r="X92" s="839"/>
      <c r="Y92" s="839"/>
      <c r="Z92" s="844"/>
      <c r="AA92" s="845" t="n">
        <v>1</v>
      </c>
      <c r="AB92" s="846" t="s">
        <v>1069</v>
      </c>
      <c r="AC92" s="756" t="n">
        <v>342.59</v>
      </c>
      <c r="AD92" s="846" t="str">
        <f aca="false">AB92</f>
        <v>Прочие амортизационные отчисления</v>
      </c>
      <c r="AE92" s="756" t="n">
        <v>1977.06</v>
      </c>
      <c r="AF92" s="835"/>
      <c r="AG92" s="836"/>
      <c r="AH92" s="836"/>
      <c r="AI92" s="835"/>
      <c r="AJ92" s="836"/>
      <c r="AK92" s="836"/>
      <c r="AL92" s="809"/>
      <c r="AM92" s="132"/>
      <c r="AN92" s="132"/>
      <c r="AO92" s="132"/>
      <c r="AP92" s="132"/>
      <c r="AQ92" s="132"/>
      <c r="AR92" s="132"/>
      <c r="AS92" s="132"/>
      <c r="AT92" s="132"/>
      <c r="AU92" s="132"/>
      <c r="AV92" s="132"/>
      <c r="AW92" s="132"/>
      <c r="AX92" s="132"/>
      <c r="AY92" s="132"/>
      <c r="AZ92" s="132"/>
      <c r="BA92" s="132"/>
      <c r="BB92" s="132"/>
      <c r="BC92" s="132"/>
      <c r="BD92" s="132"/>
      <c r="BE92" s="132"/>
      <c r="BF92" s="132"/>
    </row>
    <row r="93" customFormat="false" ht="11.25" hidden="false" customHeight="true" outlineLevel="0" collapsed="false">
      <c r="A93" s="113" t="s">
        <v>1026</v>
      </c>
      <c r="E93" s="80"/>
      <c r="F93" s="810"/>
      <c r="G93" s="138"/>
      <c r="H93" s="811" t="s">
        <v>168</v>
      </c>
      <c r="I93" s="831"/>
      <c r="J93" s="335"/>
      <c r="K93" s="333"/>
      <c r="L93" s="204"/>
      <c r="M93" s="198"/>
      <c r="N93" s="837"/>
      <c r="O93" s="838"/>
      <c r="P93" s="76"/>
      <c r="Q93" s="335"/>
      <c r="R93" s="839"/>
      <c r="S93" s="839"/>
      <c r="T93" s="839"/>
      <c r="U93" s="839"/>
      <c r="V93" s="839"/>
      <c r="W93" s="839"/>
      <c r="X93" s="839"/>
      <c r="Y93" s="839"/>
      <c r="Z93" s="840"/>
      <c r="AA93" s="841"/>
      <c r="AB93" s="161" t="s">
        <v>1071</v>
      </c>
      <c r="AC93" s="842"/>
      <c r="AD93" s="842"/>
      <c r="AE93" s="847"/>
      <c r="AF93" s="835"/>
      <c r="AG93" s="836"/>
      <c r="AH93" s="836"/>
      <c r="AI93" s="835"/>
      <c r="AJ93" s="836"/>
      <c r="AK93" s="836"/>
      <c r="AL93" s="809"/>
      <c r="AM93" s="132"/>
      <c r="AN93" s="132"/>
      <c r="AO93" s="132"/>
      <c r="AP93" s="132"/>
      <c r="AQ93" s="132"/>
      <c r="AR93" s="132"/>
      <c r="AS93" s="132"/>
      <c r="AT93" s="132"/>
      <c r="AU93" s="132"/>
      <c r="AV93" s="132"/>
      <c r="AW93" s="132"/>
      <c r="AX93" s="132"/>
      <c r="AY93" s="132"/>
      <c r="AZ93" s="132"/>
      <c r="BA93" s="132"/>
      <c r="BB93" s="132"/>
      <c r="BC93" s="132"/>
      <c r="BD93" s="132"/>
      <c r="BE93" s="132"/>
      <c r="BF93" s="132"/>
    </row>
    <row r="94" customFormat="false" ht="11.25" hidden="false" customHeight="true" outlineLevel="0" collapsed="false">
      <c r="A94" s="113" t="s">
        <v>1026</v>
      </c>
      <c r="E94" s="80"/>
      <c r="F94" s="810"/>
      <c r="G94" s="138"/>
      <c r="H94" s="811" t="s">
        <v>168</v>
      </c>
      <c r="I94" s="831"/>
      <c r="J94" s="335"/>
      <c r="K94" s="333"/>
      <c r="L94" s="204"/>
      <c r="M94" s="198"/>
      <c r="N94" s="840"/>
      <c r="O94" s="841"/>
      <c r="P94" s="161" t="s">
        <v>1072</v>
      </c>
      <c r="Q94" s="841"/>
      <c r="R94" s="841"/>
      <c r="S94" s="841"/>
      <c r="T94" s="841"/>
      <c r="U94" s="841"/>
      <c r="V94" s="841"/>
      <c r="W94" s="841"/>
      <c r="X94" s="841"/>
      <c r="Y94" s="841"/>
      <c r="Z94" s="841"/>
      <c r="AA94" s="841"/>
      <c r="AB94" s="841"/>
      <c r="AC94" s="841"/>
      <c r="AD94" s="841"/>
      <c r="AE94" s="848"/>
      <c r="AF94" s="835"/>
      <c r="AG94" s="836"/>
      <c r="AH94" s="836"/>
      <c r="AI94" s="835"/>
      <c r="AJ94" s="836"/>
      <c r="AK94" s="836"/>
      <c r="AL94" s="809"/>
      <c r="AM94" s="132"/>
      <c r="AN94" s="132"/>
      <c r="AO94" s="132"/>
      <c r="AP94" s="132"/>
      <c r="AQ94" s="132"/>
      <c r="AR94" s="132"/>
      <c r="AS94" s="132"/>
      <c r="AT94" s="132"/>
      <c r="AU94" s="132"/>
      <c r="AV94" s="132"/>
      <c r="AW94" s="132"/>
      <c r="AX94" s="132"/>
      <c r="AY94" s="132"/>
      <c r="AZ94" s="132"/>
      <c r="BA94" s="132"/>
      <c r="BB94" s="132"/>
      <c r="BC94" s="132"/>
      <c r="BD94" s="132"/>
      <c r="BE94" s="132"/>
      <c r="BF94" s="132"/>
    </row>
    <row r="95" customFormat="false" ht="11.25" hidden="false" customHeight="true" outlineLevel="0" collapsed="false">
      <c r="A95" s="113" t="s">
        <v>1026</v>
      </c>
      <c r="E95" s="80"/>
      <c r="F95" s="810"/>
      <c r="G95" s="138" t="s">
        <v>103</v>
      </c>
      <c r="H95" s="811" t="s">
        <v>1100</v>
      </c>
      <c r="I95" s="831"/>
      <c r="J95" s="335"/>
      <c r="K95" s="333" t="s">
        <v>1101</v>
      </c>
      <c r="L95" s="204" t="s">
        <v>19</v>
      </c>
      <c r="M95" s="198"/>
      <c r="N95" s="832"/>
      <c r="O95" s="833" t="s">
        <v>389</v>
      </c>
      <c r="P95" s="834"/>
      <c r="Q95" s="834"/>
      <c r="R95" s="834"/>
      <c r="S95" s="834"/>
      <c r="T95" s="834"/>
      <c r="U95" s="834"/>
      <c r="V95" s="834"/>
      <c r="W95" s="834"/>
      <c r="X95" s="834"/>
      <c r="Y95" s="834"/>
      <c r="Z95" s="834"/>
      <c r="AA95" s="834"/>
      <c r="AB95" s="834"/>
      <c r="AC95" s="834"/>
      <c r="AD95" s="834"/>
      <c r="AE95" s="834"/>
      <c r="AF95" s="835" t="n">
        <v>2019</v>
      </c>
      <c r="AG95" s="836" t="s">
        <v>1059</v>
      </c>
      <c r="AH95" s="836" t="s">
        <v>1060</v>
      </c>
      <c r="AI95" s="835" t="n">
        <v>2019</v>
      </c>
      <c r="AJ95" s="836" t="s">
        <v>1059</v>
      </c>
      <c r="AK95" s="836" t="s">
        <v>1062</v>
      </c>
      <c r="AL95" s="809"/>
      <c r="AM95" s="132"/>
      <c r="AN95" s="132"/>
      <c r="AO95" s="132"/>
      <c r="AP95" s="132"/>
      <c r="AQ95" s="132"/>
      <c r="AR95" s="132"/>
      <c r="AS95" s="132"/>
      <c r="AT95" s="132"/>
      <c r="AU95" s="132"/>
      <c r="AV95" s="132"/>
      <c r="AW95" s="132"/>
      <c r="AX95" s="132"/>
      <c r="AY95" s="132"/>
      <c r="AZ95" s="132"/>
      <c r="BA95" s="132"/>
      <c r="BB95" s="132"/>
      <c r="BC95" s="132"/>
      <c r="BD95" s="132"/>
      <c r="BE95" s="132"/>
      <c r="BF95" s="132"/>
    </row>
    <row r="96" customFormat="false" ht="11.25" hidden="false" customHeight="true" outlineLevel="0" collapsed="false">
      <c r="A96" s="113" t="s">
        <v>1026</v>
      </c>
      <c r="E96" s="80"/>
      <c r="F96" s="810"/>
      <c r="G96" s="138"/>
      <c r="H96" s="811" t="s">
        <v>1094</v>
      </c>
      <c r="I96" s="831"/>
      <c r="J96" s="335"/>
      <c r="K96" s="333"/>
      <c r="L96" s="204"/>
      <c r="M96" s="198"/>
      <c r="N96" s="837"/>
      <c r="O96" s="838" t="n">
        <v>1</v>
      </c>
      <c r="P96" s="76" t="s">
        <v>61</v>
      </c>
      <c r="Q96" s="335" t="s">
        <v>1063</v>
      </c>
      <c r="R96" s="839" t="s">
        <v>1064</v>
      </c>
      <c r="S96" s="839" t="s">
        <v>99</v>
      </c>
      <c r="T96" s="839" t="s">
        <v>99</v>
      </c>
      <c r="U96" s="839" t="s">
        <v>100</v>
      </c>
      <c r="V96" s="839" t="s">
        <v>1065</v>
      </c>
      <c r="W96" s="839" t="s">
        <v>1066</v>
      </c>
      <c r="X96" s="839" t="s">
        <v>1067</v>
      </c>
      <c r="Y96" s="839" t="s">
        <v>1068</v>
      </c>
      <c r="Z96" s="840"/>
      <c r="AA96" s="841"/>
      <c r="AB96" s="841"/>
      <c r="AC96" s="842"/>
      <c r="AD96" s="842"/>
      <c r="AE96" s="843"/>
      <c r="AF96" s="835"/>
      <c r="AG96" s="836"/>
      <c r="AH96" s="836"/>
      <c r="AI96" s="835"/>
      <c r="AJ96" s="836"/>
      <c r="AK96" s="836"/>
      <c r="AL96" s="809"/>
      <c r="AM96" s="132"/>
      <c r="AN96" s="132"/>
      <c r="AO96" s="132"/>
      <c r="AP96" s="132"/>
      <c r="AQ96" s="132"/>
      <c r="AR96" s="132"/>
      <c r="AS96" s="132"/>
      <c r="AT96" s="132"/>
      <c r="AU96" s="132"/>
      <c r="AV96" s="132"/>
      <c r="AW96" s="132"/>
      <c r="AX96" s="132"/>
      <c r="AY96" s="132"/>
      <c r="AZ96" s="132"/>
      <c r="BA96" s="132"/>
      <c r="BB96" s="132"/>
      <c r="BC96" s="132"/>
      <c r="BD96" s="132"/>
      <c r="BE96" s="132"/>
      <c r="BF96" s="132"/>
    </row>
    <row r="97" customFormat="false" ht="11.25" hidden="false" customHeight="true" outlineLevel="0" collapsed="false">
      <c r="A97" s="113" t="s">
        <v>1026</v>
      </c>
      <c r="E97" s="80"/>
      <c r="F97" s="810"/>
      <c r="G97" s="138"/>
      <c r="H97" s="811" t="s">
        <v>1094</v>
      </c>
      <c r="I97" s="831"/>
      <c r="J97" s="335"/>
      <c r="K97" s="333"/>
      <c r="L97" s="204"/>
      <c r="M97" s="198"/>
      <c r="N97" s="837"/>
      <c r="O97" s="838"/>
      <c r="P97" s="76"/>
      <c r="Q97" s="335"/>
      <c r="R97" s="839"/>
      <c r="S97" s="839"/>
      <c r="T97" s="839"/>
      <c r="U97" s="839"/>
      <c r="V97" s="839"/>
      <c r="W97" s="839"/>
      <c r="X97" s="839"/>
      <c r="Y97" s="839"/>
      <c r="Z97" s="844"/>
      <c r="AA97" s="845" t="n">
        <v>1</v>
      </c>
      <c r="AB97" s="846" t="s">
        <v>1069</v>
      </c>
      <c r="AC97" s="756" t="n">
        <v>295</v>
      </c>
      <c r="AD97" s="846" t="str">
        <f aca="false">AB97</f>
        <v>Прочие амортизационные отчисления</v>
      </c>
      <c r="AE97" s="756" t="n">
        <v>747.008</v>
      </c>
      <c r="AF97" s="835"/>
      <c r="AG97" s="836"/>
      <c r="AH97" s="836"/>
      <c r="AI97" s="835"/>
      <c r="AJ97" s="836"/>
      <c r="AK97" s="836"/>
      <c r="AL97" s="809"/>
      <c r="AM97" s="132"/>
      <c r="AN97" s="132"/>
      <c r="AO97" s="132"/>
      <c r="AP97" s="132"/>
      <c r="AQ97" s="132"/>
      <c r="AR97" s="132"/>
      <c r="AS97" s="132"/>
      <c r="AT97" s="132"/>
      <c r="AU97" s="132"/>
      <c r="AV97" s="132"/>
      <c r="AW97" s="132"/>
      <c r="AX97" s="132"/>
      <c r="AY97" s="132"/>
      <c r="AZ97" s="132"/>
      <c r="BA97" s="132"/>
      <c r="BB97" s="132"/>
      <c r="BC97" s="132"/>
      <c r="BD97" s="132"/>
      <c r="BE97" s="132"/>
      <c r="BF97" s="132"/>
    </row>
    <row r="98" customFormat="false" ht="11.25" hidden="false" customHeight="true" outlineLevel="0" collapsed="false">
      <c r="A98" s="113" t="s">
        <v>1026</v>
      </c>
      <c r="E98" s="80"/>
      <c r="F98" s="810"/>
      <c r="G98" s="138"/>
      <c r="H98" s="811" t="s">
        <v>1094</v>
      </c>
      <c r="I98" s="831"/>
      <c r="J98" s="335"/>
      <c r="K98" s="333"/>
      <c r="L98" s="204"/>
      <c r="M98" s="198"/>
      <c r="N98" s="837"/>
      <c r="O98" s="838"/>
      <c r="P98" s="76"/>
      <c r="Q98" s="335"/>
      <c r="R98" s="839"/>
      <c r="S98" s="839"/>
      <c r="T98" s="839"/>
      <c r="U98" s="839"/>
      <c r="V98" s="839"/>
      <c r="W98" s="839"/>
      <c r="X98" s="839"/>
      <c r="Y98" s="839"/>
      <c r="Z98" s="840"/>
      <c r="AA98" s="841"/>
      <c r="AB98" s="161" t="s">
        <v>1071</v>
      </c>
      <c r="AC98" s="842"/>
      <c r="AD98" s="842"/>
      <c r="AE98" s="847"/>
      <c r="AF98" s="835"/>
      <c r="AG98" s="836"/>
      <c r="AH98" s="836"/>
      <c r="AI98" s="835"/>
      <c r="AJ98" s="836"/>
      <c r="AK98" s="836"/>
      <c r="AL98" s="809"/>
      <c r="AM98" s="132"/>
      <c r="AN98" s="132"/>
      <c r="AO98" s="132"/>
      <c r="AP98" s="132"/>
      <c r="AQ98" s="132"/>
      <c r="AR98" s="132"/>
      <c r="AS98" s="132"/>
      <c r="AT98" s="132"/>
      <c r="AU98" s="132"/>
      <c r="AV98" s="132"/>
      <c r="AW98" s="132"/>
      <c r="AX98" s="132"/>
      <c r="AY98" s="132"/>
      <c r="AZ98" s="132"/>
      <c r="BA98" s="132"/>
      <c r="BB98" s="132"/>
      <c r="BC98" s="132"/>
      <c r="BD98" s="132"/>
      <c r="BE98" s="132"/>
      <c r="BF98" s="132"/>
    </row>
    <row r="99" customFormat="false" ht="11.25" hidden="false" customHeight="true" outlineLevel="0" collapsed="false">
      <c r="A99" s="113" t="s">
        <v>1026</v>
      </c>
      <c r="E99" s="80"/>
      <c r="F99" s="810"/>
      <c r="G99" s="138"/>
      <c r="H99" s="811" t="s">
        <v>1094</v>
      </c>
      <c r="I99" s="831"/>
      <c r="J99" s="335"/>
      <c r="K99" s="333"/>
      <c r="L99" s="204"/>
      <c r="M99" s="198"/>
      <c r="N99" s="840"/>
      <c r="O99" s="841"/>
      <c r="P99" s="161" t="s">
        <v>1072</v>
      </c>
      <c r="Q99" s="841"/>
      <c r="R99" s="841"/>
      <c r="S99" s="841"/>
      <c r="T99" s="841"/>
      <c r="U99" s="841"/>
      <c r="V99" s="841"/>
      <c r="W99" s="841"/>
      <c r="X99" s="841"/>
      <c r="Y99" s="841"/>
      <c r="Z99" s="841"/>
      <c r="AA99" s="841"/>
      <c r="AB99" s="841"/>
      <c r="AC99" s="841"/>
      <c r="AD99" s="841"/>
      <c r="AE99" s="848"/>
      <c r="AF99" s="835"/>
      <c r="AG99" s="836"/>
      <c r="AH99" s="836"/>
      <c r="AI99" s="835"/>
      <c r="AJ99" s="836"/>
      <c r="AK99" s="836"/>
      <c r="AL99" s="809"/>
      <c r="AM99" s="132"/>
      <c r="AN99" s="132"/>
      <c r="AO99" s="132"/>
      <c r="AP99" s="132"/>
      <c r="AQ99" s="132"/>
      <c r="AR99" s="132"/>
      <c r="AS99" s="132"/>
      <c r="AT99" s="132"/>
      <c r="AU99" s="132"/>
      <c r="AV99" s="132"/>
      <c r="AW99" s="132"/>
      <c r="AX99" s="132"/>
      <c r="AY99" s="132"/>
      <c r="AZ99" s="132"/>
      <c r="BA99" s="132"/>
      <c r="BB99" s="132"/>
      <c r="BC99" s="132"/>
      <c r="BD99" s="132"/>
      <c r="BE99" s="132"/>
      <c r="BF99" s="132"/>
    </row>
    <row r="100" customFormat="false" ht="11.25" hidden="false" customHeight="true" outlineLevel="0" collapsed="false">
      <c r="A100" s="113" t="s">
        <v>1026</v>
      </c>
      <c r="E100" s="80"/>
      <c r="F100" s="810"/>
      <c r="G100" s="138" t="s">
        <v>103</v>
      </c>
      <c r="H100" s="811" t="s">
        <v>1102</v>
      </c>
      <c r="I100" s="831"/>
      <c r="J100" s="335"/>
      <c r="K100" s="333" t="s">
        <v>1103</v>
      </c>
      <c r="L100" s="204" t="s">
        <v>19</v>
      </c>
      <c r="M100" s="198"/>
      <c r="N100" s="832"/>
      <c r="O100" s="833" t="s">
        <v>389</v>
      </c>
      <c r="P100" s="834"/>
      <c r="Q100" s="834"/>
      <c r="R100" s="834"/>
      <c r="S100" s="834"/>
      <c r="T100" s="834"/>
      <c r="U100" s="834"/>
      <c r="V100" s="834"/>
      <c r="W100" s="834"/>
      <c r="X100" s="834"/>
      <c r="Y100" s="834"/>
      <c r="Z100" s="834"/>
      <c r="AA100" s="834"/>
      <c r="AB100" s="834"/>
      <c r="AC100" s="834"/>
      <c r="AD100" s="834"/>
      <c r="AE100" s="834"/>
      <c r="AF100" s="835" t="n">
        <v>2021</v>
      </c>
      <c r="AG100" s="836" t="s">
        <v>1059</v>
      </c>
      <c r="AH100" s="836" t="s">
        <v>1104</v>
      </c>
      <c r="AI100" s="835" t="n">
        <v>2022</v>
      </c>
      <c r="AJ100" s="836" t="s">
        <v>1105</v>
      </c>
      <c r="AK100" s="836" t="s">
        <v>1096</v>
      </c>
      <c r="AL100" s="809"/>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row>
    <row r="101" customFormat="false" ht="11.25" hidden="false" customHeight="true" outlineLevel="0" collapsed="false">
      <c r="A101" s="113" t="s">
        <v>1026</v>
      </c>
      <c r="E101" s="80"/>
      <c r="F101" s="810"/>
      <c r="G101" s="138"/>
      <c r="H101" s="811" t="s">
        <v>1100</v>
      </c>
      <c r="I101" s="831"/>
      <c r="J101" s="335"/>
      <c r="K101" s="333"/>
      <c r="L101" s="204"/>
      <c r="M101" s="198"/>
      <c r="N101" s="837"/>
      <c r="O101" s="838" t="n">
        <v>1</v>
      </c>
      <c r="P101" s="76" t="s">
        <v>61</v>
      </c>
      <c r="Q101" s="335" t="s">
        <v>1106</v>
      </c>
      <c r="R101" s="839" t="s">
        <v>1064</v>
      </c>
      <c r="S101" s="839" t="s">
        <v>106</v>
      </c>
      <c r="T101" s="839" t="s">
        <v>107</v>
      </c>
      <c r="U101" s="839" t="s">
        <v>108</v>
      </c>
      <c r="V101" s="839" t="s">
        <v>1107</v>
      </c>
      <c r="W101" s="839" t="s">
        <v>1108</v>
      </c>
      <c r="X101" s="839" t="s">
        <v>1109</v>
      </c>
      <c r="Y101" s="839" t="s">
        <v>1110</v>
      </c>
      <c r="Z101" s="840"/>
      <c r="AA101" s="841"/>
      <c r="AB101" s="841"/>
      <c r="AC101" s="842"/>
      <c r="AD101" s="842"/>
      <c r="AE101" s="843"/>
      <c r="AF101" s="835"/>
      <c r="AG101" s="836"/>
      <c r="AH101" s="836"/>
      <c r="AI101" s="835"/>
      <c r="AJ101" s="836"/>
      <c r="AK101" s="836"/>
      <c r="AL101" s="809"/>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row>
    <row r="102" customFormat="false" ht="11.25" hidden="false" customHeight="true" outlineLevel="0" collapsed="false">
      <c r="A102" s="113" t="s">
        <v>1026</v>
      </c>
      <c r="E102" s="80"/>
      <c r="F102" s="810"/>
      <c r="G102" s="138"/>
      <c r="H102" s="811" t="s">
        <v>1100</v>
      </c>
      <c r="I102" s="831"/>
      <c r="J102" s="335"/>
      <c r="K102" s="333"/>
      <c r="L102" s="204"/>
      <c r="M102" s="198"/>
      <c r="N102" s="837"/>
      <c r="O102" s="838"/>
      <c r="P102" s="76"/>
      <c r="Q102" s="335"/>
      <c r="R102" s="839"/>
      <c r="S102" s="839"/>
      <c r="T102" s="839"/>
      <c r="U102" s="839"/>
      <c r="V102" s="839"/>
      <c r="W102" s="839"/>
      <c r="X102" s="839"/>
      <c r="Y102" s="839"/>
      <c r="Z102" s="844"/>
      <c r="AA102" s="845" t="n">
        <v>1</v>
      </c>
      <c r="AB102" s="846" t="s">
        <v>1069</v>
      </c>
      <c r="AC102" s="756" t="n">
        <v>0</v>
      </c>
      <c r="AD102" s="846" t="str">
        <f aca="false">AB102</f>
        <v>Прочие амортизационные отчисления</v>
      </c>
      <c r="AE102" s="756" t="n">
        <v>70</v>
      </c>
      <c r="AF102" s="835"/>
      <c r="AG102" s="836"/>
      <c r="AH102" s="836"/>
      <c r="AI102" s="835"/>
      <c r="AJ102" s="836"/>
      <c r="AK102" s="836"/>
      <c r="AL102" s="809"/>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row>
    <row r="103" customFormat="false" ht="11.25" hidden="false" customHeight="true" outlineLevel="0" collapsed="false">
      <c r="A103" s="113" t="s">
        <v>1026</v>
      </c>
      <c r="E103" s="80"/>
      <c r="F103" s="810"/>
      <c r="G103" s="810"/>
      <c r="H103" s="810"/>
      <c r="I103" s="831"/>
      <c r="J103" s="335"/>
      <c r="K103" s="333"/>
      <c r="L103" s="204"/>
      <c r="M103" s="204"/>
      <c r="N103" s="204"/>
      <c r="O103" s="204"/>
      <c r="P103" s="204"/>
      <c r="Q103" s="204"/>
      <c r="R103" s="204"/>
      <c r="S103" s="204"/>
      <c r="T103" s="204"/>
      <c r="U103" s="204"/>
      <c r="V103" s="204"/>
      <c r="W103" s="204"/>
      <c r="X103" s="204"/>
      <c r="Y103" s="204"/>
      <c r="Z103" s="138" t="s">
        <v>103</v>
      </c>
      <c r="AA103" s="838" t="s">
        <v>102</v>
      </c>
      <c r="AB103" s="846" t="s">
        <v>1070</v>
      </c>
      <c r="AC103" s="756" t="n">
        <v>0</v>
      </c>
      <c r="AD103" s="846" t="str">
        <f aca="false">AB103</f>
        <v>Прибыль направляемая на инвестиции</v>
      </c>
      <c r="AE103" s="756" t="n">
        <v>855.67</v>
      </c>
      <c r="AF103" s="835"/>
      <c r="AG103" s="836"/>
      <c r="AH103" s="836"/>
      <c r="AI103" s="835"/>
      <c r="AJ103" s="836"/>
      <c r="AK103" s="836"/>
      <c r="AL103" s="809"/>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row>
    <row r="104" customFormat="false" ht="11.25" hidden="false" customHeight="true" outlineLevel="0" collapsed="false">
      <c r="A104" s="113" t="s">
        <v>1026</v>
      </c>
      <c r="E104" s="80"/>
      <c r="F104" s="810"/>
      <c r="G104" s="138"/>
      <c r="H104" s="811" t="s">
        <v>1100</v>
      </c>
      <c r="I104" s="831"/>
      <c r="J104" s="335"/>
      <c r="K104" s="333"/>
      <c r="L104" s="204"/>
      <c r="M104" s="198"/>
      <c r="N104" s="837"/>
      <c r="O104" s="838"/>
      <c r="P104" s="76"/>
      <c r="Q104" s="335"/>
      <c r="R104" s="839"/>
      <c r="S104" s="839"/>
      <c r="T104" s="839"/>
      <c r="U104" s="839"/>
      <c r="V104" s="839"/>
      <c r="W104" s="839"/>
      <c r="X104" s="839"/>
      <c r="Y104" s="839"/>
      <c r="Z104" s="840"/>
      <c r="AA104" s="841"/>
      <c r="AB104" s="161" t="s">
        <v>1071</v>
      </c>
      <c r="AC104" s="842"/>
      <c r="AD104" s="842"/>
      <c r="AE104" s="847"/>
      <c r="AF104" s="835"/>
      <c r="AG104" s="836"/>
      <c r="AH104" s="836"/>
      <c r="AI104" s="835"/>
      <c r="AJ104" s="836"/>
      <c r="AK104" s="836"/>
      <c r="AL104" s="809"/>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row>
    <row r="105" customFormat="false" ht="11.25" hidden="false" customHeight="true" outlineLevel="0" collapsed="false">
      <c r="A105" s="113" t="s">
        <v>1026</v>
      </c>
      <c r="E105" s="80"/>
      <c r="F105" s="810"/>
      <c r="G105" s="138"/>
      <c r="H105" s="811" t="s">
        <v>1100</v>
      </c>
      <c r="I105" s="831"/>
      <c r="J105" s="335"/>
      <c r="K105" s="333"/>
      <c r="L105" s="204"/>
      <c r="M105" s="198"/>
      <c r="N105" s="840"/>
      <c r="O105" s="841"/>
      <c r="P105" s="161" t="s">
        <v>1072</v>
      </c>
      <c r="Q105" s="841"/>
      <c r="R105" s="841"/>
      <c r="S105" s="841"/>
      <c r="T105" s="841"/>
      <c r="U105" s="841"/>
      <c r="V105" s="841"/>
      <c r="W105" s="841"/>
      <c r="X105" s="841"/>
      <c r="Y105" s="841"/>
      <c r="Z105" s="841"/>
      <c r="AA105" s="841"/>
      <c r="AB105" s="841"/>
      <c r="AC105" s="841"/>
      <c r="AD105" s="841"/>
      <c r="AE105" s="848"/>
      <c r="AF105" s="835"/>
      <c r="AG105" s="836"/>
      <c r="AH105" s="836"/>
      <c r="AI105" s="835"/>
      <c r="AJ105" s="836"/>
      <c r="AK105" s="836"/>
      <c r="AL105" s="809"/>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row>
    <row r="106" customFormat="false" ht="11.25" hidden="false" customHeight="true" outlineLevel="0" collapsed="false">
      <c r="A106" s="113" t="s">
        <v>1026</v>
      </c>
      <c r="E106" s="80"/>
      <c r="F106" s="810"/>
      <c r="G106" s="138" t="s">
        <v>103</v>
      </c>
      <c r="H106" s="811" t="s">
        <v>1111</v>
      </c>
      <c r="I106" s="831"/>
      <c r="J106" s="335"/>
      <c r="K106" s="333" t="s">
        <v>1112</v>
      </c>
      <c r="L106" s="204" t="s">
        <v>19</v>
      </c>
      <c r="M106" s="198"/>
      <c r="N106" s="832"/>
      <c r="O106" s="833" t="s">
        <v>389</v>
      </c>
      <c r="P106" s="834"/>
      <c r="Q106" s="834"/>
      <c r="R106" s="834"/>
      <c r="S106" s="834"/>
      <c r="T106" s="834"/>
      <c r="U106" s="834"/>
      <c r="V106" s="834"/>
      <c r="W106" s="834"/>
      <c r="X106" s="834"/>
      <c r="Y106" s="834"/>
      <c r="Z106" s="834"/>
      <c r="AA106" s="834"/>
      <c r="AB106" s="834"/>
      <c r="AC106" s="834"/>
      <c r="AD106" s="834"/>
      <c r="AE106" s="834"/>
      <c r="AF106" s="835" t="n">
        <v>2020</v>
      </c>
      <c r="AG106" s="836" t="s">
        <v>1059</v>
      </c>
      <c r="AH106" s="836" t="s">
        <v>1104</v>
      </c>
      <c r="AI106" s="835" t="n">
        <v>2021</v>
      </c>
      <c r="AJ106" s="836" t="s">
        <v>1113</v>
      </c>
      <c r="AK106" s="836" t="s">
        <v>1075</v>
      </c>
      <c r="AL106" s="809"/>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row>
    <row r="107" customFormat="false" ht="11.25" hidden="false" customHeight="true" outlineLevel="0" collapsed="false">
      <c r="A107" s="113" t="s">
        <v>1026</v>
      </c>
      <c r="E107" s="80"/>
      <c r="F107" s="810"/>
      <c r="G107" s="138"/>
      <c r="H107" s="811" t="s">
        <v>1102</v>
      </c>
      <c r="I107" s="831"/>
      <c r="J107" s="335"/>
      <c r="K107" s="333"/>
      <c r="L107" s="204"/>
      <c r="M107" s="198"/>
      <c r="N107" s="837"/>
      <c r="O107" s="838" t="n">
        <v>1</v>
      </c>
      <c r="P107" s="76" t="s">
        <v>61</v>
      </c>
      <c r="Q107" s="335" t="s">
        <v>1106</v>
      </c>
      <c r="R107" s="839" t="s">
        <v>1064</v>
      </c>
      <c r="S107" s="839" t="s">
        <v>106</v>
      </c>
      <c r="T107" s="839" t="s">
        <v>107</v>
      </c>
      <c r="U107" s="839" t="s">
        <v>108</v>
      </c>
      <c r="V107" s="839" t="s">
        <v>1107</v>
      </c>
      <c r="W107" s="839" t="s">
        <v>1108</v>
      </c>
      <c r="X107" s="839" t="s">
        <v>1109</v>
      </c>
      <c r="Y107" s="839" t="s">
        <v>1110</v>
      </c>
      <c r="Z107" s="840"/>
      <c r="AA107" s="841"/>
      <c r="AB107" s="841"/>
      <c r="AC107" s="842"/>
      <c r="AD107" s="842"/>
      <c r="AE107" s="843"/>
      <c r="AF107" s="835"/>
      <c r="AG107" s="836"/>
      <c r="AH107" s="836"/>
      <c r="AI107" s="835"/>
      <c r="AJ107" s="836"/>
      <c r="AK107" s="836"/>
      <c r="AL107" s="809"/>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row>
    <row r="108" customFormat="false" ht="11.25" hidden="false" customHeight="true" outlineLevel="0" collapsed="false">
      <c r="A108" s="113" t="s">
        <v>1026</v>
      </c>
      <c r="E108" s="80"/>
      <c r="F108" s="810"/>
      <c r="G108" s="138"/>
      <c r="H108" s="811" t="s">
        <v>1102</v>
      </c>
      <c r="I108" s="831"/>
      <c r="J108" s="335"/>
      <c r="K108" s="333"/>
      <c r="L108" s="204"/>
      <c r="M108" s="198"/>
      <c r="N108" s="837"/>
      <c r="O108" s="838"/>
      <c r="P108" s="76"/>
      <c r="Q108" s="335"/>
      <c r="R108" s="839"/>
      <c r="S108" s="839"/>
      <c r="T108" s="839"/>
      <c r="U108" s="839"/>
      <c r="V108" s="839"/>
      <c r="W108" s="839"/>
      <c r="X108" s="839"/>
      <c r="Y108" s="839"/>
      <c r="Z108" s="844"/>
      <c r="AA108" s="845" t="n">
        <v>1</v>
      </c>
      <c r="AB108" s="846" t="s">
        <v>1069</v>
      </c>
      <c r="AC108" s="756" t="n">
        <v>0</v>
      </c>
      <c r="AD108" s="846" t="str">
        <f aca="false">AB108</f>
        <v>Прочие амортизационные отчисления</v>
      </c>
      <c r="AE108" s="756" t="n">
        <v>70</v>
      </c>
      <c r="AF108" s="835"/>
      <c r="AG108" s="836"/>
      <c r="AH108" s="836"/>
      <c r="AI108" s="835"/>
      <c r="AJ108" s="836"/>
      <c r="AK108" s="836"/>
      <c r="AL108" s="809"/>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row>
    <row r="109" customFormat="false" ht="11.25" hidden="false" customHeight="true" outlineLevel="0" collapsed="false">
      <c r="A109" s="113" t="s">
        <v>1026</v>
      </c>
      <c r="E109" s="80"/>
      <c r="F109" s="810"/>
      <c r="G109" s="810"/>
      <c r="H109" s="810"/>
      <c r="I109" s="831"/>
      <c r="J109" s="335"/>
      <c r="K109" s="333"/>
      <c r="L109" s="204"/>
      <c r="M109" s="204"/>
      <c r="N109" s="204"/>
      <c r="O109" s="204"/>
      <c r="P109" s="204"/>
      <c r="Q109" s="204"/>
      <c r="R109" s="204"/>
      <c r="S109" s="204"/>
      <c r="T109" s="204"/>
      <c r="U109" s="204"/>
      <c r="V109" s="204"/>
      <c r="W109" s="204"/>
      <c r="X109" s="204"/>
      <c r="Y109" s="204"/>
      <c r="Z109" s="138" t="s">
        <v>103</v>
      </c>
      <c r="AA109" s="838" t="s">
        <v>102</v>
      </c>
      <c r="AB109" s="846" t="s">
        <v>1070</v>
      </c>
      <c r="AC109" s="756" t="n">
        <v>0</v>
      </c>
      <c r="AD109" s="846" t="str">
        <f aca="false">AB109</f>
        <v>Прибыль направляемая на инвестиции</v>
      </c>
      <c r="AE109" s="756" t="n">
        <v>855.67</v>
      </c>
      <c r="AF109" s="835"/>
      <c r="AG109" s="836"/>
      <c r="AH109" s="836"/>
      <c r="AI109" s="835"/>
      <c r="AJ109" s="836"/>
      <c r="AK109" s="836"/>
      <c r="AL109" s="809"/>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row>
    <row r="110" customFormat="false" ht="11.25" hidden="false" customHeight="true" outlineLevel="0" collapsed="false">
      <c r="A110" s="113" t="s">
        <v>1026</v>
      </c>
      <c r="E110" s="80"/>
      <c r="F110" s="810"/>
      <c r="G110" s="138"/>
      <c r="H110" s="811" t="s">
        <v>1102</v>
      </c>
      <c r="I110" s="831"/>
      <c r="J110" s="335"/>
      <c r="K110" s="333"/>
      <c r="L110" s="204"/>
      <c r="M110" s="198"/>
      <c r="N110" s="837"/>
      <c r="O110" s="838"/>
      <c r="P110" s="76"/>
      <c r="Q110" s="335"/>
      <c r="R110" s="839"/>
      <c r="S110" s="839"/>
      <c r="T110" s="839"/>
      <c r="U110" s="839"/>
      <c r="V110" s="839"/>
      <c r="W110" s="839"/>
      <c r="X110" s="839"/>
      <c r="Y110" s="839"/>
      <c r="Z110" s="840"/>
      <c r="AA110" s="841"/>
      <c r="AB110" s="161" t="s">
        <v>1071</v>
      </c>
      <c r="AC110" s="842"/>
      <c r="AD110" s="842"/>
      <c r="AE110" s="847"/>
      <c r="AF110" s="835"/>
      <c r="AG110" s="836"/>
      <c r="AH110" s="836"/>
      <c r="AI110" s="835"/>
      <c r="AJ110" s="836"/>
      <c r="AK110" s="836"/>
      <c r="AL110" s="809"/>
      <c r="AM110" s="132"/>
      <c r="AN110" s="132"/>
      <c r="AO110" s="132"/>
      <c r="AP110" s="132"/>
      <c r="AQ110" s="132"/>
      <c r="AR110" s="132"/>
      <c r="AS110" s="132"/>
      <c r="AT110" s="132"/>
      <c r="AU110" s="132"/>
      <c r="AV110" s="132"/>
      <c r="AW110" s="132"/>
      <c r="AX110" s="132"/>
      <c r="AY110" s="132"/>
      <c r="AZ110" s="132"/>
      <c r="BA110" s="132"/>
      <c r="BB110" s="132"/>
      <c r="BC110" s="132"/>
      <c r="BD110" s="132"/>
      <c r="BE110" s="132"/>
      <c r="BF110" s="132"/>
    </row>
    <row r="111" customFormat="false" ht="11.25" hidden="false" customHeight="true" outlineLevel="0" collapsed="false">
      <c r="A111" s="113" t="s">
        <v>1026</v>
      </c>
      <c r="E111" s="80"/>
      <c r="F111" s="810"/>
      <c r="G111" s="138"/>
      <c r="H111" s="811" t="s">
        <v>1102</v>
      </c>
      <c r="I111" s="831"/>
      <c r="J111" s="335"/>
      <c r="K111" s="333"/>
      <c r="L111" s="204"/>
      <c r="M111" s="198"/>
      <c r="N111" s="840"/>
      <c r="O111" s="841"/>
      <c r="P111" s="161" t="s">
        <v>1072</v>
      </c>
      <c r="Q111" s="841"/>
      <c r="R111" s="841"/>
      <c r="S111" s="841"/>
      <c r="T111" s="841"/>
      <c r="U111" s="841"/>
      <c r="V111" s="841"/>
      <c r="W111" s="841"/>
      <c r="X111" s="841"/>
      <c r="Y111" s="841"/>
      <c r="Z111" s="841"/>
      <c r="AA111" s="841"/>
      <c r="AB111" s="841"/>
      <c r="AC111" s="841"/>
      <c r="AD111" s="841"/>
      <c r="AE111" s="848"/>
      <c r="AF111" s="835"/>
      <c r="AG111" s="836"/>
      <c r="AH111" s="836"/>
      <c r="AI111" s="835"/>
      <c r="AJ111" s="836"/>
      <c r="AK111" s="836"/>
      <c r="AL111" s="809"/>
      <c r="AM111" s="132"/>
      <c r="AN111" s="132"/>
      <c r="AO111" s="132"/>
      <c r="AP111" s="132"/>
      <c r="AQ111" s="132"/>
      <c r="AR111" s="132"/>
      <c r="AS111" s="132"/>
      <c r="AT111" s="132"/>
      <c r="AU111" s="132"/>
      <c r="AV111" s="132"/>
      <c r="AW111" s="132"/>
      <c r="AX111" s="132"/>
      <c r="AY111" s="132"/>
      <c r="AZ111" s="132"/>
      <c r="BA111" s="132"/>
      <c r="BB111" s="132"/>
      <c r="BC111" s="132"/>
      <c r="BD111" s="132"/>
      <c r="BE111" s="132"/>
      <c r="BF111" s="132"/>
    </row>
    <row r="112" customFormat="false" ht="11.25" hidden="false" customHeight="true" outlineLevel="0" collapsed="false">
      <c r="A112" s="113" t="s">
        <v>1026</v>
      </c>
      <c r="E112" s="80"/>
      <c r="F112" s="810"/>
      <c r="G112" s="138" t="s">
        <v>103</v>
      </c>
      <c r="H112" s="811" t="s">
        <v>1114</v>
      </c>
      <c r="I112" s="831"/>
      <c r="J112" s="335"/>
      <c r="K112" s="333" t="s">
        <v>1115</v>
      </c>
      <c r="L112" s="204" t="s">
        <v>19</v>
      </c>
      <c r="M112" s="198"/>
      <c r="N112" s="832"/>
      <c r="O112" s="833" t="s">
        <v>389</v>
      </c>
      <c r="P112" s="834"/>
      <c r="Q112" s="834"/>
      <c r="R112" s="834"/>
      <c r="S112" s="834"/>
      <c r="T112" s="834"/>
      <c r="U112" s="834"/>
      <c r="V112" s="834"/>
      <c r="W112" s="834"/>
      <c r="X112" s="834"/>
      <c r="Y112" s="834"/>
      <c r="Z112" s="834"/>
      <c r="AA112" s="834"/>
      <c r="AB112" s="834"/>
      <c r="AC112" s="834"/>
      <c r="AD112" s="834"/>
      <c r="AE112" s="834"/>
      <c r="AF112" s="835" t="n">
        <v>2019</v>
      </c>
      <c r="AG112" s="836" t="s">
        <v>1059</v>
      </c>
      <c r="AH112" s="836" t="s">
        <v>1104</v>
      </c>
      <c r="AI112" s="835" t="n">
        <v>2019</v>
      </c>
      <c r="AJ112" s="836" t="s">
        <v>1059</v>
      </c>
      <c r="AK112" s="836" t="s">
        <v>1062</v>
      </c>
      <c r="AL112" s="809"/>
      <c r="AM112" s="132"/>
      <c r="AN112" s="132"/>
      <c r="AO112" s="132"/>
      <c r="AP112" s="132"/>
      <c r="AQ112" s="132"/>
      <c r="AR112" s="132"/>
      <c r="AS112" s="132"/>
      <c r="AT112" s="132"/>
      <c r="AU112" s="132"/>
      <c r="AV112" s="132"/>
      <c r="AW112" s="132"/>
      <c r="AX112" s="132"/>
      <c r="AY112" s="132"/>
      <c r="AZ112" s="132"/>
      <c r="BA112" s="132"/>
      <c r="BB112" s="132"/>
      <c r="BC112" s="132"/>
      <c r="BD112" s="132"/>
      <c r="BE112" s="132"/>
      <c r="BF112" s="132"/>
    </row>
    <row r="113" customFormat="false" ht="11.25" hidden="false" customHeight="true" outlineLevel="0" collapsed="false">
      <c r="A113" s="113" t="s">
        <v>1026</v>
      </c>
      <c r="E113" s="80"/>
      <c r="F113" s="810"/>
      <c r="G113" s="138"/>
      <c r="H113" s="811" t="s">
        <v>1111</v>
      </c>
      <c r="I113" s="831"/>
      <c r="J113" s="335"/>
      <c r="K113" s="333"/>
      <c r="L113" s="204"/>
      <c r="M113" s="198"/>
      <c r="N113" s="837"/>
      <c r="O113" s="838" t="n">
        <v>1</v>
      </c>
      <c r="P113" s="76" t="s">
        <v>61</v>
      </c>
      <c r="Q113" s="335" t="s">
        <v>1106</v>
      </c>
      <c r="R113" s="839" t="s">
        <v>1064</v>
      </c>
      <c r="S113" s="839" t="s">
        <v>106</v>
      </c>
      <c r="T113" s="839" t="s">
        <v>107</v>
      </c>
      <c r="U113" s="839" t="s">
        <v>108</v>
      </c>
      <c r="V113" s="839" t="s">
        <v>1107</v>
      </c>
      <c r="W113" s="839" t="s">
        <v>1108</v>
      </c>
      <c r="X113" s="839" t="s">
        <v>1109</v>
      </c>
      <c r="Y113" s="839" t="s">
        <v>1110</v>
      </c>
      <c r="Z113" s="840"/>
      <c r="AA113" s="841"/>
      <c r="AB113" s="841"/>
      <c r="AC113" s="842"/>
      <c r="AD113" s="842"/>
      <c r="AE113" s="843"/>
      <c r="AF113" s="835"/>
      <c r="AG113" s="836"/>
      <c r="AH113" s="836"/>
      <c r="AI113" s="835"/>
      <c r="AJ113" s="836"/>
      <c r="AK113" s="836"/>
      <c r="AL113" s="809"/>
      <c r="AM113" s="132"/>
      <c r="AN113" s="132"/>
      <c r="AO113" s="132"/>
      <c r="AP113" s="132"/>
      <c r="AQ113" s="132"/>
      <c r="AR113" s="132"/>
      <c r="AS113" s="132"/>
      <c r="AT113" s="132"/>
      <c r="AU113" s="132"/>
      <c r="AV113" s="132"/>
      <c r="AW113" s="132"/>
      <c r="AX113" s="132"/>
      <c r="AY113" s="132"/>
      <c r="AZ113" s="132"/>
      <c r="BA113" s="132"/>
      <c r="BB113" s="132"/>
      <c r="BC113" s="132"/>
      <c r="BD113" s="132"/>
      <c r="BE113" s="132"/>
      <c r="BF113" s="132"/>
    </row>
    <row r="114" customFormat="false" ht="11.25" hidden="false" customHeight="true" outlineLevel="0" collapsed="false">
      <c r="A114" s="113" t="s">
        <v>1026</v>
      </c>
      <c r="E114" s="80"/>
      <c r="F114" s="810"/>
      <c r="G114" s="138"/>
      <c r="H114" s="811" t="s">
        <v>1111</v>
      </c>
      <c r="I114" s="831"/>
      <c r="J114" s="335"/>
      <c r="K114" s="333"/>
      <c r="L114" s="204"/>
      <c r="M114" s="198"/>
      <c r="N114" s="837"/>
      <c r="O114" s="838"/>
      <c r="P114" s="76"/>
      <c r="Q114" s="335"/>
      <c r="R114" s="839"/>
      <c r="S114" s="839"/>
      <c r="T114" s="839"/>
      <c r="U114" s="839"/>
      <c r="V114" s="839"/>
      <c r="W114" s="839"/>
      <c r="X114" s="839"/>
      <c r="Y114" s="839"/>
      <c r="Z114" s="844"/>
      <c r="AA114" s="845" t="n">
        <v>1</v>
      </c>
      <c r="AB114" s="846" t="s">
        <v>1069</v>
      </c>
      <c r="AC114" s="756" t="n">
        <v>1537.705</v>
      </c>
      <c r="AD114" s="846" t="str">
        <f aca="false">AB114</f>
        <v>Прочие амортизационные отчисления</v>
      </c>
      <c r="AE114" s="756" t="n">
        <v>2658.31</v>
      </c>
      <c r="AF114" s="835"/>
      <c r="AG114" s="836"/>
      <c r="AH114" s="836"/>
      <c r="AI114" s="835"/>
      <c r="AJ114" s="836"/>
      <c r="AK114" s="836"/>
      <c r="AL114" s="809"/>
      <c r="AM114" s="132"/>
      <c r="AN114" s="132"/>
      <c r="AO114" s="132"/>
      <c r="AP114" s="132"/>
      <c r="AQ114" s="132"/>
      <c r="AR114" s="132"/>
      <c r="AS114" s="132"/>
      <c r="AT114" s="132"/>
      <c r="AU114" s="132"/>
      <c r="AV114" s="132"/>
      <c r="AW114" s="132"/>
      <c r="AX114" s="132"/>
      <c r="AY114" s="132"/>
      <c r="AZ114" s="132"/>
      <c r="BA114" s="132"/>
      <c r="BB114" s="132"/>
      <c r="BC114" s="132"/>
      <c r="BD114" s="132"/>
      <c r="BE114" s="132"/>
      <c r="BF114" s="132"/>
    </row>
    <row r="115" customFormat="false" ht="11.25" hidden="false" customHeight="true" outlineLevel="0" collapsed="false">
      <c r="A115" s="113" t="s">
        <v>1026</v>
      </c>
      <c r="E115" s="80"/>
      <c r="F115" s="810"/>
      <c r="G115" s="810"/>
      <c r="H115" s="810"/>
      <c r="I115" s="831"/>
      <c r="J115" s="335"/>
      <c r="K115" s="333"/>
      <c r="L115" s="204"/>
      <c r="M115" s="204"/>
      <c r="N115" s="204"/>
      <c r="O115" s="204"/>
      <c r="P115" s="204"/>
      <c r="Q115" s="204"/>
      <c r="R115" s="204"/>
      <c r="S115" s="204"/>
      <c r="T115" s="204"/>
      <c r="U115" s="204"/>
      <c r="V115" s="204"/>
      <c r="W115" s="204"/>
      <c r="X115" s="204"/>
      <c r="Y115" s="204"/>
      <c r="Z115" s="138" t="s">
        <v>103</v>
      </c>
      <c r="AA115" s="838" t="s">
        <v>102</v>
      </c>
      <c r="AB115" s="846" t="s">
        <v>1070</v>
      </c>
      <c r="AC115" s="756" t="n">
        <v>12.075</v>
      </c>
      <c r="AD115" s="846" t="str">
        <f aca="false">AB115</f>
        <v>Прибыль направляемая на инвестиции</v>
      </c>
      <c r="AE115" s="756" t="n">
        <v>0</v>
      </c>
      <c r="AF115" s="835"/>
      <c r="AG115" s="836"/>
      <c r="AH115" s="836"/>
      <c r="AI115" s="835"/>
      <c r="AJ115" s="836"/>
      <c r="AK115" s="836"/>
      <c r="AL115" s="809"/>
      <c r="AM115" s="132"/>
      <c r="AN115" s="132"/>
      <c r="AO115" s="132"/>
      <c r="AP115" s="132"/>
      <c r="AQ115" s="132"/>
      <c r="AR115" s="132"/>
      <c r="AS115" s="132"/>
      <c r="AT115" s="132"/>
      <c r="AU115" s="132"/>
      <c r="AV115" s="132"/>
      <c r="AW115" s="132"/>
      <c r="AX115" s="132"/>
      <c r="AY115" s="132"/>
      <c r="AZ115" s="132"/>
      <c r="BA115" s="132"/>
      <c r="BB115" s="132"/>
      <c r="BC115" s="132"/>
      <c r="BD115" s="132"/>
      <c r="BE115" s="132"/>
      <c r="BF115" s="132"/>
    </row>
    <row r="116" customFormat="false" ht="11.25" hidden="false" customHeight="true" outlineLevel="0" collapsed="false">
      <c r="A116" s="113" t="s">
        <v>1026</v>
      </c>
      <c r="E116" s="80"/>
      <c r="F116" s="810"/>
      <c r="G116" s="138"/>
      <c r="H116" s="811" t="s">
        <v>1111</v>
      </c>
      <c r="I116" s="831"/>
      <c r="J116" s="335"/>
      <c r="K116" s="333"/>
      <c r="L116" s="204"/>
      <c r="M116" s="198"/>
      <c r="N116" s="837"/>
      <c r="O116" s="838"/>
      <c r="P116" s="76"/>
      <c r="Q116" s="335"/>
      <c r="R116" s="839"/>
      <c r="S116" s="839"/>
      <c r="T116" s="839"/>
      <c r="U116" s="839"/>
      <c r="V116" s="839"/>
      <c r="W116" s="839"/>
      <c r="X116" s="839"/>
      <c r="Y116" s="839"/>
      <c r="Z116" s="840"/>
      <c r="AA116" s="841"/>
      <c r="AB116" s="161" t="s">
        <v>1071</v>
      </c>
      <c r="AC116" s="842"/>
      <c r="AD116" s="842"/>
      <c r="AE116" s="847"/>
      <c r="AF116" s="835"/>
      <c r="AG116" s="836"/>
      <c r="AH116" s="836"/>
      <c r="AI116" s="835"/>
      <c r="AJ116" s="836"/>
      <c r="AK116" s="836"/>
      <c r="AL116" s="809"/>
      <c r="AM116" s="132"/>
      <c r="AN116" s="132"/>
      <c r="AO116" s="132"/>
      <c r="AP116" s="132"/>
      <c r="AQ116" s="132"/>
      <c r="AR116" s="132"/>
      <c r="AS116" s="132"/>
      <c r="AT116" s="132"/>
      <c r="AU116" s="132"/>
      <c r="AV116" s="132"/>
      <c r="AW116" s="132"/>
      <c r="AX116" s="132"/>
      <c r="AY116" s="132"/>
      <c r="AZ116" s="132"/>
      <c r="BA116" s="132"/>
      <c r="BB116" s="132"/>
      <c r="BC116" s="132"/>
      <c r="BD116" s="132"/>
      <c r="BE116" s="132"/>
      <c r="BF116" s="132"/>
    </row>
    <row r="117" customFormat="false" ht="11.25" hidden="false" customHeight="true" outlineLevel="0" collapsed="false">
      <c r="A117" s="113" t="s">
        <v>1026</v>
      </c>
      <c r="E117" s="80"/>
      <c r="F117" s="810"/>
      <c r="G117" s="138"/>
      <c r="H117" s="811" t="s">
        <v>1111</v>
      </c>
      <c r="I117" s="831"/>
      <c r="J117" s="335"/>
      <c r="K117" s="333"/>
      <c r="L117" s="204"/>
      <c r="M117" s="198"/>
      <c r="N117" s="840"/>
      <c r="O117" s="841"/>
      <c r="P117" s="161" t="s">
        <v>1072</v>
      </c>
      <c r="Q117" s="841"/>
      <c r="R117" s="841"/>
      <c r="S117" s="841"/>
      <c r="T117" s="841"/>
      <c r="U117" s="841"/>
      <c r="V117" s="841"/>
      <c r="W117" s="841"/>
      <c r="X117" s="841"/>
      <c r="Y117" s="841"/>
      <c r="Z117" s="841"/>
      <c r="AA117" s="841"/>
      <c r="AB117" s="841"/>
      <c r="AC117" s="841"/>
      <c r="AD117" s="841"/>
      <c r="AE117" s="848"/>
      <c r="AF117" s="835"/>
      <c r="AG117" s="836"/>
      <c r="AH117" s="836"/>
      <c r="AI117" s="835"/>
      <c r="AJ117" s="836"/>
      <c r="AK117" s="836"/>
      <c r="AL117" s="809"/>
      <c r="AM117" s="132"/>
      <c r="AN117" s="132"/>
      <c r="AO117" s="132"/>
      <c r="AP117" s="132"/>
      <c r="AQ117" s="132"/>
      <c r="AR117" s="132"/>
      <c r="AS117" s="132"/>
      <c r="AT117" s="132"/>
      <c r="AU117" s="132"/>
      <c r="AV117" s="132"/>
      <c r="AW117" s="132"/>
      <c r="AX117" s="132"/>
      <c r="AY117" s="132"/>
      <c r="AZ117" s="132"/>
      <c r="BA117" s="132"/>
      <c r="BB117" s="132"/>
      <c r="BC117" s="132"/>
      <c r="BD117" s="132"/>
      <c r="BE117" s="132"/>
      <c r="BF117" s="132"/>
    </row>
    <row r="118" customFormat="false" ht="11.25" hidden="false" customHeight="true" outlineLevel="0" collapsed="false">
      <c r="A118" s="113" t="s">
        <v>1026</v>
      </c>
      <c r="E118" s="80"/>
      <c r="F118" s="810"/>
      <c r="G118" s="138" t="s">
        <v>103</v>
      </c>
      <c r="H118" s="811" t="s">
        <v>1116</v>
      </c>
      <c r="I118" s="831"/>
      <c r="J118" s="335"/>
      <c r="K118" s="333" t="s">
        <v>1117</v>
      </c>
      <c r="L118" s="204" t="s">
        <v>19</v>
      </c>
      <c r="M118" s="198"/>
      <c r="N118" s="832"/>
      <c r="O118" s="833" t="s">
        <v>389</v>
      </c>
      <c r="P118" s="834"/>
      <c r="Q118" s="834"/>
      <c r="R118" s="834"/>
      <c r="S118" s="834"/>
      <c r="T118" s="834"/>
      <c r="U118" s="834"/>
      <c r="V118" s="834"/>
      <c r="W118" s="834"/>
      <c r="X118" s="834"/>
      <c r="Y118" s="834"/>
      <c r="Z118" s="834"/>
      <c r="AA118" s="834"/>
      <c r="AB118" s="834"/>
      <c r="AC118" s="834"/>
      <c r="AD118" s="834"/>
      <c r="AE118" s="834"/>
      <c r="AF118" s="835" t="n">
        <v>2019</v>
      </c>
      <c r="AG118" s="836" t="s">
        <v>1059</v>
      </c>
      <c r="AH118" s="836" t="s">
        <v>1075</v>
      </c>
      <c r="AI118" s="835" t="n">
        <v>2019</v>
      </c>
      <c r="AJ118" s="836" t="s">
        <v>1076</v>
      </c>
      <c r="AK118" s="836" t="s">
        <v>1062</v>
      </c>
      <c r="AL118" s="809"/>
      <c r="AM118" s="132"/>
      <c r="AN118" s="132"/>
      <c r="AO118" s="132"/>
      <c r="AP118" s="132"/>
      <c r="AQ118" s="132"/>
      <c r="AR118" s="132"/>
      <c r="AS118" s="132"/>
      <c r="AT118" s="132"/>
      <c r="AU118" s="132"/>
      <c r="AV118" s="132"/>
      <c r="AW118" s="132"/>
      <c r="AX118" s="132"/>
      <c r="AY118" s="132"/>
      <c r="AZ118" s="132"/>
      <c r="BA118" s="132"/>
      <c r="BB118" s="132"/>
      <c r="BC118" s="132"/>
      <c r="BD118" s="132"/>
      <c r="BE118" s="132"/>
      <c r="BF118" s="132"/>
    </row>
    <row r="119" customFormat="false" ht="11.25" hidden="false" customHeight="true" outlineLevel="0" collapsed="false">
      <c r="A119" s="113" t="s">
        <v>1026</v>
      </c>
      <c r="E119" s="80"/>
      <c r="F119" s="810"/>
      <c r="G119" s="138"/>
      <c r="H119" s="811" t="s">
        <v>1114</v>
      </c>
      <c r="I119" s="831"/>
      <c r="J119" s="335"/>
      <c r="K119" s="333"/>
      <c r="L119" s="204"/>
      <c r="M119" s="198"/>
      <c r="N119" s="837"/>
      <c r="O119" s="838" t="n">
        <v>1</v>
      </c>
      <c r="P119" s="76" t="s">
        <v>61</v>
      </c>
      <c r="Q119" s="335" t="s">
        <v>1118</v>
      </c>
      <c r="R119" s="839" t="s">
        <v>1119</v>
      </c>
      <c r="S119" s="839" t="s">
        <v>111</v>
      </c>
      <c r="T119" s="839" t="s">
        <v>112</v>
      </c>
      <c r="U119" s="839" t="s">
        <v>113</v>
      </c>
      <c r="V119" s="839" t="s">
        <v>1120</v>
      </c>
      <c r="W119" s="839" t="s">
        <v>1121</v>
      </c>
      <c r="X119" s="839" t="s">
        <v>1122</v>
      </c>
      <c r="Y119" s="839" t="s">
        <v>1123</v>
      </c>
      <c r="Z119" s="840"/>
      <c r="AA119" s="841"/>
      <c r="AB119" s="841"/>
      <c r="AC119" s="842"/>
      <c r="AD119" s="842"/>
      <c r="AE119" s="843"/>
      <c r="AF119" s="835"/>
      <c r="AG119" s="836"/>
      <c r="AH119" s="836"/>
      <c r="AI119" s="835"/>
      <c r="AJ119" s="836"/>
      <c r="AK119" s="836"/>
      <c r="AL119" s="809"/>
      <c r="AM119" s="132"/>
      <c r="AN119" s="132"/>
      <c r="AO119" s="132"/>
      <c r="AP119" s="132"/>
      <c r="AQ119" s="132"/>
      <c r="AR119" s="132"/>
      <c r="AS119" s="132"/>
      <c r="AT119" s="132"/>
      <c r="AU119" s="132"/>
      <c r="AV119" s="132"/>
      <c r="AW119" s="132"/>
      <c r="AX119" s="132"/>
      <c r="AY119" s="132"/>
      <c r="AZ119" s="132"/>
      <c r="BA119" s="132"/>
      <c r="BB119" s="132"/>
      <c r="BC119" s="132"/>
      <c r="BD119" s="132"/>
      <c r="BE119" s="132"/>
      <c r="BF119" s="132"/>
    </row>
    <row r="120" customFormat="false" ht="11.25" hidden="false" customHeight="true" outlineLevel="0" collapsed="false">
      <c r="A120" s="113" t="s">
        <v>1026</v>
      </c>
      <c r="E120" s="80"/>
      <c r="F120" s="810"/>
      <c r="G120" s="138"/>
      <c r="H120" s="811" t="s">
        <v>1114</v>
      </c>
      <c r="I120" s="831"/>
      <c r="J120" s="335"/>
      <c r="K120" s="333"/>
      <c r="L120" s="204"/>
      <c r="M120" s="198"/>
      <c r="N120" s="837"/>
      <c r="O120" s="838"/>
      <c r="P120" s="76"/>
      <c r="Q120" s="335"/>
      <c r="R120" s="839"/>
      <c r="S120" s="839"/>
      <c r="T120" s="839"/>
      <c r="U120" s="839"/>
      <c r="V120" s="839"/>
      <c r="W120" s="839"/>
      <c r="X120" s="839"/>
      <c r="Y120" s="839"/>
      <c r="Z120" s="844"/>
      <c r="AA120" s="845" t="n">
        <v>1</v>
      </c>
      <c r="AB120" s="846" t="s">
        <v>1069</v>
      </c>
      <c r="AC120" s="756" t="n">
        <v>1062.59</v>
      </c>
      <c r="AD120" s="846" t="str">
        <f aca="false">AB120</f>
        <v>Прочие амортизационные отчисления</v>
      </c>
      <c r="AE120" s="756" t="n">
        <v>2267.3</v>
      </c>
      <c r="AF120" s="835"/>
      <c r="AG120" s="836"/>
      <c r="AH120" s="836"/>
      <c r="AI120" s="835"/>
      <c r="AJ120" s="836"/>
      <c r="AK120" s="836"/>
      <c r="AL120" s="809"/>
      <c r="AM120" s="132"/>
      <c r="AN120" s="132"/>
      <c r="AO120" s="132"/>
      <c r="AP120" s="132"/>
      <c r="AQ120" s="132"/>
      <c r="AR120" s="132"/>
      <c r="AS120" s="132"/>
      <c r="AT120" s="132"/>
      <c r="AU120" s="132"/>
      <c r="AV120" s="132"/>
      <c r="AW120" s="132"/>
      <c r="AX120" s="132"/>
      <c r="AY120" s="132"/>
      <c r="AZ120" s="132"/>
      <c r="BA120" s="132"/>
      <c r="BB120" s="132"/>
      <c r="BC120" s="132"/>
      <c r="BD120" s="132"/>
      <c r="BE120" s="132"/>
      <c r="BF120" s="132"/>
    </row>
    <row r="121" customFormat="false" ht="11.25" hidden="false" customHeight="true" outlineLevel="0" collapsed="false">
      <c r="A121" s="113" t="s">
        <v>1026</v>
      </c>
      <c r="E121" s="80"/>
      <c r="F121" s="810"/>
      <c r="G121" s="810"/>
      <c r="H121" s="810"/>
      <c r="I121" s="831"/>
      <c r="J121" s="335"/>
      <c r="K121" s="333"/>
      <c r="L121" s="204"/>
      <c r="M121" s="204"/>
      <c r="N121" s="204"/>
      <c r="O121" s="204"/>
      <c r="P121" s="204"/>
      <c r="Q121" s="204"/>
      <c r="R121" s="204"/>
      <c r="S121" s="204"/>
      <c r="T121" s="204"/>
      <c r="U121" s="204"/>
      <c r="V121" s="204"/>
      <c r="W121" s="204"/>
      <c r="X121" s="204"/>
      <c r="Y121" s="204"/>
      <c r="Z121" s="138" t="s">
        <v>103</v>
      </c>
      <c r="AA121" s="838" t="s">
        <v>102</v>
      </c>
      <c r="AB121" s="846" t="s">
        <v>1070</v>
      </c>
      <c r="AC121" s="756" t="n">
        <v>1672.87</v>
      </c>
      <c r="AD121" s="846" t="str">
        <f aca="false">AB121</f>
        <v>Прибыль направляемая на инвестиции</v>
      </c>
      <c r="AE121" s="756" t="n">
        <v>7640.23</v>
      </c>
      <c r="AF121" s="835"/>
      <c r="AG121" s="836"/>
      <c r="AH121" s="836"/>
      <c r="AI121" s="835"/>
      <c r="AJ121" s="836"/>
      <c r="AK121" s="836"/>
      <c r="AL121" s="809"/>
      <c r="AM121" s="132"/>
      <c r="AN121" s="132"/>
      <c r="AO121" s="132"/>
      <c r="AP121" s="132"/>
      <c r="AQ121" s="132"/>
      <c r="AR121" s="132"/>
      <c r="AS121" s="132"/>
      <c r="AT121" s="132"/>
      <c r="AU121" s="132"/>
      <c r="AV121" s="132"/>
      <c r="AW121" s="132"/>
      <c r="AX121" s="132"/>
      <c r="AY121" s="132"/>
      <c r="AZ121" s="132"/>
      <c r="BA121" s="132"/>
      <c r="BB121" s="132"/>
      <c r="BC121" s="132"/>
      <c r="BD121" s="132"/>
      <c r="BE121" s="132"/>
      <c r="BF121" s="132"/>
    </row>
    <row r="122" customFormat="false" ht="11.25" hidden="false" customHeight="true" outlineLevel="0" collapsed="false">
      <c r="A122" s="113" t="s">
        <v>1026</v>
      </c>
      <c r="E122" s="80"/>
      <c r="F122" s="810"/>
      <c r="G122" s="138"/>
      <c r="H122" s="811" t="s">
        <v>1114</v>
      </c>
      <c r="I122" s="831"/>
      <c r="J122" s="335"/>
      <c r="K122" s="333"/>
      <c r="L122" s="204"/>
      <c r="M122" s="198"/>
      <c r="N122" s="837"/>
      <c r="O122" s="838"/>
      <c r="P122" s="76"/>
      <c r="Q122" s="335"/>
      <c r="R122" s="839"/>
      <c r="S122" s="839"/>
      <c r="T122" s="839"/>
      <c r="U122" s="839"/>
      <c r="V122" s="839"/>
      <c r="W122" s="839"/>
      <c r="X122" s="839"/>
      <c r="Y122" s="839"/>
      <c r="Z122" s="840"/>
      <c r="AA122" s="841"/>
      <c r="AB122" s="161" t="s">
        <v>1071</v>
      </c>
      <c r="AC122" s="842"/>
      <c r="AD122" s="842"/>
      <c r="AE122" s="847"/>
      <c r="AF122" s="835"/>
      <c r="AG122" s="836"/>
      <c r="AH122" s="836"/>
      <c r="AI122" s="835"/>
      <c r="AJ122" s="836"/>
      <c r="AK122" s="836"/>
      <c r="AL122" s="809"/>
      <c r="AM122" s="132"/>
      <c r="AN122" s="132"/>
      <c r="AO122" s="132"/>
      <c r="AP122" s="132"/>
      <c r="AQ122" s="132"/>
      <c r="AR122" s="132"/>
      <c r="AS122" s="132"/>
      <c r="AT122" s="132"/>
      <c r="AU122" s="132"/>
      <c r="AV122" s="132"/>
      <c r="AW122" s="132"/>
      <c r="AX122" s="132"/>
      <c r="AY122" s="132"/>
      <c r="AZ122" s="132"/>
      <c r="BA122" s="132"/>
      <c r="BB122" s="132"/>
      <c r="BC122" s="132"/>
      <c r="BD122" s="132"/>
      <c r="BE122" s="132"/>
      <c r="BF122" s="132"/>
    </row>
    <row r="123" customFormat="false" ht="11.25" hidden="false" customHeight="true" outlineLevel="0" collapsed="false">
      <c r="A123" s="113" t="s">
        <v>1026</v>
      </c>
      <c r="E123" s="80"/>
      <c r="F123" s="810"/>
      <c r="G123" s="138"/>
      <c r="H123" s="811" t="s">
        <v>1114</v>
      </c>
      <c r="I123" s="831"/>
      <c r="J123" s="335"/>
      <c r="K123" s="333"/>
      <c r="L123" s="204"/>
      <c r="M123" s="198"/>
      <c r="N123" s="840"/>
      <c r="O123" s="841"/>
      <c r="P123" s="161" t="s">
        <v>1072</v>
      </c>
      <c r="Q123" s="841"/>
      <c r="R123" s="841"/>
      <c r="S123" s="841"/>
      <c r="T123" s="841"/>
      <c r="U123" s="841"/>
      <c r="V123" s="841"/>
      <c r="W123" s="841"/>
      <c r="X123" s="841"/>
      <c r="Y123" s="841"/>
      <c r="Z123" s="841"/>
      <c r="AA123" s="841"/>
      <c r="AB123" s="841"/>
      <c r="AC123" s="841"/>
      <c r="AD123" s="841"/>
      <c r="AE123" s="848"/>
      <c r="AF123" s="835"/>
      <c r="AG123" s="836"/>
      <c r="AH123" s="836"/>
      <c r="AI123" s="835"/>
      <c r="AJ123" s="836"/>
      <c r="AK123" s="836"/>
      <c r="AL123" s="809"/>
      <c r="AM123" s="132"/>
      <c r="AN123" s="132"/>
      <c r="AO123" s="132"/>
      <c r="AP123" s="132"/>
      <c r="AQ123" s="132"/>
      <c r="AR123" s="132"/>
      <c r="AS123" s="132"/>
      <c r="AT123" s="132"/>
      <c r="AU123" s="132"/>
      <c r="AV123" s="132"/>
      <c r="AW123" s="132"/>
      <c r="AX123" s="132"/>
      <c r="AY123" s="132"/>
      <c r="AZ123" s="132"/>
      <c r="BA123" s="132"/>
      <c r="BB123" s="132"/>
      <c r="BC123" s="132"/>
      <c r="BD123" s="132"/>
      <c r="BE123" s="132"/>
      <c r="BF123" s="132"/>
    </row>
    <row r="124" customFormat="false" ht="11.25" hidden="false" customHeight="true" outlineLevel="0" collapsed="false">
      <c r="A124" s="113" t="s">
        <v>1026</v>
      </c>
      <c r="E124" s="80"/>
      <c r="F124" s="810"/>
      <c r="G124" s="138" t="s">
        <v>103</v>
      </c>
      <c r="H124" s="811" t="s">
        <v>1124</v>
      </c>
      <c r="I124" s="831"/>
      <c r="J124" s="335"/>
      <c r="K124" s="333" t="s">
        <v>1125</v>
      </c>
      <c r="L124" s="204" t="s">
        <v>19</v>
      </c>
      <c r="M124" s="198"/>
      <c r="N124" s="832"/>
      <c r="O124" s="833" t="s">
        <v>389</v>
      </c>
      <c r="P124" s="834"/>
      <c r="Q124" s="834"/>
      <c r="R124" s="834"/>
      <c r="S124" s="834"/>
      <c r="T124" s="834"/>
      <c r="U124" s="834"/>
      <c r="V124" s="834"/>
      <c r="W124" s="834"/>
      <c r="X124" s="834"/>
      <c r="Y124" s="834"/>
      <c r="Z124" s="834"/>
      <c r="AA124" s="834"/>
      <c r="AB124" s="834"/>
      <c r="AC124" s="834"/>
      <c r="AD124" s="834"/>
      <c r="AE124" s="834"/>
      <c r="AF124" s="835" t="n">
        <v>2019</v>
      </c>
      <c r="AG124" s="836" t="s">
        <v>1059</v>
      </c>
      <c r="AH124" s="836" t="s">
        <v>1060</v>
      </c>
      <c r="AI124" s="835" t="n">
        <v>2019</v>
      </c>
      <c r="AJ124" s="836" t="s">
        <v>1061</v>
      </c>
      <c r="AK124" s="836" t="s">
        <v>1062</v>
      </c>
      <c r="AL124" s="809"/>
      <c r="AM124" s="132"/>
      <c r="AN124" s="132"/>
      <c r="AO124" s="132"/>
      <c r="AP124" s="132"/>
      <c r="AQ124" s="132"/>
      <c r="AR124" s="132"/>
      <c r="AS124" s="132"/>
      <c r="AT124" s="132"/>
      <c r="AU124" s="132"/>
      <c r="AV124" s="132"/>
      <c r="AW124" s="132"/>
      <c r="AX124" s="132"/>
      <c r="AY124" s="132"/>
      <c r="AZ124" s="132"/>
      <c r="BA124" s="132"/>
      <c r="BB124" s="132"/>
      <c r="BC124" s="132"/>
      <c r="BD124" s="132"/>
      <c r="BE124" s="132"/>
      <c r="BF124" s="132"/>
    </row>
    <row r="125" customFormat="false" ht="11.25" hidden="false" customHeight="true" outlineLevel="0" collapsed="false">
      <c r="A125" s="113" t="s">
        <v>1026</v>
      </c>
      <c r="E125" s="80"/>
      <c r="F125" s="810"/>
      <c r="G125" s="138"/>
      <c r="H125" s="811" t="s">
        <v>1116</v>
      </c>
      <c r="I125" s="831"/>
      <c r="J125" s="335"/>
      <c r="K125" s="333"/>
      <c r="L125" s="204"/>
      <c r="M125" s="198"/>
      <c r="N125" s="837"/>
      <c r="O125" s="838" t="n">
        <v>1</v>
      </c>
      <c r="P125" s="76" t="s">
        <v>61</v>
      </c>
      <c r="Q125" s="335" t="s">
        <v>1118</v>
      </c>
      <c r="R125" s="839" t="s">
        <v>1119</v>
      </c>
      <c r="S125" s="839" t="s">
        <v>111</v>
      </c>
      <c r="T125" s="839" t="s">
        <v>112</v>
      </c>
      <c r="U125" s="839" t="s">
        <v>113</v>
      </c>
      <c r="V125" s="839" t="s">
        <v>1120</v>
      </c>
      <c r="W125" s="839" t="s">
        <v>1121</v>
      </c>
      <c r="X125" s="839" t="s">
        <v>1122</v>
      </c>
      <c r="Y125" s="839" t="s">
        <v>1123</v>
      </c>
      <c r="Z125" s="840"/>
      <c r="AA125" s="841"/>
      <c r="AB125" s="841"/>
      <c r="AC125" s="842"/>
      <c r="AD125" s="842"/>
      <c r="AE125" s="843"/>
      <c r="AF125" s="835"/>
      <c r="AG125" s="836"/>
      <c r="AH125" s="836"/>
      <c r="AI125" s="835"/>
      <c r="AJ125" s="836"/>
      <c r="AK125" s="836"/>
      <c r="AL125" s="809"/>
      <c r="AM125" s="132"/>
      <c r="AN125" s="132"/>
      <c r="AO125" s="132"/>
      <c r="AP125" s="132"/>
      <c r="AQ125" s="132"/>
      <c r="AR125" s="132"/>
      <c r="AS125" s="132"/>
      <c r="AT125" s="132"/>
      <c r="AU125" s="132"/>
      <c r="AV125" s="132"/>
      <c r="AW125" s="132"/>
      <c r="AX125" s="132"/>
      <c r="AY125" s="132"/>
      <c r="AZ125" s="132"/>
      <c r="BA125" s="132"/>
      <c r="BB125" s="132"/>
      <c r="BC125" s="132"/>
      <c r="BD125" s="132"/>
      <c r="BE125" s="132"/>
      <c r="BF125" s="132"/>
    </row>
    <row r="126" customFormat="false" ht="11.25" hidden="false" customHeight="true" outlineLevel="0" collapsed="false">
      <c r="A126" s="113" t="s">
        <v>1026</v>
      </c>
      <c r="E126" s="80"/>
      <c r="F126" s="810"/>
      <c r="G126" s="138"/>
      <c r="H126" s="811" t="s">
        <v>1116</v>
      </c>
      <c r="I126" s="831"/>
      <c r="J126" s="335"/>
      <c r="K126" s="333"/>
      <c r="L126" s="204"/>
      <c r="M126" s="198"/>
      <c r="N126" s="837"/>
      <c r="O126" s="838"/>
      <c r="P126" s="76"/>
      <c r="Q126" s="335"/>
      <c r="R126" s="839"/>
      <c r="S126" s="839"/>
      <c r="T126" s="839"/>
      <c r="U126" s="839"/>
      <c r="V126" s="839"/>
      <c r="W126" s="839"/>
      <c r="X126" s="839"/>
      <c r="Y126" s="839"/>
      <c r="Z126" s="844"/>
      <c r="AA126" s="845" t="n">
        <v>1</v>
      </c>
      <c r="AB126" s="846" t="s">
        <v>1069</v>
      </c>
      <c r="AC126" s="756" t="n">
        <v>108.48</v>
      </c>
      <c r="AD126" s="846" t="str">
        <f aca="false">AB126</f>
        <v>Прочие амортизационные отчисления</v>
      </c>
      <c r="AE126" s="756" t="n">
        <v>270.88</v>
      </c>
      <c r="AF126" s="835"/>
      <c r="AG126" s="836"/>
      <c r="AH126" s="836"/>
      <c r="AI126" s="835"/>
      <c r="AJ126" s="836"/>
      <c r="AK126" s="836"/>
      <c r="AL126" s="809"/>
      <c r="AM126" s="132"/>
      <c r="AN126" s="132"/>
      <c r="AO126" s="132"/>
      <c r="AP126" s="132"/>
      <c r="AQ126" s="132"/>
      <c r="AR126" s="132"/>
      <c r="AS126" s="132"/>
      <c r="AT126" s="132"/>
      <c r="AU126" s="132"/>
      <c r="AV126" s="132"/>
      <c r="AW126" s="132"/>
      <c r="AX126" s="132"/>
      <c r="AY126" s="132"/>
      <c r="AZ126" s="132"/>
      <c r="BA126" s="132"/>
      <c r="BB126" s="132"/>
      <c r="BC126" s="132"/>
      <c r="BD126" s="132"/>
      <c r="BE126" s="132"/>
      <c r="BF126" s="132"/>
    </row>
    <row r="127" customFormat="false" ht="11.25" hidden="false" customHeight="true" outlineLevel="0" collapsed="false">
      <c r="A127" s="113" t="s">
        <v>1026</v>
      </c>
      <c r="E127" s="80"/>
      <c r="F127" s="810"/>
      <c r="G127" s="138"/>
      <c r="H127" s="811" t="s">
        <v>1116</v>
      </c>
      <c r="I127" s="831"/>
      <c r="J127" s="335"/>
      <c r="K127" s="333"/>
      <c r="L127" s="204"/>
      <c r="M127" s="198"/>
      <c r="N127" s="837"/>
      <c r="O127" s="838"/>
      <c r="P127" s="76"/>
      <c r="Q127" s="335"/>
      <c r="R127" s="839"/>
      <c r="S127" s="839"/>
      <c r="T127" s="839"/>
      <c r="U127" s="839"/>
      <c r="V127" s="839"/>
      <c r="W127" s="839"/>
      <c r="X127" s="839"/>
      <c r="Y127" s="839"/>
      <c r="Z127" s="840"/>
      <c r="AA127" s="841"/>
      <c r="AB127" s="161" t="s">
        <v>1071</v>
      </c>
      <c r="AC127" s="842"/>
      <c r="AD127" s="842"/>
      <c r="AE127" s="847"/>
      <c r="AF127" s="835"/>
      <c r="AG127" s="836"/>
      <c r="AH127" s="836"/>
      <c r="AI127" s="835"/>
      <c r="AJ127" s="836"/>
      <c r="AK127" s="836"/>
      <c r="AL127" s="809"/>
      <c r="AM127" s="132"/>
      <c r="AN127" s="132"/>
      <c r="AO127" s="132"/>
      <c r="AP127" s="132"/>
      <c r="AQ127" s="132"/>
      <c r="AR127" s="132"/>
      <c r="AS127" s="132"/>
      <c r="AT127" s="132"/>
      <c r="AU127" s="132"/>
      <c r="AV127" s="132"/>
      <c r="AW127" s="132"/>
      <c r="AX127" s="132"/>
      <c r="AY127" s="132"/>
      <c r="AZ127" s="132"/>
      <c r="BA127" s="132"/>
      <c r="BB127" s="132"/>
      <c r="BC127" s="132"/>
      <c r="BD127" s="132"/>
      <c r="BE127" s="132"/>
      <c r="BF127" s="132"/>
    </row>
    <row r="128" customFormat="false" ht="11.25" hidden="false" customHeight="true" outlineLevel="0" collapsed="false">
      <c r="A128" s="113" t="s">
        <v>1026</v>
      </c>
      <c r="E128" s="80"/>
      <c r="F128" s="810"/>
      <c r="G128" s="138"/>
      <c r="H128" s="811" t="s">
        <v>1116</v>
      </c>
      <c r="I128" s="831"/>
      <c r="J128" s="335"/>
      <c r="K128" s="333"/>
      <c r="L128" s="204"/>
      <c r="M128" s="198"/>
      <c r="N128" s="840"/>
      <c r="O128" s="841"/>
      <c r="P128" s="161" t="s">
        <v>1072</v>
      </c>
      <c r="Q128" s="841"/>
      <c r="R128" s="841"/>
      <c r="S128" s="841"/>
      <c r="T128" s="841"/>
      <c r="U128" s="841"/>
      <c r="V128" s="841"/>
      <c r="W128" s="841"/>
      <c r="X128" s="841"/>
      <c r="Y128" s="841"/>
      <c r="Z128" s="841"/>
      <c r="AA128" s="841"/>
      <c r="AB128" s="841"/>
      <c r="AC128" s="841"/>
      <c r="AD128" s="841"/>
      <c r="AE128" s="848"/>
      <c r="AF128" s="835"/>
      <c r="AG128" s="836"/>
      <c r="AH128" s="836"/>
      <c r="AI128" s="835"/>
      <c r="AJ128" s="836"/>
      <c r="AK128" s="836"/>
      <c r="AL128" s="809"/>
      <c r="AM128" s="132"/>
      <c r="AN128" s="132"/>
      <c r="AO128" s="132"/>
      <c r="AP128" s="132"/>
      <c r="AQ128" s="132"/>
      <c r="AR128" s="132"/>
      <c r="AS128" s="132"/>
      <c r="AT128" s="132"/>
      <c r="AU128" s="132"/>
      <c r="AV128" s="132"/>
      <c r="AW128" s="132"/>
      <c r="AX128" s="132"/>
      <c r="AY128" s="132"/>
      <c r="AZ128" s="132"/>
      <c r="BA128" s="132"/>
      <c r="BB128" s="132"/>
      <c r="BC128" s="132"/>
      <c r="BD128" s="132"/>
      <c r="BE128" s="132"/>
      <c r="BF128" s="132"/>
    </row>
    <row r="129" customFormat="false" ht="11.25" hidden="false" customHeight="true" outlineLevel="0" collapsed="false">
      <c r="A129" s="113" t="s">
        <v>1026</v>
      </c>
      <c r="E129" s="80"/>
      <c r="F129" s="810"/>
      <c r="G129" s="138" t="s">
        <v>103</v>
      </c>
      <c r="H129" s="811" t="s">
        <v>1126</v>
      </c>
      <c r="I129" s="831"/>
      <c r="J129" s="335"/>
      <c r="K129" s="333" t="s">
        <v>1127</v>
      </c>
      <c r="L129" s="204" t="s">
        <v>19</v>
      </c>
      <c r="M129" s="198"/>
      <c r="N129" s="832"/>
      <c r="O129" s="833" t="s">
        <v>389</v>
      </c>
      <c r="P129" s="834"/>
      <c r="Q129" s="834"/>
      <c r="R129" s="834"/>
      <c r="S129" s="834"/>
      <c r="T129" s="834"/>
      <c r="U129" s="834"/>
      <c r="V129" s="834"/>
      <c r="W129" s="834"/>
      <c r="X129" s="834"/>
      <c r="Y129" s="834"/>
      <c r="Z129" s="834"/>
      <c r="AA129" s="834"/>
      <c r="AB129" s="834"/>
      <c r="AC129" s="834"/>
      <c r="AD129" s="834"/>
      <c r="AE129" s="834"/>
      <c r="AF129" s="835" t="n">
        <v>2019</v>
      </c>
      <c r="AG129" s="836" t="s">
        <v>1059</v>
      </c>
      <c r="AH129" s="836" t="s">
        <v>1060</v>
      </c>
      <c r="AI129" s="835" t="n">
        <v>2019</v>
      </c>
      <c r="AJ129" s="836" t="s">
        <v>1079</v>
      </c>
      <c r="AK129" s="836" t="s">
        <v>1062</v>
      </c>
      <c r="AL129" s="809"/>
      <c r="AM129" s="132"/>
      <c r="AN129" s="132"/>
      <c r="AO129" s="132"/>
      <c r="AP129" s="132"/>
      <c r="AQ129" s="132"/>
      <c r="AR129" s="132"/>
      <c r="AS129" s="132"/>
      <c r="AT129" s="132"/>
      <c r="AU129" s="132"/>
      <c r="AV129" s="132"/>
      <c r="AW129" s="132"/>
      <c r="AX129" s="132"/>
      <c r="AY129" s="132"/>
      <c r="AZ129" s="132"/>
      <c r="BA129" s="132"/>
      <c r="BB129" s="132"/>
      <c r="BC129" s="132"/>
      <c r="BD129" s="132"/>
      <c r="BE129" s="132"/>
      <c r="BF129" s="132"/>
    </row>
    <row r="130" customFormat="false" ht="11.25" hidden="false" customHeight="true" outlineLevel="0" collapsed="false">
      <c r="A130" s="113" t="s">
        <v>1026</v>
      </c>
      <c r="E130" s="80"/>
      <c r="F130" s="810"/>
      <c r="G130" s="138"/>
      <c r="H130" s="811" t="s">
        <v>1124</v>
      </c>
      <c r="I130" s="831"/>
      <c r="J130" s="335"/>
      <c r="K130" s="333"/>
      <c r="L130" s="204"/>
      <c r="M130" s="198"/>
      <c r="N130" s="837"/>
      <c r="O130" s="838" t="n">
        <v>1</v>
      </c>
      <c r="P130" s="76" t="s">
        <v>61</v>
      </c>
      <c r="Q130" s="335" t="s">
        <v>1118</v>
      </c>
      <c r="R130" s="839" t="s">
        <v>1119</v>
      </c>
      <c r="S130" s="839" t="s">
        <v>111</v>
      </c>
      <c r="T130" s="839" t="s">
        <v>112</v>
      </c>
      <c r="U130" s="839" t="s">
        <v>113</v>
      </c>
      <c r="V130" s="839" t="s">
        <v>1120</v>
      </c>
      <c r="W130" s="839" t="s">
        <v>1121</v>
      </c>
      <c r="X130" s="839" t="s">
        <v>1122</v>
      </c>
      <c r="Y130" s="839" t="s">
        <v>1123</v>
      </c>
      <c r="Z130" s="840"/>
      <c r="AA130" s="841"/>
      <c r="AB130" s="841"/>
      <c r="AC130" s="842"/>
      <c r="AD130" s="842"/>
      <c r="AE130" s="843"/>
      <c r="AF130" s="835"/>
      <c r="AG130" s="836"/>
      <c r="AH130" s="836"/>
      <c r="AI130" s="835"/>
      <c r="AJ130" s="836"/>
      <c r="AK130" s="836"/>
      <c r="AL130" s="809"/>
      <c r="AM130" s="132"/>
      <c r="AN130" s="132"/>
      <c r="AO130" s="132"/>
      <c r="AP130" s="132"/>
      <c r="AQ130" s="132"/>
      <c r="AR130" s="132"/>
      <c r="AS130" s="132"/>
      <c r="AT130" s="132"/>
      <c r="AU130" s="132"/>
      <c r="AV130" s="132"/>
      <c r="AW130" s="132"/>
      <c r="AX130" s="132"/>
      <c r="AY130" s="132"/>
      <c r="AZ130" s="132"/>
      <c r="BA130" s="132"/>
      <c r="BB130" s="132"/>
      <c r="BC130" s="132"/>
      <c r="BD130" s="132"/>
      <c r="BE130" s="132"/>
      <c r="BF130" s="132"/>
    </row>
    <row r="131" customFormat="false" ht="11.25" hidden="false" customHeight="true" outlineLevel="0" collapsed="false">
      <c r="A131" s="113" t="s">
        <v>1026</v>
      </c>
      <c r="E131" s="80"/>
      <c r="F131" s="810"/>
      <c r="G131" s="138"/>
      <c r="H131" s="811" t="s">
        <v>1124</v>
      </c>
      <c r="I131" s="831"/>
      <c r="J131" s="335"/>
      <c r="K131" s="333"/>
      <c r="L131" s="204"/>
      <c r="M131" s="198"/>
      <c r="N131" s="837"/>
      <c r="O131" s="838"/>
      <c r="P131" s="76"/>
      <c r="Q131" s="335"/>
      <c r="R131" s="839"/>
      <c r="S131" s="839"/>
      <c r="T131" s="839"/>
      <c r="U131" s="839"/>
      <c r="V131" s="839"/>
      <c r="W131" s="839"/>
      <c r="X131" s="839"/>
      <c r="Y131" s="839"/>
      <c r="Z131" s="844"/>
      <c r="AA131" s="845" t="n">
        <v>1</v>
      </c>
      <c r="AB131" s="846" t="s">
        <v>1069</v>
      </c>
      <c r="AC131" s="756" t="n">
        <v>1048.6</v>
      </c>
      <c r="AD131" s="846" t="str">
        <f aca="false">AB131</f>
        <v>Прочие амортизационные отчисления</v>
      </c>
      <c r="AE131" s="756" t="n">
        <v>2355.51</v>
      </c>
      <c r="AF131" s="835"/>
      <c r="AG131" s="836"/>
      <c r="AH131" s="836"/>
      <c r="AI131" s="835"/>
      <c r="AJ131" s="836"/>
      <c r="AK131" s="836"/>
      <c r="AL131" s="809"/>
      <c r="AM131" s="132"/>
      <c r="AN131" s="132"/>
      <c r="AO131" s="132"/>
      <c r="AP131" s="132"/>
      <c r="AQ131" s="132"/>
      <c r="AR131" s="132"/>
      <c r="AS131" s="132"/>
      <c r="AT131" s="132"/>
      <c r="AU131" s="132"/>
      <c r="AV131" s="132"/>
      <c r="AW131" s="132"/>
      <c r="AX131" s="132"/>
      <c r="AY131" s="132"/>
      <c r="AZ131" s="132"/>
      <c r="BA131" s="132"/>
      <c r="BB131" s="132"/>
      <c r="BC131" s="132"/>
      <c r="BD131" s="132"/>
      <c r="BE131" s="132"/>
      <c r="BF131" s="132"/>
    </row>
    <row r="132" customFormat="false" ht="11.25" hidden="false" customHeight="true" outlineLevel="0" collapsed="false">
      <c r="A132" s="113" t="s">
        <v>1026</v>
      </c>
      <c r="E132" s="80"/>
      <c r="F132" s="810"/>
      <c r="G132" s="138"/>
      <c r="H132" s="811" t="s">
        <v>1124</v>
      </c>
      <c r="I132" s="831"/>
      <c r="J132" s="335"/>
      <c r="K132" s="333"/>
      <c r="L132" s="204"/>
      <c r="M132" s="198"/>
      <c r="N132" s="837"/>
      <c r="O132" s="838"/>
      <c r="P132" s="76"/>
      <c r="Q132" s="335"/>
      <c r="R132" s="839"/>
      <c r="S132" s="839"/>
      <c r="T132" s="839"/>
      <c r="U132" s="839"/>
      <c r="V132" s="839"/>
      <c r="W132" s="839"/>
      <c r="X132" s="839"/>
      <c r="Y132" s="839"/>
      <c r="Z132" s="840"/>
      <c r="AA132" s="841"/>
      <c r="AB132" s="161" t="s">
        <v>1071</v>
      </c>
      <c r="AC132" s="842"/>
      <c r="AD132" s="842"/>
      <c r="AE132" s="847"/>
      <c r="AF132" s="835"/>
      <c r="AG132" s="836"/>
      <c r="AH132" s="836"/>
      <c r="AI132" s="835"/>
      <c r="AJ132" s="836"/>
      <c r="AK132" s="836"/>
      <c r="AL132" s="809"/>
      <c r="AM132" s="132"/>
      <c r="AN132" s="132"/>
      <c r="AO132" s="132"/>
      <c r="AP132" s="132"/>
      <c r="AQ132" s="132"/>
      <c r="AR132" s="132"/>
      <c r="AS132" s="132"/>
      <c r="AT132" s="132"/>
      <c r="AU132" s="132"/>
      <c r="AV132" s="132"/>
      <c r="AW132" s="132"/>
      <c r="AX132" s="132"/>
      <c r="AY132" s="132"/>
      <c r="AZ132" s="132"/>
      <c r="BA132" s="132"/>
      <c r="BB132" s="132"/>
      <c r="BC132" s="132"/>
      <c r="BD132" s="132"/>
      <c r="BE132" s="132"/>
      <c r="BF132" s="132"/>
    </row>
    <row r="133" customFormat="false" ht="11.25" hidden="false" customHeight="true" outlineLevel="0" collapsed="false">
      <c r="A133" s="113" t="s">
        <v>1026</v>
      </c>
      <c r="E133" s="80"/>
      <c r="F133" s="810"/>
      <c r="G133" s="138"/>
      <c r="H133" s="811" t="s">
        <v>1124</v>
      </c>
      <c r="I133" s="831"/>
      <c r="J133" s="335"/>
      <c r="K133" s="333"/>
      <c r="L133" s="204"/>
      <c r="M133" s="198"/>
      <c r="N133" s="840"/>
      <c r="O133" s="841"/>
      <c r="P133" s="161" t="s">
        <v>1072</v>
      </c>
      <c r="Q133" s="841"/>
      <c r="R133" s="841"/>
      <c r="S133" s="841"/>
      <c r="T133" s="841"/>
      <c r="U133" s="841"/>
      <c r="V133" s="841"/>
      <c r="W133" s="841"/>
      <c r="X133" s="841"/>
      <c r="Y133" s="841"/>
      <c r="Z133" s="841"/>
      <c r="AA133" s="841"/>
      <c r="AB133" s="841"/>
      <c r="AC133" s="841"/>
      <c r="AD133" s="841"/>
      <c r="AE133" s="848"/>
      <c r="AF133" s="835"/>
      <c r="AG133" s="836"/>
      <c r="AH133" s="836"/>
      <c r="AI133" s="835"/>
      <c r="AJ133" s="836"/>
      <c r="AK133" s="836"/>
      <c r="AL133" s="809"/>
      <c r="AM133" s="132"/>
      <c r="AN133" s="132"/>
      <c r="AO133" s="132"/>
      <c r="AP133" s="132"/>
      <c r="AQ133" s="132"/>
      <c r="AR133" s="132"/>
      <c r="AS133" s="132"/>
      <c r="AT133" s="132"/>
      <c r="AU133" s="132"/>
      <c r="AV133" s="132"/>
      <c r="AW133" s="132"/>
      <c r="AX133" s="132"/>
      <c r="AY133" s="132"/>
      <c r="AZ133" s="132"/>
      <c r="BA133" s="132"/>
      <c r="BB133" s="132"/>
      <c r="BC133" s="132"/>
      <c r="BD133" s="132"/>
      <c r="BE133" s="132"/>
      <c r="BF133" s="132"/>
    </row>
    <row r="134" customFormat="false" ht="11.25" hidden="false" customHeight="true" outlineLevel="0" collapsed="false">
      <c r="A134" s="113" t="s">
        <v>1026</v>
      </c>
      <c r="E134" s="80"/>
      <c r="F134" s="810"/>
      <c r="G134" s="138" t="s">
        <v>103</v>
      </c>
      <c r="H134" s="811" t="s">
        <v>1128</v>
      </c>
      <c r="I134" s="831"/>
      <c r="J134" s="335"/>
      <c r="K134" s="333" t="s">
        <v>1129</v>
      </c>
      <c r="L134" s="204" t="s">
        <v>19</v>
      </c>
      <c r="M134" s="198"/>
      <c r="N134" s="832"/>
      <c r="O134" s="833" t="s">
        <v>389</v>
      </c>
      <c r="P134" s="834"/>
      <c r="Q134" s="834"/>
      <c r="R134" s="834"/>
      <c r="S134" s="834"/>
      <c r="T134" s="834"/>
      <c r="U134" s="834"/>
      <c r="V134" s="834"/>
      <c r="W134" s="834"/>
      <c r="X134" s="834"/>
      <c r="Y134" s="834"/>
      <c r="Z134" s="834"/>
      <c r="AA134" s="834"/>
      <c r="AB134" s="834"/>
      <c r="AC134" s="834"/>
      <c r="AD134" s="834"/>
      <c r="AE134" s="834"/>
      <c r="AF134" s="835" t="n">
        <v>2019</v>
      </c>
      <c r="AG134" s="836" t="s">
        <v>1059</v>
      </c>
      <c r="AH134" s="836" t="s">
        <v>1060</v>
      </c>
      <c r="AI134" s="835" t="n">
        <v>2019</v>
      </c>
      <c r="AJ134" s="836" t="s">
        <v>1061</v>
      </c>
      <c r="AK134" s="836" t="s">
        <v>1062</v>
      </c>
      <c r="AL134" s="809"/>
      <c r="AM134" s="132"/>
      <c r="AN134" s="132"/>
      <c r="AO134" s="132"/>
      <c r="AP134" s="132"/>
      <c r="AQ134" s="132"/>
      <c r="AR134" s="132"/>
      <c r="AS134" s="132"/>
      <c r="AT134" s="132"/>
      <c r="AU134" s="132"/>
      <c r="AV134" s="132"/>
      <c r="AW134" s="132"/>
      <c r="AX134" s="132"/>
      <c r="AY134" s="132"/>
      <c r="AZ134" s="132"/>
      <c r="BA134" s="132"/>
      <c r="BB134" s="132"/>
      <c r="BC134" s="132"/>
      <c r="BD134" s="132"/>
      <c r="BE134" s="132"/>
      <c r="BF134" s="132"/>
    </row>
    <row r="135" customFormat="false" ht="11.25" hidden="false" customHeight="true" outlineLevel="0" collapsed="false">
      <c r="A135" s="113" t="s">
        <v>1026</v>
      </c>
      <c r="E135" s="80"/>
      <c r="F135" s="810"/>
      <c r="G135" s="138"/>
      <c r="H135" s="811" t="s">
        <v>1126</v>
      </c>
      <c r="I135" s="831"/>
      <c r="J135" s="335"/>
      <c r="K135" s="333"/>
      <c r="L135" s="204"/>
      <c r="M135" s="198"/>
      <c r="N135" s="837"/>
      <c r="O135" s="838" t="n">
        <v>1</v>
      </c>
      <c r="P135" s="76" t="s">
        <v>61</v>
      </c>
      <c r="Q135" s="335" t="s">
        <v>1118</v>
      </c>
      <c r="R135" s="839" t="s">
        <v>1119</v>
      </c>
      <c r="S135" s="839" t="s">
        <v>111</v>
      </c>
      <c r="T135" s="839" t="s">
        <v>112</v>
      </c>
      <c r="U135" s="839" t="s">
        <v>113</v>
      </c>
      <c r="V135" s="839" t="s">
        <v>1120</v>
      </c>
      <c r="W135" s="839" t="s">
        <v>1121</v>
      </c>
      <c r="X135" s="839" t="s">
        <v>1122</v>
      </c>
      <c r="Y135" s="839" t="s">
        <v>1123</v>
      </c>
      <c r="Z135" s="840"/>
      <c r="AA135" s="841"/>
      <c r="AB135" s="841"/>
      <c r="AC135" s="842"/>
      <c r="AD135" s="842"/>
      <c r="AE135" s="843"/>
      <c r="AF135" s="835"/>
      <c r="AG135" s="836"/>
      <c r="AH135" s="836"/>
      <c r="AI135" s="835"/>
      <c r="AJ135" s="836"/>
      <c r="AK135" s="836"/>
      <c r="AL135" s="809"/>
      <c r="AM135" s="132"/>
      <c r="AN135" s="132"/>
      <c r="AO135" s="132"/>
      <c r="AP135" s="132"/>
      <c r="AQ135" s="132"/>
      <c r="AR135" s="132"/>
      <c r="AS135" s="132"/>
      <c r="AT135" s="132"/>
      <c r="AU135" s="132"/>
      <c r="AV135" s="132"/>
      <c r="AW135" s="132"/>
      <c r="AX135" s="132"/>
      <c r="AY135" s="132"/>
      <c r="AZ135" s="132"/>
      <c r="BA135" s="132"/>
      <c r="BB135" s="132"/>
      <c r="BC135" s="132"/>
      <c r="BD135" s="132"/>
      <c r="BE135" s="132"/>
      <c r="BF135" s="132"/>
    </row>
    <row r="136" customFormat="false" ht="11.25" hidden="false" customHeight="true" outlineLevel="0" collapsed="false">
      <c r="A136" s="113" t="s">
        <v>1026</v>
      </c>
      <c r="E136" s="80"/>
      <c r="F136" s="810"/>
      <c r="G136" s="138"/>
      <c r="H136" s="811" t="s">
        <v>1126</v>
      </c>
      <c r="I136" s="831"/>
      <c r="J136" s="335"/>
      <c r="K136" s="333"/>
      <c r="L136" s="204"/>
      <c r="M136" s="198"/>
      <c r="N136" s="837"/>
      <c r="O136" s="838"/>
      <c r="P136" s="76"/>
      <c r="Q136" s="335"/>
      <c r="R136" s="839"/>
      <c r="S136" s="839"/>
      <c r="T136" s="839"/>
      <c r="U136" s="839"/>
      <c r="V136" s="839"/>
      <c r="W136" s="839"/>
      <c r="X136" s="839"/>
      <c r="Y136" s="839"/>
      <c r="Z136" s="844"/>
      <c r="AA136" s="845" t="n">
        <v>1</v>
      </c>
      <c r="AB136" s="846" t="s">
        <v>1069</v>
      </c>
      <c r="AC136" s="756" t="n">
        <v>141.35</v>
      </c>
      <c r="AD136" s="846" t="str">
        <f aca="false">AB136</f>
        <v>Прочие амортизационные отчисления</v>
      </c>
      <c r="AE136" s="756" t="n">
        <v>771.05</v>
      </c>
      <c r="AF136" s="835"/>
      <c r="AG136" s="836"/>
      <c r="AH136" s="836"/>
      <c r="AI136" s="835"/>
      <c r="AJ136" s="836"/>
      <c r="AK136" s="836"/>
      <c r="AL136" s="809"/>
      <c r="AM136" s="132"/>
      <c r="AN136" s="132"/>
      <c r="AO136" s="132"/>
      <c r="AP136" s="132"/>
      <c r="AQ136" s="132"/>
      <c r="AR136" s="132"/>
      <c r="AS136" s="132"/>
      <c r="AT136" s="132"/>
      <c r="AU136" s="132"/>
      <c r="AV136" s="132"/>
      <c r="AW136" s="132"/>
      <c r="AX136" s="132"/>
      <c r="AY136" s="132"/>
      <c r="AZ136" s="132"/>
      <c r="BA136" s="132"/>
      <c r="BB136" s="132"/>
      <c r="BC136" s="132"/>
      <c r="BD136" s="132"/>
      <c r="BE136" s="132"/>
      <c r="BF136" s="132"/>
    </row>
    <row r="137" customFormat="false" ht="11.25" hidden="false" customHeight="true" outlineLevel="0" collapsed="false">
      <c r="A137" s="113" t="s">
        <v>1026</v>
      </c>
      <c r="E137" s="80"/>
      <c r="F137" s="810"/>
      <c r="G137" s="138"/>
      <c r="H137" s="811" t="s">
        <v>1126</v>
      </c>
      <c r="I137" s="831"/>
      <c r="J137" s="335"/>
      <c r="K137" s="333"/>
      <c r="L137" s="204"/>
      <c r="M137" s="198"/>
      <c r="N137" s="837"/>
      <c r="O137" s="838"/>
      <c r="P137" s="76"/>
      <c r="Q137" s="335"/>
      <c r="R137" s="839"/>
      <c r="S137" s="839"/>
      <c r="T137" s="839"/>
      <c r="U137" s="839"/>
      <c r="V137" s="839"/>
      <c r="W137" s="839"/>
      <c r="X137" s="839"/>
      <c r="Y137" s="839"/>
      <c r="Z137" s="840"/>
      <c r="AA137" s="841"/>
      <c r="AB137" s="161" t="s">
        <v>1071</v>
      </c>
      <c r="AC137" s="842"/>
      <c r="AD137" s="842"/>
      <c r="AE137" s="847"/>
      <c r="AF137" s="835"/>
      <c r="AG137" s="836"/>
      <c r="AH137" s="836"/>
      <c r="AI137" s="835"/>
      <c r="AJ137" s="836"/>
      <c r="AK137" s="836"/>
      <c r="AL137" s="809"/>
      <c r="AM137" s="132"/>
      <c r="AN137" s="132"/>
      <c r="AO137" s="132"/>
      <c r="AP137" s="132"/>
      <c r="AQ137" s="132"/>
      <c r="AR137" s="132"/>
      <c r="AS137" s="132"/>
      <c r="AT137" s="132"/>
      <c r="AU137" s="132"/>
      <c r="AV137" s="132"/>
      <c r="AW137" s="132"/>
      <c r="AX137" s="132"/>
      <c r="AY137" s="132"/>
      <c r="AZ137" s="132"/>
      <c r="BA137" s="132"/>
      <c r="BB137" s="132"/>
      <c r="BC137" s="132"/>
      <c r="BD137" s="132"/>
      <c r="BE137" s="132"/>
      <c r="BF137" s="132"/>
    </row>
    <row r="138" customFormat="false" ht="11.25" hidden="false" customHeight="true" outlineLevel="0" collapsed="false">
      <c r="A138" s="113" t="s">
        <v>1026</v>
      </c>
      <c r="E138" s="80"/>
      <c r="F138" s="810"/>
      <c r="G138" s="138"/>
      <c r="H138" s="811" t="s">
        <v>1126</v>
      </c>
      <c r="I138" s="831"/>
      <c r="J138" s="335"/>
      <c r="K138" s="333"/>
      <c r="L138" s="204"/>
      <c r="M138" s="198"/>
      <c r="N138" s="840"/>
      <c r="O138" s="841"/>
      <c r="P138" s="161" t="s">
        <v>1072</v>
      </c>
      <c r="Q138" s="841"/>
      <c r="R138" s="841"/>
      <c r="S138" s="841"/>
      <c r="T138" s="841"/>
      <c r="U138" s="841"/>
      <c r="V138" s="841"/>
      <c r="W138" s="841"/>
      <c r="X138" s="841"/>
      <c r="Y138" s="841"/>
      <c r="Z138" s="841"/>
      <c r="AA138" s="841"/>
      <c r="AB138" s="841"/>
      <c r="AC138" s="841"/>
      <c r="AD138" s="841"/>
      <c r="AE138" s="848"/>
      <c r="AF138" s="835"/>
      <c r="AG138" s="836"/>
      <c r="AH138" s="836"/>
      <c r="AI138" s="835"/>
      <c r="AJ138" s="836"/>
      <c r="AK138" s="836"/>
      <c r="AL138" s="809"/>
      <c r="AM138" s="132"/>
      <c r="AN138" s="132"/>
      <c r="AO138" s="132"/>
      <c r="AP138" s="132"/>
      <c r="AQ138" s="132"/>
      <c r="AR138" s="132"/>
      <c r="AS138" s="132"/>
      <c r="AT138" s="132"/>
      <c r="AU138" s="132"/>
      <c r="AV138" s="132"/>
      <c r="AW138" s="132"/>
      <c r="AX138" s="132"/>
      <c r="AY138" s="132"/>
      <c r="AZ138" s="132"/>
      <c r="BA138" s="132"/>
      <c r="BB138" s="132"/>
      <c r="BC138" s="132"/>
      <c r="BD138" s="132"/>
      <c r="BE138" s="132"/>
      <c r="BF138" s="132"/>
    </row>
    <row r="139" customFormat="false" ht="11.25" hidden="false" customHeight="true" outlineLevel="0" collapsed="false">
      <c r="A139" s="113" t="s">
        <v>1026</v>
      </c>
      <c r="E139" s="80"/>
      <c r="F139" s="810"/>
      <c r="G139" s="138" t="s">
        <v>103</v>
      </c>
      <c r="H139" s="811" t="s">
        <v>1130</v>
      </c>
      <c r="I139" s="831"/>
      <c r="J139" s="335"/>
      <c r="K139" s="333" t="s">
        <v>1131</v>
      </c>
      <c r="L139" s="204" t="s">
        <v>19</v>
      </c>
      <c r="M139" s="198"/>
      <c r="N139" s="832"/>
      <c r="O139" s="833" t="s">
        <v>389</v>
      </c>
      <c r="P139" s="834"/>
      <c r="Q139" s="834"/>
      <c r="R139" s="834"/>
      <c r="S139" s="834"/>
      <c r="T139" s="834"/>
      <c r="U139" s="834"/>
      <c r="V139" s="834"/>
      <c r="W139" s="834"/>
      <c r="X139" s="834"/>
      <c r="Y139" s="834"/>
      <c r="Z139" s="834"/>
      <c r="AA139" s="834"/>
      <c r="AB139" s="834"/>
      <c r="AC139" s="834"/>
      <c r="AD139" s="834"/>
      <c r="AE139" s="834"/>
      <c r="AF139" s="835" t="n">
        <v>2019</v>
      </c>
      <c r="AG139" s="836" t="s">
        <v>1059</v>
      </c>
      <c r="AH139" s="836" t="s">
        <v>1060</v>
      </c>
      <c r="AI139" s="835" t="n">
        <v>2019</v>
      </c>
      <c r="AJ139" s="836" t="s">
        <v>1061</v>
      </c>
      <c r="AK139" s="836" t="s">
        <v>1062</v>
      </c>
      <c r="AL139" s="809"/>
      <c r="AM139" s="132"/>
      <c r="AN139" s="132"/>
      <c r="AO139" s="132"/>
      <c r="AP139" s="132"/>
      <c r="AQ139" s="132"/>
      <c r="AR139" s="132"/>
      <c r="AS139" s="132"/>
      <c r="AT139" s="132"/>
      <c r="AU139" s="132"/>
      <c r="AV139" s="132"/>
      <c r="AW139" s="132"/>
      <c r="AX139" s="132"/>
      <c r="AY139" s="132"/>
      <c r="AZ139" s="132"/>
      <c r="BA139" s="132"/>
      <c r="BB139" s="132"/>
      <c r="BC139" s="132"/>
      <c r="BD139" s="132"/>
      <c r="BE139" s="132"/>
      <c r="BF139" s="132"/>
    </row>
    <row r="140" customFormat="false" ht="11.25" hidden="false" customHeight="true" outlineLevel="0" collapsed="false">
      <c r="A140" s="113" t="s">
        <v>1026</v>
      </c>
      <c r="E140" s="80"/>
      <c r="F140" s="810"/>
      <c r="G140" s="138"/>
      <c r="H140" s="811" t="s">
        <v>1128</v>
      </c>
      <c r="I140" s="831"/>
      <c r="J140" s="335"/>
      <c r="K140" s="333"/>
      <c r="L140" s="204"/>
      <c r="M140" s="198"/>
      <c r="N140" s="837"/>
      <c r="O140" s="838" t="n">
        <v>1</v>
      </c>
      <c r="P140" s="76" t="s">
        <v>61</v>
      </c>
      <c r="Q140" s="335" t="s">
        <v>1118</v>
      </c>
      <c r="R140" s="839" t="s">
        <v>1119</v>
      </c>
      <c r="S140" s="839" t="s">
        <v>111</v>
      </c>
      <c r="T140" s="839" t="s">
        <v>112</v>
      </c>
      <c r="U140" s="839" t="s">
        <v>113</v>
      </c>
      <c r="V140" s="839" t="s">
        <v>1120</v>
      </c>
      <c r="W140" s="839" t="s">
        <v>1121</v>
      </c>
      <c r="X140" s="839" t="s">
        <v>1122</v>
      </c>
      <c r="Y140" s="839" t="s">
        <v>1123</v>
      </c>
      <c r="Z140" s="840"/>
      <c r="AA140" s="841"/>
      <c r="AB140" s="841"/>
      <c r="AC140" s="842"/>
      <c r="AD140" s="842"/>
      <c r="AE140" s="843"/>
      <c r="AF140" s="835"/>
      <c r="AG140" s="836"/>
      <c r="AH140" s="836"/>
      <c r="AI140" s="835"/>
      <c r="AJ140" s="836"/>
      <c r="AK140" s="836"/>
      <c r="AL140" s="809"/>
      <c r="AM140" s="132"/>
      <c r="AN140" s="132"/>
      <c r="AO140" s="132"/>
      <c r="AP140" s="132"/>
      <c r="AQ140" s="132"/>
      <c r="AR140" s="132"/>
      <c r="AS140" s="132"/>
      <c r="AT140" s="132"/>
      <c r="AU140" s="132"/>
      <c r="AV140" s="132"/>
      <c r="AW140" s="132"/>
      <c r="AX140" s="132"/>
      <c r="AY140" s="132"/>
      <c r="AZ140" s="132"/>
      <c r="BA140" s="132"/>
      <c r="BB140" s="132"/>
      <c r="BC140" s="132"/>
      <c r="BD140" s="132"/>
      <c r="BE140" s="132"/>
      <c r="BF140" s="132"/>
    </row>
    <row r="141" customFormat="false" ht="11.25" hidden="false" customHeight="true" outlineLevel="0" collapsed="false">
      <c r="A141" s="113" t="s">
        <v>1026</v>
      </c>
      <c r="E141" s="80"/>
      <c r="F141" s="810"/>
      <c r="G141" s="138"/>
      <c r="H141" s="811" t="s">
        <v>1128</v>
      </c>
      <c r="I141" s="831"/>
      <c r="J141" s="335"/>
      <c r="K141" s="333"/>
      <c r="L141" s="204"/>
      <c r="M141" s="198"/>
      <c r="N141" s="837"/>
      <c r="O141" s="838"/>
      <c r="P141" s="76"/>
      <c r="Q141" s="335"/>
      <c r="R141" s="839"/>
      <c r="S141" s="839"/>
      <c r="T141" s="839"/>
      <c r="U141" s="839"/>
      <c r="V141" s="839"/>
      <c r="W141" s="839"/>
      <c r="X141" s="839"/>
      <c r="Y141" s="839"/>
      <c r="Z141" s="844"/>
      <c r="AA141" s="845" t="n">
        <v>1</v>
      </c>
      <c r="AB141" s="846" t="s">
        <v>1069</v>
      </c>
      <c r="AC141" s="756" t="n">
        <v>196.72</v>
      </c>
      <c r="AD141" s="846" t="str">
        <f aca="false">AB141</f>
        <v>Прочие амортизационные отчисления</v>
      </c>
      <c r="AE141" s="756" t="n">
        <v>450.26</v>
      </c>
      <c r="AF141" s="835"/>
      <c r="AG141" s="836"/>
      <c r="AH141" s="836"/>
      <c r="AI141" s="835"/>
      <c r="AJ141" s="836"/>
      <c r="AK141" s="836"/>
      <c r="AL141" s="809"/>
      <c r="AM141" s="132"/>
      <c r="AN141" s="132"/>
      <c r="AO141" s="132"/>
      <c r="AP141" s="132"/>
      <c r="AQ141" s="132"/>
      <c r="AR141" s="132"/>
      <c r="AS141" s="132"/>
      <c r="AT141" s="132"/>
      <c r="AU141" s="132"/>
      <c r="AV141" s="132"/>
      <c r="AW141" s="132"/>
      <c r="AX141" s="132"/>
      <c r="AY141" s="132"/>
      <c r="AZ141" s="132"/>
      <c r="BA141" s="132"/>
      <c r="BB141" s="132"/>
      <c r="BC141" s="132"/>
      <c r="BD141" s="132"/>
      <c r="BE141" s="132"/>
      <c r="BF141" s="132"/>
    </row>
    <row r="142" customFormat="false" ht="11.25" hidden="false" customHeight="true" outlineLevel="0" collapsed="false">
      <c r="A142" s="113" t="s">
        <v>1026</v>
      </c>
      <c r="E142" s="80"/>
      <c r="F142" s="810"/>
      <c r="G142" s="138"/>
      <c r="H142" s="811" t="s">
        <v>1128</v>
      </c>
      <c r="I142" s="831"/>
      <c r="J142" s="335"/>
      <c r="K142" s="333"/>
      <c r="L142" s="204"/>
      <c r="M142" s="198"/>
      <c r="N142" s="837"/>
      <c r="O142" s="838"/>
      <c r="P142" s="76"/>
      <c r="Q142" s="335"/>
      <c r="R142" s="839"/>
      <c r="S142" s="839"/>
      <c r="T142" s="839"/>
      <c r="U142" s="839"/>
      <c r="V142" s="839"/>
      <c r="W142" s="839"/>
      <c r="X142" s="839"/>
      <c r="Y142" s="839"/>
      <c r="Z142" s="840"/>
      <c r="AA142" s="841"/>
      <c r="AB142" s="161" t="s">
        <v>1071</v>
      </c>
      <c r="AC142" s="842"/>
      <c r="AD142" s="842"/>
      <c r="AE142" s="847"/>
      <c r="AF142" s="835"/>
      <c r="AG142" s="836"/>
      <c r="AH142" s="836"/>
      <c r="AI142" s="835"/>
      <c r="AJ142" s="836"/>
      <c r="AK142" s="836"/>
      <c r="AL142" s="809"/>
      <c r="AM142" s="132"/>
      <c r="AN142" s="132"/>
      <c r="AO142" s="132"/>
      <c r="AP142" s="132"/>
      <c r="AQ142" s="132"/>
      <c r="AR142" s="132"/>
      <c r="AS142" s="132"/>
      <c r="AT142" s="132"/>
      <c r="AU142" s="132"/>
      <c r="AV142" s="132"/>
      <c r="AW142" s="132"/>
      <c r="AX142" s="132"/>
      <c r="AY142" s="132"/>
      <c r="AZ142" s="132"/>
      <c r="BA142" s="132"/>
      <c r="BB142" s="132"/>
      <c r="BC142" s="132"/>
      <c r="BD142" s="132"/>
      <c r="BE142" s="132"/>
      <c r="BF142" s="132"/>
    </row>
    <row r="143" customFormat="false" ht="11.25" hidden="false" customHeight="true" outlineLevel="0" collapsed="false">
      <c r="A143" s="113" t="s">
        <v>1026</v>
      </c>
      <c r="E143" s="80"/>
      <c r="F143" s="810"/>
      <c r="G143" s="138"/>
      <c r="H143" s="811" t="s">
        <v>1128</v>
      </c>
      <c r="I143" s="831"/>
      <c r="J143" s="335"/>
      <c r="K143" s="333"/>
      <c r="L143" s="204"/>
      <c r="M143" s="198"/>
      <c r="N143" s="840"/>
      <c r="O143" s="841"/>
      <c r="P143" s="161" t="s">
        <v>1072</v>
      </c>
      <c r="Q143" s="841"/>
      <c r="R143" s="841"/>
      <c r="S143" s="841"/>
      <c r="T143" s="841"/>
      <c r="U143" s="841"/>
      <c r="V143" s="841"/>
      <c r="W143" s="841"/>
      <c r="X143" s="841"/>
      <c r="Y143" s="841"/>
      <c r="Z143" s="841"/>
      <c r="AA143" s="841"/>
      <c r="AB143" s="841"/>
      <c r="AC143" s="841"/>
      <c r="AD143" s="841"/>
      <c r="AE143" s="848"/>
      <c r="AF143" s="835"/>
      <c r="AG143" s="836"/>
      <c r="AH143" s="836"/>
      <c r="AI143" s="835"/>
      <c r="AJ143" s="836"/>
      <c r="AK143" s="836"/>
      <c r="AL143" s="809"/>
      <c r="AM143" s="132"/>
      <c r="AN143" s="132"/>
      <c r="AO143" s="132"/>
      <c r="AP143" s="132"/>
      <c r="AQ143" s="132"/>
      <c r="AR143" s="132"/>
      <c r="AS143" s="132"/>
      <c r="AT143" s="132"/>
      <c r="AU143" s="132"/>
      <c r="AV143" s="132"/>
      <c r="AW143" s="132"/>
      <c r="AX143" s="132"/>
      <c r="AY143" s="132"/>
      <c r="AZ143" s="132"/>
      <c r="BA143" s="132"/>
      <c r="BB143" s="132"/>
      <c r="BC143" s="132"/>
      <c r="BD143" s="132"/>
      <c r="BE143" s="132"/>
      <c r="BF143" s="132"/>
    </row>
    <row r="144" customFormat="false" ht="11.25" hidden="false" customHeight="true" outlineLevel="0" collapsed="false">
      <c r="A144" s="113" t="s">
        <v>1026</v>
      </c>
      <c r="E144" s="80"/>
      <c r="F144" s="810"/>
      <c r="G144" s="138" t="s">
        <v>103</v>
      </c>
      <c r="H144" s="811" t="s">
        <v>1132</v>
      </c>
      <c r="I144" s="831"/>
      <c r="J144" s="335"/>
      <c r="K144" s="333" t="s">
        <v>1133</v>
      </c>
      <c r="L144" s="204" t="s">
        <v>19</v>
      </c>
      <c r="M144" s="198"/>
      <c r="N144" s="832"/>
      <c r="O144" s="833" t="s">
        <v>389</v>
      </c>
      <c r="P144" s="834"/>
      <c r="Q144" s="834"/>
      <c r="R144" s="834"/>
      <c r="S144" s="834"/>
      <c r="T144" s="834"/>
      <c r="U144" s="834"/>
      <c r="V144" s="834"/>
      <c r="W144" s="834"/>
      <c r="X144" s="834"/>
      <c r="Y144" s="834"/>
      <c r="Z144" s="834"/>
      <c r="AA144" s="834"/>
      <c r="AB144" s="834"/>
      <c r="AC144" s="834"/>
      <c r="AD144" s="834"/>
      <c r="AE144" s="834"/>
      <c r="AF144" s="835" t="n">
        <v>2019</v>
      </c>
      <c r="AG144" s="836" t="s">
        <v>1059</v>
      </c>
      <c r="AH144" s="836" t="s">
        <v>1060</v>
      </c>
      <c r="AI144" s="835" t="n">
        <v>2019</v>
      </c>
      <c r="AJ144" s="836" t="s">
        <v>1093</v>
      </c>
      <c r="AK144" s="836" t="s">
        <v>1060</v>
      </c>
      <c r="AL144" s="809"/>
      <c r="AM144" s="132"/>
      <c r="AN144" s="132"/>
      <c r="AO144" s="132"/>
      <c r="AP144" s="132"/>
      <c r="AQ144" s="132"/>
      <c r="AR144" s="132"/>
      <c r="AS144" s="132"/>
      <c r="AT144" s="132"/>
      <c r="AU144" s="132"/>
      <c r="AV144" s="132"/>
      <c r="AW144" s="132"/>
      <c r="AX144" s="132"/>
      <c r="AY144" s="132"/>
      <c r="AZ144" s="132"/>
      <c r="BA144" s="132"/>
      <c r="BB144" s="132"/>
      <c r="BC144" s="132"/>
      <c r="BD144" s="132"/>
      <c r="BE144" s="132"/>
      <c r="BF144" s="132"/>
    </row>
    <row r="145" customFormat="false" ht="11.25" hidden="false" customHeight="true" outlineLevel="0" collapsed="false">
      <c r="A145" s="113" t="s">
        <v>1026</v>
      </c>
      <c r="E145" s="80"/>
      <c r="F145" s="810"/>
      <c r="G145" s="138"/>
      <c r="H145" s="811" t="s">
        <v>1130</v>
      </c>
      <c r="I145" s="831"/>
      <c r="J145" s="335"/>
      <c r="K145" s="333"/>
      <c r="L145" s="204"/>
      <c r="M145" s="198"/>
      <c r="N145" s="837"/>
      <c r="O145" s="838" t="n">
        <v>1</v>
      </c>
      <c r="P145" s="76" t="s">
        <v>61</v>
      </c>
      <c r="Q145" s="335" t="s">
        <v>1118</v>
      </c>
      <c r="R145" s="839" t="s">
        <v>1119</v>
      </c>
      <c r="S145" s="839" t="s">
        <v>111</v>
      </c>
      <c r="T145" s="839" t="s">
        <v>112</v>
      </c>
      <c r="U145" s="839" t="s">
        <v>113</v>
      </c>
      <c r="V145" s="839" t="s">
        <v>1120</v>
      </c>
      <c r="W145" s="839" t="s">
        <v>1121</v>
      </c>
      <c r="X145" s="839" t="s">
        <v>1122</v>
      </c>
      <c r="Y145" s="839" t="s">
        <v>1123</v>
      </c>
      <c r="Z145" s="840"/>
      <c r="AA145" s="841"/>
      <c r="AB145" s="841"/>
      <c r="AC145" s="842"/>
      <c r="AD145" s="842"/>
      <c r="AE145" s="843"/>
      <c r="AF145" s="835"/>
      <c r="AG145" s="836"/>
      <c r="AH145" s="836"/>
      <c r="AI145" s="835"/>
      <c r="AJ145" s="836"/>
      <c r="AK145" s="836"/>
      <c r="AL145" s="809"/>
      <c r="AM145" s="132"/>
      <c r="AN145" s="132"/>
      <c r="AO145" s="132"/>
      <c r="AP145" s="132"/>
      <c r="AQ145" s="132"/>
      <c r="AR145" s="132"/>
      <c r="AS145" s="132"/>
      <c r="AT145" s="132"/>
      <c r="AU145" s="132"/>
      <c r="AV145" s="132"/>
      <c r="AW145" s="132"/>
      <c r="AX145" s="132"/>
      <c r="AY145" s="132"/>
      <c r="AZ145" s="132"/>
      <c r="BA145" s="132"/>
      <c r="BB145" s="132"/>
      <c r="BC145" s="132"/>
      <c r="BD145" s="132"/>
      <c r="BE145" s="132"/>
      <c r="BF145" s="132"/>
    </row>
    <row r="146" customFormat="false" ht="11.25" hidden="false" customHeight="true" outlineLevel="0" collapsed="false">
      <c r="A146" s="113" t="s">
        <v>1026</v>
      </c>
      <c r="E146" s="80"/>
      <c r="F146" s="810"/>
      <c r="G146" s="138"/>
      <c r="H146" s="811" t="s">
        <v>1130</v>
      </c>
      <c r="I146" s="831"/>
      <c r="J146" s="335"/>
      <c r="K146" s="333"/>
      <c r="L146" s="204"/>
      <c r="M146" s="198"/>
      <c r="N146" s="837"/>
      <c r="O146" s="838"/>
      <c r="P146" s="76"/>
      <c r="Q146" s="335"/>
      <c r="R146" s="839"/>
      <c r="S146" s="839"/>
      <c r="T146" s="839"/>
      <c r="U146" s="839"/>
      <c r="V146" s="839"/>
      <c r="W146" s="839"/>
      <c r="X146" s="839"/>
      <c r="Y146" s="839"/>
      <c r="Z146" s="844"/>
      <c r="AA146" s="845" t="n">
        <v>1</v>
      </c>
      <c r="AB146" s="846" t="s">
        <v>1069</v>
      </c>
      <c r="AC146" s="756" t="n">
        <v>322.66</v>
      </c>
      <c r="AD146" s="846" t="str">
        <f aca="false">AB146</f>
        <v>Прочие амортизационные отчисления</v>
      </c>
      <c r="AE146" s="756" t="n">
        <v>798.47</v>
      </c>
      <c r="AF146" s="835"/>
      <c r="AG146" s="836"/>
      <c r="AH146" s="836"/>
      <c r="AI146" s="835"/>
      <c r="AJ146" s="836"/>
      <c r="AK146" s="836"/>
      <c r="AL146" s="809"/>
      <c r="AM146" s="132"/>
      <c r="AN146" s="132"/>
      <c r="AO146" s="132"/>
      <c r="AP146" s="132"/>
      <c r="AQ146" s="132"/>
      <c r="AR146" s="132"/>
      <c r="AS146" s="132"/>
      <c r="AT146" s="132"/>
      <c r="AU146" s="132"/>
      <c r="AV146" s="132"/>
      <c r="AW146" s="132"/>
      <c r="AX146" s="132"/>
      <c r="AY146" s="132"/>
      <c r="AZ146" s="132"/>
      <c r="BA146" s="132"/>
      <c r="BB146" s="132"/>
      <c r="BC146" s="132"/>
      <c r="BD146" s="132"/>
      <c r="BE146" s="132"/>
      <c r="BF146" s="132"/>
    </row>
    <row r="147" customFormat="false" ht="11.25" hidden="false" customHeight="true" outlineLevel="0" collapsed="false">
      <c r="A147" s="113" t="s">
        <v>1026</v>
      </c>
      <c r="E147" s="80"/>
      <c r="F147" s="810"/>
      <c r="G147" s="138"/>
      <c r="H147" s="811" t="s">
        <v>1130</v>
      </c>
      <c r="I147" s="831"/>
      <c r="J147" s="335"/>
      <c r="K147" s="333"/>
      <c r="L147" s="204"/>
      <c r="M147" s="198"/>
      <c r="N147" s="837"/>
      <c r="O147" s="838"/>
      <c r="P147" s="76"/>
      <c r="Q147" s="335"/>
      <c r="R147" s="839"/>
      <c r="S147" s="839"/>
      <c r="T147" s="839"/>
      <c r="U147" s="839"/>
      <c r="V147" s="839"/>
      <c r="W147" s="839"/>
      <c r="X147" s="839"/>
      <c r="Y147" s="839"/>
      <c r="Z147" s="840"/>
      <c r="AA147" s="841"/>
      <c r="AB147" s="161" t="s">
        <v>1071</v>
      </c>
      <c r="AC147" s="842"/>
      <c r="AD147" s="842"/>
      <c r="AE147" s="847"/>
      <c r="AF147" s="835"/>
      <c r="AG147" s="836"/>
      <c r="AH147" s="836"/>
      <c r="AI147" s="835"/>
      <c r="AJ147" s="836"/>
      <c r="AK147" s="836"/>
      <c r="AL147" s="809"/>
      <c r="AM147" s="132"/>
      <c r="AN147" s="132"/>
      <c r="AO147" s="132"/>
      <c r="AP147" s="132"/>
      <c r="AQ147" s="132"/>
      <c r="AR147" s="132"/>
      <c r="AS147" s="132"/>
      <c r="AT147" s="132"/>
      <c r="AU147" s="132"/>
      <c r="AV147" s="132"/>
      <c r="AW147" s="132"/>
      <c r="AX147" s="132"/>
      <c r="AY147" s="132"/>
      <c r="AZ147" s="132"/>
      <c r="BA147" s="132"/>
      <c r="BB147" s="132"/>
      <c r="BC147" s="132"/>
      <c r="BD147" s="132"/>
      <c r="BE147" s="132"/>
      <c r="BF147" s="132"/>
    </row>
    <row r="148" customFormat="false" ht="11.25" hidden="false" customHeight="true" outlineLevel="0" collapsed="false">
      <c r="A148" s="113" t="s">
        <v>1026</v>
      </c>
      <c r="E148" s="80"/>
      <c r="F148" s="810"/>
      <c r="G148" s="138"/>
      <c r="H148" s="811" t="s">
        <v>1130</v>
      </c>
      <c r="I148" s="831"/>
      <c r="J148" s="335"/>
      <c r="K148" s="333"/>
      <c r="L148" s="204"/>
      <c r="M148" s="198"/>
      <c r="N148" s="840"/>
      <c r="O148" s="841"/>
      <c r="P148" s="161" t="s">
        <v>1072</v>
      </c>
      <c r="Q148" s="841"/>
      <c r="R148" s="841"/>
      <c r="S148" s="841"/>
      <c r="T148" s="841"/>
      <c r="U148" s="841"/>
      <c r="V148" s="841"/>
      <c r="W148" s="841"/>
      <c r="X148" s="841"/>
      <c r="Y148" s="841"/>
      <c r="Z148" s="841"/>
      <c r="AA148" s="841"/>
      <c r="AB148" s="841"/>
      <c r="AC148" s="841"/>
      <c r="AD148" s="841"/>
      <c r="AE148" s="848"/>
      <c r="AF148" s="835"/>
      <c r="AG148" s="836"/>
      <c r="AH148" s="836"/>
      <c r="AI148" s="835"/>
      <c r="AJ148" s="836"/>
      <c r="AK148" s="836"/>
      <c r="AL148" s="809"/>
      <c r="AM148" s="132"/>
      <c r="AN148" s="132"/>
      <c r="AO148" s="132"/>
      <c r="AP148" s="132"/>
      <c r="AQ148" s="132"/>
      <c r="AR148" s="132"/>
      <c r="AS148" s="132"/>
      <c r="AT148" s="132"/>
      <c r="AU148" s="132"/>
      <c r="AV148" s="132"/>
      <c r="AW148" s="132"/>
      <c r="AX148" s="132"/>
      <c r="AY148" s="132"/>
      <c r="AZ148" s="132"/>
      <c r="BA148" s="132"/>
      <c r="BB148" s="132"/>
      <c r="BC148" s="132"/>
      <c r="BD148" s="132"/>
      <c r="BE148" s="132"/>
      <c r="BF148" s="132"/>
    </row>
    <row r="149" customFormat="false" ht="11.25" hidden="false" customHeight="true" outlineLevel="0" collapsed="false">
      <c r="A149" s="113" t="s">
        <v>1026</v>
      </c>
      <c r="E149" s="80"/>
      <c r="F149" s="810"/>
      <c r="G149" s="138" t="s">
        <v>103</v>
      </c>
      <c r="H149" s="811" t="s">
        <v>1134</v>
      </c>
      <c r="I149" s="831"/>
      <c r="J149" s="335"/>
      <c r="K149" s="333" t="s">
        <v>1135</v>
      </c>
      <c r="L149" s="204" t="s">
        <v>19</v>
      </c>
      <c r="M149" s="198"/>
      <c r="N149" s="832"/>
      <c r="O149" s="833" t="s">
        <v>389</v>
      </c>
      <c r="P149" s="834"/>
      <c r="Q149" s="834"/>
      <c r="R149" s="834"/>
      <c r="S149" s="834"/>
      <c r="T149" s="834"/>
      <c r="U149" s="834"/>
      <c r="V149" s="834"/>
      <c r="W149" s="834"/>
      <c r="X149" s="834"/>
      <c r="Y149" s="834"/>
      <c r="Z149" s="834"/>
      <c r="AA149" s="834"/>
      <c r="AB149" s="834"/>
      <c r="AC149" s="834"/>
      <c r="AD149" s="834"/>
      <c r="AE149" s="834"/>
      <c r="AF149" s="835" t="n">
        <v>2019</v>
      </c>
      <c r="AG149" s="836" t="s">
        <v>1059</v>
      </c>
      <c r="AH149" s="836" t="s">
        <v>1060</v>
      </c>
      <c r="AI149" s="835" t="n">
        <v>2022</v>
      </c>
      <c r="AJ149" s="836" t="s">
        <v>1076</v>
      </c>
      <c r="AK149" s="836" t="s">
        <v>1096</v>
      </c>
      <c r="AL149" s="809"/>
      <c r="AM149" s="132"/>
      <c r="AN149" s="132"/>
      <c r="AO149" s="132"/>
      <c r="AP149" s="132"/>
      <c r="AQ149" s="132"/>
      <c r="AR149" s="132"/>
      <c r="AS149" s="132"/>
      <c r="AT149" s="132"/>
      <c r="AU149" s="132"/>
      <c r="AV149" s="132"/>
      <c r="AW149" s="132"/>
      <c r="AX149" s="132"/>
      <c r="AY149" s="132"/>
      <c r="AZ149" s="132"/>
      <c r="BA149" s="132"/>
      <c r="BB149" s="132"/>
      <c r="BC149" s="132"/>
      <c r="BD149" s="132"/>
      <c r="BE149" s="132"/>
      <c r="BF149" s="132"/>
    </row>
    <row r="150" customFormat="false" ht="11.25" hidden="false" customHeight="true" outlineLevel="0" collapsed="false">
      <c r="A150" s="113" t="s">
        <v>1026</v>
      </c>
      <c r="E150" s="80"/>
      <c r="F150" s="810"/>
      <c r="G150" s="138"/>
      <c r="H150" s="811" t="s">
        <v>1132</v>
      </c>
      <c r="I150" s="831"/>
      <c r="J150" s="335"/>
      <c r="K150" s="333"/>
      <c r="L150" s="204"/>
      <c r="M150" s="198"/>
      <c r="N150" s="837"/>
      <c r="O150" s="838" t="n">
        <v>1</v>
      </c>
      <c r="P150" s="76" t="s">
        <v>61</v>
      </c>
      <c r="Q150" s="335" t="s">
        <v>1080</v>
      </c>
      <c r="R150" s="839" t="s">
        <v>1064</v>
      </c>
      <c r="S150" s="839" t="s">
        <v>99</v>
      </c>
      <c r="T150" s="839" t="s">
        <v>99</v>
      </c>
      <c r="U150" s="839" t="s">
        <v>100</v>
      </c>
      <c r="V150" s="839" t="s">
        <v>1065</v>
      </c>
      <c r="W150" s="839" t="s">
        <v>1066</v>
      </c>
      <c r="X150" s="839" t="s">
        <v>1081</v>
      </c>
      <c r="Y150" s="839" t="s">
        <v>1082</v>
      </c>
      <c r="Z150" s="840"/>
      <c r="AA150" s="841"/>
      <c r="AB150" s="841"/>
      <c r="AC150" s="842"/>
      <c r="AD150" s="842"/>
      <c r="AE150" s="843"/>
      <c r="AF150" s="835"/>
      <c r="AG150" s="836"/>
      <c r="AH150" s="836"/>
      <c r="AI150" s="835"/>
      <c r="AJ150" s="836"/>
      <c r="AK150" s="836"/>
      <c r="AL150" s="809"/>
      <c r="AM150" s="132"/>
      <c r="AN150" s="132"/>
      <c r="AO150" s="132"/>
      <c r="AP150" s="132"/>
      <c r="AQ150" s="132"/>
      <c r="AR150" s="132"/>
      <c r="AS150" s="132"/>
      <c r="AT150" s="132"/>
      <c r="AU150" s="132"/>
      <c r="AV150" s="132"/>
      <c r="AW150" s="132"/>
      <c r="AX150" s="132"/>
      <c r="AY150" s="132"/>
      <c r="AZ150" s="132"/>
      <c r="BA150" s="132"/>
      <c r="BB150" s="132"/>
      <c r="BC150" s="132"/>
      <c r="BD150" s="132"/>
      <c r="BE150" s="132"/>
      <c r="BF150" s="132"/>
    </row>
    <row r="151" customFormat="false" ht="11.25" hidden="false" customHeight="true" outlineLevel="0" collapsed="false">
      <c r="A151" s="113" t="s">
        <v>1026</v>
      </c>
      <c r="E151" s="80"/>
      <c r="F151" s="810"/>
      <c r="G151" s="138"/>
      <c r="H151" s="811" t="s">
        <v>1132</v>
      </c>
      <c r="I151" s="831"/>
      <c r="J151" s="335"/>
      <c r="K151" s="333"/>
      <c r="L151" s="204"/>
      <c r="M151" s="198"/>
      <c r="N151" s="837"/>
      <c r="O151" s="838"/>
      <c r="P151" s="76"/>
      <c r="Q151" s="335"/>
      <c r="R151" s="839"/>
      <c r="S151" s="839"/>
      <c r="T151" s="839"/>
      <c r="U151" s="839"/>
      <c r="V151" s="839"/>
      <c r="W151" s="839"/>
      <c r="X151" s="839"/>
      <c r="Y151" s="839"/>
      <c r="Z151" s="844"/>
      <c r="AA151" s="845" t="n">
        <v>1</v>
      </c>
      <c r="AB151" s="846" t="s">
        <v>1069</v>
      </c>
      <c r="AC151" s="756" t="n">
        <v>2064.253</v>
      </c>
      <c r="AD151" s="846" t="str">
        <f aca="false">AB151</f>
        <v>Прочие амортизационные отчисления</v>
      </c>
      <c r="AE151" s="756" t="n">
        <v>0</v>
      </c>
      <c r="AF151" s="835"/>
      <c r="AG151" s="836"/>
      <c r="AH151" s="836"/>
      <c r="AI151" s="835"/>
      <c r="AJ151" s="836"/>
      <c r="AK151" s="836"/>
      <c r="AL151" s="809"/>
      <c r="AM151" s="132"/>
      <c r="AN151" s="132"/>
      <c r="AO151" s="132"/>
      <c r="AP151" s="132"/>
      <c r="AQ151" s="132"/>
      <c r="AR151" s="132"/>
      <c r="AS151" s="132"/>
      <c r="AT151" s="132"/>
      <c r="AU151" s="132"/>
      <c r="AV151" s="132"/>
      <c r="AW151" s="132"/>
      <c r="AX151" s="132"/>
      <c r="AY151" s="132"/>
      <c r="AZ151" s="132"/>
      <c r="BA151" s="132"/>
      <c r="BB151" s="132"/>
      <c r="BC151" s="132"/>
      <c r="BD151" s="132"/>
      <c r="BE151" s="132"/>
      <c r="BF151" s="132"/>
    </row>
    <row r="152" customFormat="false" ht="11.25" hidden="false" customHeight="true" outlineLevel="0" collapsed="false">
      <c r="A152" s="113" t="s">
        <v>1026</v>
      </c>
      <c r="E152" s="80"/>
      <c r="F152" s="810"/>
      <c r="G152" s="810"/>
      <c r="H152" s="810"/>
      <c r="I152" s="831"/>
      <c r="J152" s="335"/>
      <c r="K152" s="333"/>
      <c r="L152" s="204"/>
      <c r="M152" s="204"/>
      <c r="N152" s="204"/>
      <c r="O152" s="204"/>
      <c r="P152" s="204"/>
      <c r="Q152" s="204"/>
      <c r="R152" s="204"/>
      <c r="S152" s="204"/>
      <c r="T152" s="204"/>
      <c r="U152" s="204"/>
      <c r="V152" s="204"/>
      <c r="W152" s="204"/>
      <c r="X152" s="204"/>
      <c r="Y152" s="204"/>
      <c r="Z152" s="138" t="s">
        <v>103</v>
      </c>
      <c r="AA152" s="838" t="s">
        <v>102</v>
      </c>
      <c r="AB152" s="846" t="s">
        <v>1070</v>
      </c>
      <c r="AC152" s="756" t="n">
        <v>4090.43</v>
      </c>
      <c r="AD152" s="846" t="str">
        <f aca="false">AB152</f>
        <v>Прибыль направляемая на инвестиции</v>
      </c>
      <c r="AE152" s="756" t="n">
        <v>0</v>
      </c>
      <c r="AF152" s="835"/>
      <c r="AG152" s="836"/>
      <c r="AH152" s="836"/>
      <c r="AI152" s="835"/>
      <c r="AJ152" s="836"/>
      <c r="AK152" s="836"/>
      <c r="AL152" s="809"/>
      <c r="AM152" s="132"/>
      <c r="AN152" s="132"/>
      <c r="AO152" s="132"/>
      <c r="AP152" s="132"/>
      <c r="AQ152" s="132"/>
      <c r="AR152" s="132"/>
      <c r="AS152" s="132"/>
      <c r="AT152" s="132"/>
      <c r="AU152" s="132"/>
      <c r="AV152" s="132"/>
      <c r="AW152" s="132"/>
      <c r="AX152" s="132"/>
      <c r="AY152" s="132"/>
      <c r="AZ152" s="132"/>
      <c r="BA152" s="132"/>
      <c r="BB152" s="132"/>
      <c r="BC152" s="132"/>
      <c r="BD152" s="132"/>
      <c r="BE152" s="132"/>
      <c r="BF152" s="132"/>
    </row>
    <row r="153" customFormat="false" ht="11.25" hidden="false" customHeight="true" outlineLevel="0" collapsed="false">
      <c r="A153" s="113" t="s">
        <v>1026</v>
      </c>
      <c r="E153" s="80"/>
      <c r="F153" s="810"/>
      <c r="G153" s="138"/>
      <c r="H153" s="811" t="s">
        <v>1132</v>
      </c>
      <c r="I153" s="831"/>
      <c r="J153" s="335"/>
      <c r="K153" s="333"/>
      <c r="L153" s="204"/>
      <c r="M153" s="198"/>
      <c r="N153" s="837"/>
      <c r="O153" s="838"/>
      <c r="P153" s="76"/>
      <c r="Q153" s="335"/>
      <c r="R153" s="839"/>
      <c r="S153" s="839"/>
      <c r="T153" s="839"/>
      <c r="U153" s="839"/>
      <c r="V153" s="839"/>
      <c r="W153" s="839"/>
      <c r="X153" s="839"/>
      <c r="Y153" s="839"/>
      <c r="Z153" s="840"/>
      <c r="AA153" s="841"/>
      <c r="AB153" s="161" t="s">
        <v>1071</v>
      </c>
      <c r="AC153" s="842"/>
      <c r="AD153" s="842"/>
      <c r="AE153" s="847"/>
      <c r="AF153" s="835"/>
      <c r="AG153" s="836"/>
      <c r="AH153" s="836"/>
      <c r="AI153" s="835"/>
      <c r="AJ153" s="836"/>
      <c r="AK153" s="836"/>
      <c r="AL153" s="809"/>
      <c r="AM153" s="132"/>
      <c r="AN153" s="132"/>
      <c r="AO153" s="132"/>
      <c r="AP153" s="132"/>
      <c r="AQ153" s="132"/>
      <c r="AR153" s="132"/>
      <c r="AS153" s="132"/>
      <c r="AT153" s="132"/>
      <c r="AU153" s="132"/>
      <c r="AV153" s="132"/>
      <c r="AW153" s="132"/>
      <c r="AX153" s="132"/>
      <c r="AY153" s="132"/>
      <c r="AZ153" s="132"/>
      <c r="BA153" s="132"/>
      <c r="BB153" s="132"/>
      <c r="BC153" s="132"/>
      <c r="BD153" s="132"/>
      <c r="BE153" s="132"/>
      <c r="BF153" s="132"/>
    </row>
    <row r="154" customFormat="false" ht="11.25" hidden="false" customHeight="true" outlineLevel="0" collapsed="false">
      <c r="A154" s="113" t="s">
        <v>1026</v>
      </c>
      <c r="E154" s="80"/>
      <c r="F154" s="810"/>
      <c r="G154" s="138"/>
      <c r="H154" s="811" t="s">
        <v>1132</v>
      </c>
      <c r="I154" s="831"/>
      <c r="J154" s="335"/>
      <c r="K154" s="333"/>
      <c r="L154" s="204"/>
      <c r="M154" s="198"/>
      <c r="N154" s="840"/>
      <c r="O154" s="841"/>
      <c r="P154" s="161" t="s">
        <v>1072</v>
      </c>
      <c r="Q154" s="841"/>
      <c r="R154" s="841"/>
      <c r="S154" s="841"/>
      <c r="T154" s="841"/>
      <c r="U154" s="841"/>
      <c r="V154" s="841"/>
      <c r="W154" s="841"/>
      <c r="X154" s="841"/>
      <c r="Y154" s="841"/>
      <c r="Z154" s="841"/>
      <c r="AA154" s="841"/>
      <c r="AB154" s="841"/>
      <c r="AC154" s="841"/>
      <c r="AD154" s="841"/>
      <c r="AE154" s="848"/>
      <c r="AF154" s="835"/>
      <c r="AG154" s="836"/>
      <c r="AH154" s="836"/>
      <c r="AI154" s="835"/>
      <c r="AJ154" s="836"/>
      <c r="AK154" s="836"/>
      <c r="AL154" s="809"/>
      <c r="AM154" s="132"/>
      <c r="AN154" s="132"/>
      <c r="AO154" s="132"/>
      <c r="AP154" s="132"/>
      <c r="AQ154" s="132"/>
      <c r="AR154" s="132"/>
      <c r="AS154" s="132"/>
      <c r="AT154" s="132"/>
      <c r="AU154" s="132"/>
      <c r="AV154" s="132"/>
      <c r="AW154" s="132"/>
      <c r="AX154" s="132"/>
      <c r="AY154" s="132"/>
      <c r="AZ154" s="132"/>
      <c r="BA154" s="132"/>
      <c r="BB154" s="132"/>
      <c r="BC154" s="132"/>
      <c r="BD154" s="132"/>
      <c r="BE154" s="132"/>
      <c r="BF154" s="132"/>
    </row>
    <row r="155" customFormat="false" ht="12" hidden="false" customHeight="true" outlineLevel="0" collapsed="false">
      <c r="A155" s="113" t="s">
        <v>1026</v>
      </c>
      <c r="E155" s="80"/>
      <c r="F155" s="810"/>
      <c r="G155" s="849"/>
      <c r="H155" s="849"/>
      <c r="I155" s="850" t="s">
        <v>1136</v>
      </c>
      <c r="J155" s="850"/>
      <c r="K155" s="850"/>
      <c r="L155" s="851"/>
      <c r="M155" s="851"/>
      <c r="N155" s="852"/>
      <c r="O155" s="852"/>
      <c r="P155" s="852"/>
      <c r="Q155" s="852"/>
      <c r="R155" s="852"/>
      <c r="S155" s="852"/>
      <c r="T155" s="852"/>
      <c r="U155" s="852"/>
      <c r="V155" s="852"/>
      <c r="W155" s="852"/>
      <c r="X155" s="852"/>
      <c r="Y155" s="852"/>
      <c r="Z155" s="852"/>
      <c r="AA155" s="852"/>
      <c r="AB155" s="852"/>
      <c r="AC155" s="852"/>
      <c r="AD155" s="852"/>
      <c r="AE155" s="852"/>
      <c r="AF155" s="852"/>
      <c r="AG155" s="851"/>
      <c r="AH155" s="851"/>
      <c r="AI155" s="852"/>
      <c r="AJ155" s="851"/>
      <c r="AK155" s="852"/>
      <c r="AL155" s="809"/>
      <c r="AM155" s="132"/>
      <c r="AN155" s="132"/>
      <c r="AO155" s="132"/>
      <c r="AP155" s="132"/>
      <c r="AQ155" s="132"/>
      <c r="AR155" s="132"/>
      <c r="AS155" s="132"/>
      <c r="AT155" s="132"/>
      <c r="AU155" s="132"/>
      <c r="AV155" s="132"/>
      <c r="AW155" s="132"/>
      <c r="AX155" s="132"/>
      <c r="AY155" s="132"/>
      <c r="AZ155" s="132"/>
      <c r="BA155" s="132"/>
      <c r="BB155" s="132"/>
      <c r="BC155" s="132"/>
      <c r="BD155" s="132"/>
      <c r="BE155" s="132"/>
      <c r="BF155" s="132"/>
    </row>
    <row r="156" customFormat="false" ht="0.75" hidden="false" customHeight="true" outlineLevel="0" collapsed="false">
      <c r="A156" s="113" t="s">
        <v>1026</v>
      </c>
      <c r="E156" s="80"/>
      <c r="F156" s="810" t="n">
        <v>2020</v>
      </c>
      <c r="G156" s="811"/>
      <c r="H156" s="812" t="s">
        <v>389</v>
      </c>
      <c r="I156" s="813"/>
      <c r="J156" s="149"/>
      <c r="K156" s="149"/>
      <c r="L156" s="814"/>
      <c r="M156" s="461"/>
      <c r="N156" s="815"/>
      <c r="O156" s="816"/>
      <c r="P156" s="815"/>
      <c r="Q156" s="815"/>
      <c r="R156" s="815"/>
      <c r="S156" s="815"/>
      <c r="T156" s="815"/>
      <c r="U156" s="815"/>
      <c r="V156" s="815"/>
      <c r="W156" s="815"/>
      <c r="X156" s="815"/>
      <c r="Y156" s="815"/>
      <c r="Z156" s="815"/>
      <c r="AA156" s="815"/>
      <c r="AB156" s="815"/>
      <c r="AC156" s="815"/>
      <c r="AD156" s="815"/>
      <c r="AE156" s="815"/>
      <c r="AF156" s="817"/>
      <c r="AG156" s="814"/>
      <c r="AH156" s="814"/>
      <c r="AI156" s="817"/>
      <c r="AJ156" s="814"/>
      <c r="AK156" s="814"/>
      <c r="AL156" s="809"/>
      <c r="AM156" s="132"/>
      <c r="AN156" s="132"/>
      <c r="AO156" s="132"/>
      <c r="AP156" s="132"/>
      <c r="AQ156" s="132"/>
      <c r="AR156" s="132"/>
      <c r="AS156" s="132"/>
      <c r="AT156" s="132"/>
      <c r="AU156" s="132"/>
      <c r="AV156" s="132"/>
      <c r="AW156" s="132"/>
      <c r="AX156" s="132"/>
      <c r="AY156" s="132"/>
      <c r="AZ156" s="132"/>
      <c r="BA156" s="132"/>
      <c r="BB156" s="132"/>
      <c r="BC156" s="132"/>
      <c r="BD156" s="132"/>
      <c r="BE156" s="132"/>
      <c r="BF156" s="132"/>
    </row>
    <row r="157" customFormat="false" ht="0.75" hidden="false" customHeight="true" outlineLevel="0" collapsed="false">
      <c r="A157" s="113" t="s">
        <v>1026</v>
      </c>
      <c r="E157" s="80"/>
      <c r="F157" s="810"/>
      <c r="G157" s="811"/>
      <c r="H157" s="812"/>
      <c r="I157" s="813"/>
      <c r="J157" s="149"/>
      <c r="K157" s="149"/>
      <c r="L157" s="814"/>
      <c r="M157" s="461"/>
      <c r="N157" s="818"/>
      <c r="O157" s="819"/>
      <c r="P157" s="820"/>
      <c r="Q157" s="149"/>
      <c r="R157" s="149"/>
      <c r="S157" s="149"/>
      <c r="T157" s="149"/>
      <c r="U157" s="149"/>
      <c r="V157" s="149"/>
      <c r="W157" s="149"/>
      <c r="X157" s="149"/>
      <c r="Y157" s="149"/>
      <c r="Z157" s="821"/>
      <c r="AA157" s="822"/>
      <c r="AB157" s="822"/>
      <c r="AC157" s="823"/>
      <c r="AD157" s="823"/>
      <c r="AE157" s="824"/>
      <c r="AF157" s="817"/>
      <c r="AG157" s="814"/>
      <c r="AH157" s="814"/>
      <c r="AI157" s="817"/>
      <c r="AJ157" s="814"/>
      <c r="AK157" s="814"/>
      <c r="AL157" s="809"/>
      <c r="AM157" s="132"/>
      <c r="AN157" s="132"/>
      <c r="AO157" s="132"/>
      <c r="AP157" s="132"/>
      <c r="AQ157" s="132"/>
      <c r="AR157" s="132"/>
      <c r="AS157" s="132"/>
      <c r="AT157" s="132"/>
      <c r="AU157" s="132"/>
      <c r="AV157" s="132"/>
      <c r="AW157" s="132"/>
      <c r="AX157" s="132"/>
      <c r="AY157" s="132"/>
      <c r="AZ157" s="132"/>
      <c r="BA157" s="132"/>
      <c r="BB157" s="132"/>
      <c r="BC157" s="132"/>
      <c r="BD157" s="132"/>
      <c r="BE157" s="132"/>
      <c r="BF157" s="132"/>
    </row>
    <row r="158" customFormat="false" ht="0.75" hidden="false" customHeight="true" outlineLevel="0" collapsed="false">
      <c r="A158" s="113" t="s">
        <v>1026</v>
      </c>
      <c r="E158" s="80"/>
      <c r="F158" s="810"/>
      <c r="G158" s="811"/>
      <c r="H158" s="812"/>
      <c r="I158" s="813"/>
      <c r="J158" s="149"/>
      <c r="K158" s="149"/>
      <c r="L158" s="814"/>
      <c r="M158" s="461"/>
      <c r="N158" s="818"/>
      <c r="O158" s="819"/>
      <c r="P158" s="820"/>
      <c r="Q158" s="149"/>
      <c r="R158" s="149"/>
      <c r="S158" s="149"/>
      <c r="T158" s="149"/>
      <c r="U158" s="149"/>
      <c r="V158" s="149"/>
      <c r="W158" s="149"/>
      <c r="X158" s="149"/>
      <c r="Y158" s="149"/>
      <c r="Z158" s="825"/>
      <c r="AA158" s="819"/>
      <c r="AB158" s="826"/>
      <c r="AC158" s="827"/>
      <c r="AD158" s="826"/>
      <c r="AE158" s="827"/>
      <c r="AF158" s="817"/>
      <c r="AG158" s="814"/>
      <c r="AH158" s="814"/>
      <c r="AI158" s="817"/>
      <c r="AJ158" s="814"/>
      <c r="AK158" s="814"/>
      <c r="AL158" s="809"/>
      <c r="AM158" s="132"/>
      <c r="AN158" s="132"/>
      <c r="AO158" s="132"/>
      <c r="AP158" s="132"/>
      <c r="AQ158" s="132"/>
      <c r="AR158" s="132"/>
      <c r="AS158" s="132"/>
      <c r="AT158" s="132"/>
      <c r="AU158" s="132"/>
      <c r="AV158" s="132"/>
      <c r="AW158" s="132"/>
      <c r="AX158" s="132"/>
      <c r="AY158" s="132"/>
      <c r="AZ158" s="132"/>
      <c r="BA158" s="132"/>
      <c r="BB158" s="132"/>
      <c r="BC158" s="132"/>
      <c r="BD158" s="132"/>
      <c r="BE158" s="132"/>
      <c r="BF158" s="132"/>
    </row>
    <row r="159" customFormat="false" ht="0.75" hidden="false" customHeight="true" outlineLevel="0" collapsed="false">
      <c r="A159" s="113" t="s">
        <v>1026</v>
      </c>
      <c r="E159" s="80"/>
      <c r="F159" s="810"/>
      <c r="G159" s="811"/>
      <c r="H159" s="812"/>
      <c r="I159" s="813"/>
      <c r="J159" s="149"/>
      <c r="K159" s="149"/>
      <c r="L159" s="814"/>
      <c r="M159" s="461"/>
      <c r="N159" s="818"/>
      <c r="O159" s="819"/>
      <c r="P159" s="820"/>
      <c r="Q159" s="149"/>
      <c r="R159" s="149"/>
      <c r="S159" s="149"/>
      <c r="T159" s="149"/>
      <c r="U159" s="149"/>
      <c r="V159" s="149"/>
      <c r="W159" s="149"/>
      <c r="X159" s="149"/>
      <c r="Y159" s="149"/>
      <c r="Z159" s="821"/>
      <c r="AA159" s="822"/>
      <c r="AB159" s="828"/>
      <c r="AC159" s="823"/>
      <c r="AD159" s="823"/>
      <c r="AE159" s="829"/>
      <c r="AF159" s="817"/>
      <c r="AG159" s="814"/>
      <c r="AH159" s="814"/>
      <c r="AI159" s="817"/>
      <c r="AJ159" s="814"/>
      <c r="AK159" s="814"/>
      <c r="AL159" s="809"/>
      <c r="AM159" s="132"/>
      <c r="AN159" s="132"/>
      <c r="AO159" s="132"/>
      <c r="AP159" s="132"/>
      <c r="AQ159" s="132"/>
      <c r="AR159" s="132"/>
      <c r="AS159" s="132"/>
      <c r="AT159" s="132"/>
      <c r="AU159" s="132"/>
      <c r="AV159" s="132"/>
      <c r="AW159" s="132"/>
      <c r="AX159" s="132"/>
      <c r="AY159" s="132"/>
      <c r="AZ159" s="132"/>
      <c r="BA159" s="132"/>
      <c r="BB159" s="132"/>
      <c r="BC159" s="132"/>
      <c r="BD159" s="132"/>
      <c r="BE159" s="132"/>
      <c r="BF159" s="132"/>
    </row>
    <row r="160" customFormat="false" ht="0.75" hidden="false" customHeight="true" outlineLevel="0" collapsed="false">
      <c r="A160" s="113" t="s">
        <v>1026</v>
      </c>
      <c r="E160" s="80"/>
      <c r="F160" s="810"/>
      <c r="G160" s="811"/>
      <c r="H160" s="812"/>
      <c r="I160" s="813"/>
      <c r="J160" s="149"/>
      <c r="K160" s="149"/>
      <c r="L160" s="814"/>
      <c r="M160" s="461"/>
      <c r="N160" s="822"/>
      <c r="O160" s="822"/>
      <c r="P160" s="828"/>
      <c r="Q160" s="822"/>
      <c r="R160" s="822"/>
      <c r="S160" s="822"/>
      <c r="T160" s="822"/>
      <c r="U160" s="822"/>
      <c r="V160" s="822"/>
      <c r="W160" s="822"/>
      <c r="X160" s="822"/>
      <c r="Y160" s="822"/>
      <c r="Z160" s="822"/>
      <c r="AA160" s="822"/>
      <c r="AB160" s="822"/>
      <c r="AC160" s="822"/>
      <c r="AD160" s="822"/>
      <c r="AE160" s="830"/>
      <c r="AF160" s="817"/>
      <c r="AG160" s="814"/>
      <c r="AH160" s="814"/>
      <c r="AI160" s="817"/>
      <c r="AJ160" s="814"/>
      <c r="AK160" s="814"/>
      <c r="AL160" s="809"/>
      <c r="AM160" s="132"/>
      <c r="AN160" s="132"/>
      <c r="AO160" s="132"/>
      <c r="AP160" s="132"/>
      <c r="AQ160" s="132"/>
      <c r="AR160" s="132"/>
      <c r="AS160" s="132"/>
      <c r="AT160" s="132"/>
      <c r="AU160" s="132"/>
      <c r="AV160" s="132"/>
      <c r="AW160" s="132"/>
      <c r="AX160" s="132"/>
      <c r="AY160" s="132"/>
      <c r="AZ160" s="132"/>
      <c r="BA160" s="132"/>
      <c r="BB160" s="132"/>
      <c r="BC160" s="132"/>
      <c r="BD160" s="132"/>
      <c r="BE160" s="132"/>
      <c r="BF160" s="132"/>
    </row>
    <row r="161" customFormat="false" ht="11.25" hidden="false" customHeight="true" outlineLevel="0" collapsed="false">
      <c r="A161" s="113" t="s">
        <v>1026</v>
      </c>
      <c r="E161" s="80"/>
      <c r="F161" s="810"/>
      <c r="G161" s="138" t="s">
        <v>103</v>
      </c>
      <c r="H161" s="811" t="s">
        <v>120</v>
      </c>
      <c r="I161" s="831"/>
      <c r="J161" s="335"/>
      <c r="K161" s="333" t="s">
        <v>1137</v>
      </c>
      <c r="L161" s="204" t="s">
        <v>19</v>
      </c>
      <c r="M161" s="198"/>
      <c r="N161" s="832"/>
      <c r="O161" s="833" t="s">
        <v>389</v>
      </c>
      <c r="P161" s="834"/>
      <c r="Q161" s="834"/>
      <c r="R161" s="834"/>
      <c r="S161" s="834"/>
      <c r="T161" s="834"/>
      <c r="U161" s="834"/>
      <c r="V161" s="834"/>
      <c r="W161" s="834"/>
      <c r="X161" s="834"/>
      <c r="Y161" s="834"/>
      <c r="Z161" s="834"/>
      <c r="AA161" s="834"/>
      <c r="AB161" s="834"/>
      <c r="AC161" s="834"/>
      <c r="AD161" s="834"/>
      <c r="AE161" s="834"/>
      <c r="AF161" s="835" t="n">
        <v>2020</v>
      </c>
      <c r="AG161" s="836" t="s">
        <v>1059</v>
      </c>
      <c r="AH161" s="836" t="s">
        <v>1075</v>
      </c>
      <c r="AI161" s="835" t="n">
        <v>2022</v>
      </c>
      <c r="AJ161" s="836" t="s">
        <v>1059</v>
      </c>
      <c r="AK161" s="836" t="s">
        <v>1096</v>
      </c>
      <c r="AL161" s="809"/>
      <c r="AM161" s="132"/>
      <c r="AN161" s="132"/>
      <c r="AO161" s="132"/>
      <c r="AP161" s="132"/>
      <c r="AQ161" s="132"/>
      <c r="AR161" s="132"/>
      <c r="AS161" s="132"/>
      <c r="AT161" s="132"/>
      <c r="AU161" s="132"/>
      <c r="AV161" s="132"/>
      <c r="AW161" s="132"/>
      <c r="AX161" s="132"/>
      <c r="AY161" s="132"/>
      <c r="AZ161" s="132"/>
      <c r="BA161" s="132"/>
      <c r="BB161" s="132"/>
      <c r="BC161" s="132"/>
      <c r="BD161" s="132"/>
      <c r="BE161" s="132"/>
      <c r="BF161" s="132"/>
    </row>
    <row r="162" customFormat="false" ht="11.25" hidden="false" customHeight="true" outlineLevel="0" collapsed="false">
      <c r="A162" s="113" t="s">
        <v>1026</v>
      </c>
      <c r="E162" s="80"/>
      <c r="F162" s="810"/>
      <c r="G162" s="138"/>
      <c r="H162" s="811" t="s">
        <v>389</v>
      </c>
      <c r="I162" s="831"/>
      <c r="J162" s="335"/>
      <c r="K162" s="333"/>
      <c r="L162" s="204"/>
      <c r="M162" s="198"/>
      <c r="N162" s="837"/>
      <c r="O162" s="838" t="n">
        <v>1</v>
      </c>
      <c r="P162" s="76" t="s">
        <v>61</v>
      </c>
      <c r="Q162" s="335" t="s">
        <v>1063</v>
      </c>
      <c r="R162" s="839" t="s">
        <v>1064</v>
      </c>
      <c r="S162" s="839" t="s">
        <v>99</v>
      </c>
      <c r="T162" s="839" t="s">
        <v>99</v>
      </c>
      <c r="U162" s="839" t="s">
        <v>100</v>
      </c>
      <c r="V162" s="839" t="s">
        <v>1065</v>
      </c>
      <c r="W162" s="839" t="s">
        <v>1066</v>
      </c>
      <c r="X162" s="839" t="s">
        <v>1067</v>
      </c>
      <c r="Y162" s="839" t="s">
        <v>1068</v>
      </c>
      <c r="Z162" s="840"/>
      <c r="AA162" s="841"/>
      <c r="AB162" s="841"/>
      <c r="AC162" s="842"/>
      <c r="AD162" s="842"/>
      <c r="AE162" s="843"/>
      <c r="AF162" s="835"/>
      <c r="AG162" s="836"/>
      <c r="AH162" s="836"/>
      <c r="AI162" s="835"/>
      <c r="AJ162" s="836"/>
      <c r="AK162" s="836"/>
      <c r="AL162" s="809"/>
      <c r="AM162" s="132"/>
      <c r="AN162" s="132"/>
      <c r="AO162" s="132"/>
      <c r="AP162" s="132"/>
      <c r="AQ162" s="132"/>
      <c r="AR162" s="132"/>
      <c r="AS162" s="132"/>
      <c r="AT162" s="132"/>
      <c r="AU162" s="132"/>
      <c r="AV162" s="132"/>
      <c r="AW162" s="132"/>
      <c r="AX162" s="132"/>
      <c r="AY162" s="132"/>
      <c r="AZ162" s="132"/>
      <c r="BA162" s="132"/>
      <c r="BB162" s="132"/>
      <c r="BC162" s="132"/>
      <c r="BD162" s="132"/>
      <c r="BE162" s="132"/>
      <c r="BF162" s="132"/>
    </row>
    <row r="163" customFormat="false" ht="11.25" hidden="false" customHeight="true" outlineLevel="0" collapsed="false">
      <c r="A163" s="113" t="s">
        <v>1026</v>
      </c>
      <c r="E163" s="80"/>
      <c r="F163" s="810"/>
      <c r="G163" s="138"/>
      <c r="H163" s="811" t="s">
        <v>389</v>
      </c>
      <c r="I163" s="831"/>
      <c r="J163" s="335"/>
      <c r="K163" s="333"/>
      <c r="L163" s="204"/>
      <c r="M163" s="198"/>
      <c r="N163" s="837"/>
      <c r="O163" s="838"/>
      <c r="P163" s="76"/>
      <c r="Q163" s="335"/>
      <c r="R163" s="839"/>
      <c r="S163" s="839"/>
      <c r="T163" s="839"/>
      <c r="U163" s="839"/>
      <c r="V163" s="839"/>
      <c r="W163" s="839"/>
      <c r="X163" s="839"/>
      <c r="Y163" s="839"/>
      <c r="Z163" s="844"/>
      <c r="AA163" s="845" t="n">
        <v>1</v>
      </c>
      <c r="AB163" s="846" t="s">
        <v>1069</v>
      </c>
      <c r="AC163" s="756" t="n">
        <v>50</v>
      </c>
      <c r="AD163" s="846" t="str">
        <f aca="false">AB163</f>
        <v>Прочие амортизационные отчисления</v>
      </c>
      <c r="AE163" s="756" t="n">
        <v>50</v>
      </c>
      <c r="AF163" s="835"/>
      <c r="AG163" s="836"/>
      <c r="AH163" s="836"/>
      <c r="AI163" s="835"/>
      <c r="AJ163" s="836"/>
      <c r="AK163" s="836"/>
      <c r="AL163" s="809"/>
      <c r="AM163" s="132"/>
      <c r="AN163" s="132"/>
      <c r="AO163" s="132"/>
      <c r="AP163" s="132"/>
      <c r="AQ163" s="132"/>
      <c r="AR163" s="132"/>
      <c r="AS163" s="132"/>
      <c r="AT163" s="132"/>
      <c r="AU163" s="132"/>
      <c r="AV163" s="132"/>
      <c r="AW163" s="132"/>
      <c r="AX163" s="132"/>
      <c r="AY163" s="132"/>
      <c r="AZ163" s="132"/>
      <c r="BA163" s="132"/>
      <c r="BB163" s="132"/>
      <c r="BC163" s="132"/>
      <c r="BD163" s="132"/>
      <c r="BE163" s="132"/>
      <c r="BF163" s="132"/>
    </row>
    <row r="164" customFormat="false" ht="11.25" hidden="false" customHeight="true" outlineLevel="0" collapsed="false">
      <c r="A164" s="113" t="s">
        <v>1026</v>
      </c>
      <c r="E164" s="80"/>
      <c r="F164" s="810"/>
      <c r="G164" s="138"/>
      <c r="H164" s="811" t="s">
        <v>389</v>
      </c>
      <c r="I164" s="831"/>
      <c r="J164" s="335"/>
      <c r="K164" s="333"/>
      <c r="L164" s="204"/>
      <c r="M164" s="198"/>
      <c r="N164" s="837"/>
      <c r="O164" s="838"/>
      <c r="P164" s="76"/>
      <c r="Q164" s="335"/>
      <c r="R164" s="839"/>
      <c r="S164" s="839"/>
      <c r="T164" s="839"/>
      <c r="U164" s="839"/>
      <c r="V164" s="839"/>
      <c r="W164" s="839"/>
      <c r="X164" s="839"/>
      <c r="Y164" s="839"/>
      <c r="Z164" s="840"/>
      <c r="AA164" s="841"/>
      <c r="AB164" s="161" t="s">
        <v>1071</v>
      </c>
      <c r="AC164" s="842"/>
      <c r="AD164" s="842"/>
      <c r="AE164" s="847"/>
      <c r="AF164" s="835"/>
      <c r="AG164" s="836"/>
      <c r="AH164" s="836"/>
      <c r="AI164" s="835"/>
      <c r="AJ164" s="836"/>
      <c r="AK164" s="836"/>
      <c r="AL164" s="809"/>
      <c r="AM164" s="132"/>
      <c r="AN164" s="132"/>
      <c r="AO164" s="132"/>
      <c r="AP164" s="132"/>
      <c r="AQ164" s="132"/>
      <c r="AR164" s="132"/>
      <c r="AS164" s="132"/>
      <c r="AT164" s="132"/>
      <c r="AU164" s="132"/>
      <c r="AV164" s="132"/>
      <c r="AW164" s="132"/>
      <c r="AX164" s="132"/>
      <c r="AY164" s="132"/>
      <c r="AZ164" s="132"/>
      <c r="BA164" s="132"/>
      <c r="BB164" s="132"/>
      <c r="BC164" s="132"/>
      <c r="BD164" s="132"/>
      <c r="BE164" s="132"/>
      <c r="BF164" s="132"/>
    </row>
    <row r="165" customFormat="false" ht="11.25" hidden="false" customHeight="true" outlineLevel="0" collapsed="false">
      <c r="A165" s="113" t="s">
        <v>1026</v>
      </c>
      <c r="E165" s="80"/>
      <c r="F165" s="810"/>
      <c r="G165" s="138"/>
      <c r="H165" s="811" t="s">
        <v>389</v>
      </c>
      <c r="I165" s="831"/>
      <c r="J165" s="335"/>
      <c r="K165" s="333"/>
      <c r="L165" s="204"/>
      <c r="M165" s="198"/>
      <c r="N165" s="840"/>
      <c r="O165" s="841"/>
      <c r="P165" s="161" t="s">
        <v>1072</v>
      </c>
      <c r="Q165" s="841"/>
      <c r="R165" s="841"/>
      <c r="S165" s="841"/>
      <c r="T165" s="841"/>
      <c r="U165" s="841"/>
      <c r="V165" s="841"/>
      <c r="W165" s="841"/>
      <c r="X165" s="841"/>
      <c r="Y165" s="841"/>
      <c r="Z165" s="841"/>
      <c r="AA165" s="841"/>
      <c r="AB165" s="841"/>
      <c r="AC165" s="841"/>
      <c r="AD165" s="841"/>
      <c r="AE165" s="848"/>
      <c r="AF165" s="835"/>
      <c r="AG165" s="836"/>
      <c r="AH165" s="836"/>
      <c r="AI165" s="835"/>
      <c r="AJ165" s="836"/>
      <c r="AK165" s="836"/>
      <c r="AL165" s="809"/>
      <c r="AM165" s="132"/>
      <c r="AN165" s="132"/>
      <c r="AO165" s="132"/>
      <c r="AP165" s="132"/>
      <c r="AQ165" s="132"/>
      <c r="AR165" s="132"/>
      <c r="AS165" s="132"/>
      <c r="AT165" s="132"/>
      <c r="AU165" s="132"/>
      <c r="AV165" s="132"/>
      <c r="AW165" s="132"/>
      <c r="AX165" s="132"/>
      <c r="AY165" s="132"/>
      <c r="AZ165" s="132"/>
      <c r="BA165" s="132"/>
      <c r="BB165" s="132"/>
      <c r="BC165" s="132"/>
      <c r="BD165" s="132"/>
      <c r="BE165" s="132"/>
      <c r="BF165" s="132"/>
    </row>
    <row r="166" customFormat="false" ht="11.25" hidden="false" customHeight="true" outlineLevel="0" collapsed="false">
      <c r="A166" s="113" t="s">
        <v>1026</v>
      </c>
      <c r="E166" s="80"/>
      <c r="F166" s="810"/>
      <c r="G166" s="138" t="s">
        <v>103</v>
      </c>
      <c r="H166" s="811" t="s">
        <v>102</v>
      </c>
      <c r="I166" s="831"/>
      <c r="J166" s="335"/>
      <c r="K166" s="333" t="s">
        <v>1138</v>
      </c>
      <c r="L166" s="204" t="s">
        <v>19</v>
      </c>
      <c r="M166" s="198"/>
      <c r="N166" s="832"/>
      <c r="O166" s="833" t="s">
        <v>389</v>
      </c>
      <c r="P166" s="834"/>
      <c r="Q166" s="834"/>
      <c r="R166" s="834"/>
      <c r="S166" s="834"/>
      <c r="T166" s="834"/>
      <c r="U166" s="834"/>
      <c r="V166" s="834"/>
      <c r="W166" s="834"/>
      <c r="X166" s="834"/>
      <c r="Y166" s="834"/>
      <c r="Z166" s="834"/>
      <c r="AA166" s="834"/>
      <c r="AB166" s="834"/>
      <c r="AC166" s="834"/>
      <c r="AD166" s="834"/>
      <c r="AE166" s="834"/>
      <c r="AF166" s="835" t="n">
        <v>2020</v>
      </c>
      <c r="AG166" s="836" t="s">
        <v>1059</v>
      </c>
      <c r="AH166" s="836" t="s">
        <v>1060</v>
      </c>
      <c r="AI166" s="835" t="n">
        <v>2020</v>
      </c>
      <c r="AJ166" s="836" t="s">
        <v>1059</v>
      </c>
      <c r="AK166" s="836" t="s">
        <v>1060</v>
      </c>
      <c r="AL166" s="809"/>
      <c r="AM166" s="132"/>
      <c r="AN166" s="132"/>
      <c r="AO166" s="132"/>
      <c r="AP166" s="132"/>
      <c r="AQ166" s="132"/>
      <c r="AR166" s="132"/>
      <c r="AS166" s="132"/>
      <c r="AT166" s="132"/>
      <c r="AU166" s="132"/>
      <c r="AV166" s="132"/>
      <c r="AW166" s="132"/>
      <c r="AX166" s="132"/>
      <c r="AY166" s="132"/>
      <c r="AZ166" s="132"/>
      <c r="BA166" s="132"/>
      <c r="BB166" s="132"/>
      <c r="BC166" s="132"/>
      <c r="BD166" s="132"/>
      <c r="BE166" s="132"/>
      <c r="BF166" s="132"/>
    </row>
    <row r="167" customFormat="false" ht="11.25" hidden="false" customHeight="true" outlineLevel="0" collapsed="false">
      <c r="A167" s="113" t="s">
        <v>1026</v>
      </c>
      <c r="E167" s="80"/>
      <c r="F167" s="810"/>
      <c r="G167" s="138"/>
      <c r="H167" s="811" t="s">
        <v>120</v>
      </c>
      <c r="I167" s="831"/>
      <c r="J167" s="335"/>
      <c r="K167" s="333"/>
      <c r="L167" s="204"/>
      <c r="M167" s="198"/>
      <c r="N167" s="837"/>
      <c r="O167" s="838" t="n">
        <v>1</v>
      </c>
      <c r="P167" s="76" t="s">
        <v>61</v>
      </c>
      <c r="Q167" s="335" t="s">
        <v>1063</v>
      </c>
      <c r="R167" s="839" t="s">
        <v>1064</v>
      </c>
      <c r="S167" s="839" t="s">
        <v>99</v>
      </c>
      <c r="T167" s="839" t="s">
        <v>99</v>
      </c>
      <c r="U167" s="839" t="s">
        <v>100</v>
      </c>
      <c r="V167" s="839" t="s">
        <v>1065</v>
      </c>
      <c r="W167" s="839" t="s">
        <v>1066</v>
      </c>
      <c r="X167" s="839" t="s">
        <v>1067</v>
      </c>
      <c r="Y167" s="839" t="s">
        <v>1068</v>
      </c>
      <c r="Z167" s="840"/>
      <c r="AA167" s="841"/>
      <c r="AB167" s="841"/>
      <c r="AC167" s="842"/>
      <c r="AD167" s="842"/>
      <c r="AE167" s="843"/>
      <c r="AF167" s="835"/>
      <c r="AG167" s="836"/>
      <c r="AH167" s="836"/>
      <c r="AI167" s="835"/>
      <c r="AJ167" s="836"/>
      <c r="AK167" s="836"/>
      <c r="AL167" s="809"/>
      <c r="AM167" s="132"/>
      <c r="AN167" s="132"/>
      <c r="AO167" s="132"/>
      <c r="AP167" s="132"/>
      <c r="AQ167" s="132"/>
      <c r="AR167" s="132"/>
      <c r="AS167" s="132"/>
      <c r="AT167" s="132"/>
      <c r="AU167" s="132"/>
      <c r="AV167" s="132"/>
      <c r="AW167" s="132"/>
      <c r="AX167" s="132"/>
      <c r="AY167" s="132"/>
      <c r="AZ167" s="132"/>
      <c r="BA167" s="132"/>
      <c r="BB167" s="132"/>
      <c r="BC167" s="132"/>
      <c r="BD167" s="132"/>
      <c r="BE167" s="132"/>
      <c r="BF167" s="132"/>
    </row>
    <row r="168" customFormat="false" ht="11.25" hidden="false" customHeight="true" outlineLevel="0" collapsed="false">
      <c r="A168" s="113" t="s">
        <v>1026</v>
      </c>
      <c r="E168" s="80"/>
      <c r="F168" s="810"/>
      <c r="G168" s="138"/>
      <c r="H168" s="811" t="s">
        <v>120</v>
      </c>
      <c r="I168" s="831"/>
      <c r="J168" s="335"/>
      <c r="K168" s="333"/>
      <c r="L168" s="204"/>
      <c r="M168" s="198"/>
      <c r="N168" s="837"/>
      <c r="O168" s="838"/>
      <c r="P168" s="76"/>
      <c r="Q168" s="335"/>
      <c r="R168" s="839"/>
      <c r="S168" s="839"/>
      <c r="T168" s="839"/>
      <c r="U168" s="839"/>
      <c r="V168" s="839"/>
      <c r="W168" s="839"/>
      <c r="X168" s="839"/>
      <c r="Y168" s="839"/>
      <c r="Z168" s="844"/>
      <c r="AA168" s="845" t="n">
        <v>1</v>
      </c>
      <c r="AB168" s="846" t="s">
        <v>1069</v>
      </c>
      <c r="AC168" s="756" t="n">
        <v>644.599</v>
      </c>
      <c r="AD168" s="846" t="str">
        <f aca="false">AB168</f>
        <v>Прочие амортизационные отчисления</v>
      </c>
      <c r="AE168" s="756" t="n">
        <v>644.599</v>
      </c>
      <c r="AF168" s="835"/>
      <c r="AG168" s="836"/>
      <c r="AH168" s="836"/>
      <c r="AI168" s="835"/>
      <c r="AJ168" s="836"/>
      <c r="AK168" s="836"/>
      <c r="AL168" s="809"/>
      <c r="AM168" s="132"/>
      <c r="AN168" s="132"/>
      <c r="AO168" s="132"/>
      <c r="AP168" s="132"/>
      <c r="AQ168" s="132"/>
      <c r="AR168" s="132"/>
      <c r="AS168" s="132"/>
      <c r="AT168" s="132"/>
      <c r="AU168" s="132"/>
      <c r="AV168" s="132"/>
      <c r="AW168" s="132"/>
      <c r="AX168" s="132"/>
      <c r="AY168" s="132"/>
      <c r="AZ168" s="132"/>
      <c r="BA168" s="132"/>
      <c r="BB168" s="132"/>
      <c r="BC168" s="132"/>
      <c r="BD168" s="132"/>
      <c r="BE168" s="132"/>
      <c r="BF168" s="132"/>
    </row>
    <row r="169" customFormat="false" ht="11.25" hidden="false" customHeight="true" outlineLevel="0" collapsed="false">
      <c r="A169" s="113" t="s">
        <v>1026</v>
      </c>
      <c r="E169" s="80"/>
      <c r="F169" s="810"/>
      <c r="G169" s="138"/>
      <c r="H169" s="811" t="s">
        <v>120</v>
      </c>
      <c r="I169" s="831"/>
      <c r="J169" s="335"/>
      <c r="K169" s="333"/>
      <c r="L169" s="204"/>
      <c r="M169" s="198"/>
      <c r="N169" s="837"/>
      <c r="O169" s="838"/>
      <c r="P169" s="76"/>
      <c r="Q169" s="335"/>
      <c r="R169" s="839"/>
      <c r="S169" s="839"/>
      <c r="T169" s="839"/>
      <c r="U169" s="839"/>
      <c r="V169" s="839"/>
      <c r="W169" s="839"/>
      <c r="X169" s="839"/>
      <c r="Y169" s="839"/>
      <c r="Z169" s="840"/>
      <c r="AA169" s="841"/>
      <c r="AB169" s="161" t="s">
        <v>1071</v>
      </c>
      <c r="AC169" s="842"/>
      <c r="AD169" s="842"/>
      <c r="AE169" s="847"/>
      <c r="AF169" s="835"/>
      <c r="AG169" s="836"/>
      <c r="AH169" s="836"/>
      <c r="AI169" s="835"/>
      <c r="AJ169" s="836"/>
      <c r="AK169" s="836"/>
      <c r="AL169" s="809"/>
      <c r="AM169" s="132"/>
      <c r="AN169" s="132"/>
      <c r="AO169" s="132"/>
      <c r="AP169" s="132"/>
      <c r="AQ169" s="132"/>
      <c r="AR169" s="132"/>
      <c r="AS169" s="132"/>
      <c r="AT169" s="132"/>
      <c r="AU169" s="132"/>
      <c r="AV169" s="132"/>
      <c r="AW169" s="132"/>
      <c r="AX169" s="132"/>
      <c r="AY169" s="132"/>
      <c r="AZ169" s="132"/>
      <c r="BA169" s="132"/>
      <c r="BB169" s="132"/>
      <c r="BC169" s="132"/>
      <c r="BD169" s="132"/>
      <c r="BE169" s="132"/>
      <c r="BF169" s="132"/>
    </row>
    <row r="170" customFormat="false" ht="11.25" hidden="false" customHeight="true" outlineLevel="0" collapsed="false">
      <c r="A170" s="113" t="s">
        <v>1026</v>
      </c>
      <c r="E170" s="80"/>
      <c r="F170" s="810"/>
      <c r="G170" s="138"/>
      <c r="H170" s="811" t="s">
        <v>120</v>
      </c>
      <c r="I170" s="831"/>
      <c r="J170" s="335"/>
      <c r="K170" s="333"/>
      <c r="L170" s="204"/>
      <c r="M170" s="198"/>
      <c r="N170" s="840"/>
      <c r="O170" s="841"/>
      <c r="P170" s="161" t="s">
        <v>1072</v>
      </c>
      <c r="Q170" s="841"/>
      <c r="R170" s="841"/>
      <c r="S170" s="841"/>
      <c r="T170" s="841"/>
      <c r="U170" s="841"/>
      <c r="V170" s="841"/>
      <c r="W170" s="841"/>
      <c r="X170" s="841"/>
      <c r="Y170" s="841"/>
      <c r="Z170" s="841"/>
      <c r="AA170" s="841"/>
      <c r="AB170" s="841"/>
      <c r="AC170" s="841"/>
      <c r="AD170" s="841"/>
      <c r="AE170" s="848"/>
      <c r="AF170" s="835"/>
      <c r="AG170" s="836"/>
      <c r="AH170" s="836"/>
      <c r="AI170" s="835"/>
      <c r="AJ170" s="836"/>
      <c r="AK170" s="836"/>
      <c r="AL170" s="809"/>
      <c r="AM170" s="132"/>
      <c r="AN170" s="132"/>
      <c r="AO170" s="132"/>
      <c r="AP170" s="132"/>
      <c r="AQ170" s="132"/>
      <c r="AR170" s="132"/>
      <c r="AS170" s="132"/>
      <c r="AT170" s="132"/>
      <c r="AU170" s="132"/>
      <c r="AV170" s="132"/>
      <c r="AW170" s="132"/>
      <c r="AX170" s="132"/>
      <c r="AY170" s="132"/>
      <c r="AZ170" s="132"/>
      <c r="BA170" s="132"/>
      <c r="BB170" s="132"/>
      <c r="BC170" s="132"/>
      <c r="BD170" s="132"/>
      <c r="BE170" s="132"/>
      <c r="BF170" s="132"/>
    </row>
    <row r="171" customFormat="false" ht="11.25" hidden="false" customHeight="true" outlineLevel="0" collapsed="false">
      <c r="A171" s="113" t="s">
        <v>1026</v>
      </c>
      <c r="E171" s="80"/>
      <c r="F171" s="810"/>
      <c r="G171" s="138" t="s">
        <v>103</v>
      </c>
      <c r="H171" s="811" t="s">
        <v>89</v>
      </c>
      <c r="I171" s="831"/>
      <c r="J171" s="335"/>
      <c r="K171" s="333" t="s">
        <v>1139</v>
      </c>
      <c r="L171" s="204" t="s">
        <v>19</v>
      </c>
      <c r="M171" s="198"/>
      <c r="N171" s="832"/>
      <c r="O171" s="833" t="s">
        <v>389</v>
      </c>
      <c r="P171" s="834"/>
      <c r="Q171" s="834"/>
      <c r="R171" s="834"/>
      <c r="S171" s="834"/>
      <c r="T171" s="834"/>
      <c r="U171" s="834"/>
      <c r="V171" s="834"/>
      <c r="W171" s="834"/>
      <c r="X171" s="834"/>
      <c r="Y171" s="834"/>
      <c r="Z171" s="834"/>
      <c r="AA171" s="834"/>
      <c r="AB171" s="834"/>
      <c r="AC171" s="834"/>
      <c r="AD171" s="834"/>
      <c r="AE171" s="834"/>
      <c r="AF171" s="835" t="n">
        <v>2020</v>
      </c>
      <c r="AG171" s="836" t="s">
        <v>1059</v>
      </c>
      <c r="AH171" s="836" t="s">
        <v>1060</v>
      </c>
      <c r="AI171" s="835" t="n">
        <v>2020</v>
      </c>
      <c r="AJ171" s="836" t="s">
        <v>1076</v>
      </c>
      <c r="AK171" s="836" t="s">
        <v>1060</v>
      </c>
      <c r="AL171" s="809"/>
      <c r="AM171" s="132"/>
      <c r="AN171" s="132"/>
      <c r="AO171" s="132"/>
      <c r="AP171" s="132"/>
      <c r="AQ171" s="132"/>
      <c r="AR171" s="132"/>
      <c r="AS171" s="132"/>
      <c r="AT171" s="132"/>
      <c r="AU171" s="132"/>
      <c r="AV171" s="132"/>
      <c r="AW171" s="132"/>
      <c r="AX171" s="132"/>
      <c r="AY171" s="132"/>
      <c r="AZ171" s="132"/>
      <c r="BA171" s="132"/>
      <c r="BB171" s="132"/>
      <c r="BC171" s="132"/>
      <c r="BD171" s="132"/>
      <c r="BE171" s="132"/>
      <c r="BF171" s="132"/>
    </row>
    <row r="172" customFormat="false" ht="11.25" hidden="false" customHeight="true" outlineLevel="0" collapsed="false">
      <c r="A172" s="113" t="s">
        <v>1026</v>
      </c>
      <c r="E172" s="80"/>
      <c r="F172" s="810"/>
      <c r="G172" s="138"/>
      <c r="H172" s="811" t="s">
        <v>102</v>
      </c>
      <c r="I172" s="831"/>
      <c r="J172" s="335"/>
      <c r="K172" s="333"/>
      <c r="L172" s="204"/>
      <c r="M172" s="198"/>
      <c r="N172" s="837"/>
      <c r="O172" s="838" t="n">
        <v>1</v>
      </c>
      <c r="P172" s="76" t="s">
        <v>61</v>
      </c>
      <c r="Q172" s="335" t="s">
        <v>1063</v>
      </c>
      <c r="R172" s="839" t="s">
        <v>1064</v>
      </c>
      <c r="S172" s="839" t="s">
        <v>99</v>
      </c>
      <c r="T172" s="839" t="s">
        <v>99</v>
      </c>
      <c r="U172" s="839" t="s">
        <v>100</v>
      </c>
      <c r="V172" s="839" t="s">
        <v>1065</v>
      </c>
      <c r="W172" s="839" t="s">
        <v>1066</v>
      </c>
      <c r="X172" s="839" t="s">
        <v>1067</v>
      </c>
      <c r="Y172" s="839" t="s">
        <v>1068</v>
      </c>
      <c r="Z172" s="840"/>
      <c r="AA172" s="841"/>
      <c r="AB172" s="841"/>
      <c r="AC172" s="842"/>
      <c r="AD172" s="842"/>
      <c r="AE172" s="843"/>
      <c r="AF172" s="835"/>
      <c r="AG172" s="836"/>
      <c r="AH172" s="836"/>
      <c r="AI172" s="835"/>
      <c r="AJ172" s="836"/>
      <c r="AK172" s="836"/>
      <c r="AL172" s="809"/>
      <c r="AM172" s="132"/>
      <c r="AN172" s="132"/>
      <c r="AO172" s="132"/>
      <c r="AP172" s="132"/>
      <c r="AQ172" s="132"/>
      <c r="AR172" s="132"/>
      <c r="AS172" s="132"/>
      <c r="AT172" s="132"/>
      <c r="AU172" s="132"/>
      <c r="AV172" s="132"/>
      <c r="AW172" s="132"/>
      <c r="AX172" s="132"/>
      <c r="AY172" s="132"/>
      <c r="AZ172" s="132"/>
      <c r="BA172" s="132"/>
      <c r="BB172" s="132"/>
      <c r="BC172" s="132"/>
      <c r="BD172" s="132"/>
      <c r="BE172" s="132"/>
      <c r="BF172" s="132"/>
    </row>
    <row r="173" customFormat="false" ht="11.25" hidden="false" customHeight="true" outlineLevel="0" collapsed="false">
      <c r="A173" s="113" t="s">
        <v>1026</v>
      </c>
      <c r="E173" s="80"/>
      <c r="F173" s="810"/>
      <c r="G173" s="138"/>
      <c r="H173" s="811" t="s">
        <v>102</v>
      </c>
      <c r="I173" s="831"/>
      <c r="J173" s="335"/>
      <c r="K173" s="333"/>
      <c r="L173" s="204"/>
      <c r="M173" s="198"/>
      <c r="N173" s="837"/>
      <c r="O173" s="838"/>
      <c r="P173" s="76"/>
      <c r="Q173" s="335"/>
      <c r="R173" s="839"/>
      <c r="S173" s="839"/>
      <c r="T173" s="839"/>
      <c r="U173" s="839"/>
      <c r="V173" s="839"/>
      <c r="W173" s="839"/>
      <c r="X173" s="839"/>
      <c r="Y173" s="839"/>
      <c r="Z173" s="844"/>
      <c r="AA173" s="845" t="n">
        <v>1</v>
      </c>
      <c r="AB173" s="846" t="s">
        <v>1069</v>
      </c>
      <c r="AC173" s="756" t="n">
        <v>332.29</v>
      </c>
      <c r="AD173" s="846" t="str">
        <f aca="false">AB173</f>
        <v>Прочие амортизационные отчисления</v>
      </c>
      <c r="AE173" s="756" t="n">
        <v>332.29</v>
      </c>
      <c r="AF173" s="835"/>
      <c r="AG173" s="836"/>
      <c r="AH173" s="836"/>
      <c r="AI173" s="835"/>
      <c r="AJ173" s="836"/>
      <c r="AK173" s="836"/>
      <c r="AL173" s="809"/>
      <c r="AM173" s="132"/>
      <c r="AN173" s="132"/>
      <c r="AO173" s="132"/>
      <c r="AP173" s="132"/>
      <c r="AQ173" s="132"/>
      <c r="AR173" s="132"/>
      <c r="AS173" s="132"/>
      <c r="AT173" s="132"/>
      <c r="AU173" s="132"/>
      <c r="AV173" s="132"/>
      <c r="AW173" s="132"/>
      <c r="AX173" s="132"/>
      <c r="AY173" s="132"/>
      <c r="AZ173" s="132"/>
      <c r="BA173" s="132"/>
      <c r="BB173" s="132"/>
      <c r="BC173" s="132"/>
      <c r="BD173" s="132"/>
      <c r="BE173" s="132"/>
      <c r="BF173" s="132"/>
    </row>
    <row r="174" customFormat="false" ht="11.25" hidden="false" customHeight="true" outlineLevel="0" collapsed="false">
      <c r="A174" s="113" t="s">
        <v>1026</v>
      </c>
      <c r="E174" s="80"/>
      <c r="F174" s="810"/>
      <c r="G174" s="138"/>
      <c r="H174" s="811" t="s">
        <v>102</v>
      </c>
      <c r="I174" s="831"/>
      <c r="J174" s="335"/>
      <c r="K174" s="333"/>
      <c r="L174" s="204"/>
      <c r="M174" s="198"/>
      <c r="N174" s="837"/>
      <c r="O174" s="838"/>
      <c r="P174" s="76"/>
      <c r="Q174" s="335"/>
      <c r="R174" s="839"/>
      <c r="S174" s="839"/>
      <c r="T174" s="839"/>
      <c r="U174" s="839"/>
      <c r="V174" s="839"/>
      <c r="W174" s="839"/>
      <c r="X174" s="839"/>
      <c r="Y174" s="839"/>
      <c r="Z174" s="840"/>
      <c r="AA174" s="841"/>
      <c r="AB174" s="161" t="s">
        <v>1071</v>
      </c>
      <c r="AC174" s="842"/>
      <c r="AD174" s="842"/>
      <c r="AE174" s="847"/>
      <c r="AF174" s="835"/>
      <c r="AG174" s="836"/>
      <c r="AH174" s="836"/>
      <c r="AI174" s="835"/>
      <c r="AJ174" s="836"/>
      <c r="AK174" s="836"/>
      <c r="AL174" s="809"/>
      <c r="AM174" s="132"/>
      <c r="AN174" s="132"/>
      <c r="AO174" s="132"/>
      <c r="AP174" s="132"/>
      <c r="AQ174" s="132"/>
      <c r="AR174" s="132"/>
      <c r="AS174" s="132"/>
      <c r="AT174" s="132"/>
      <c r="AU174" s="132"/>
      <c r="AV174" s="132"/>
      <c r="AW174" s="132"/>
      <c r="AX174" s="132"/>
      <c r="AY174" s="132"/>
      <c r="AZ174" s="132"/>
      <c r="BA174" s="132"/>
      <c r="BB174" s="132"/>
      <c r="BC174" s="132"/>
      <c r="BD174" s="132"/>
      <c r="BE174" s="132"/>
      <c r="BF174" s="132"/>
    </row>
    <row r="175" customFormat="false" ht="11.25" hidden="false" customHeight="true" outlineLevel="0" collapsed="false">
      <c r="A175" s="113" t="s">
        <v>1026</v>
      </c>
      <c r="E175" s="80"/>
      <c r="F175" s="810"/>
      <c r="G175" s="138"/>
      <c r="H175" s="811" t="s">
        <v>102</v>
      </c>
      <c r="I175" s="831"/>
      <c r="J175" s="335"/>
      <c r="K175" s="333"/>
      <c r="L175" s="204"/>
      <c r="M175" s="198"/>
      <c r="N175" s="840"/>
      <c r="O175" s="841"/>
      <c r="P175" s="161" t="s">
        <v>1072</v>
      </c>
      <c r="Q175" s="841"/>
      <c r="R175" s="841"/>
      <c r="S175" s="841"/>
      <c r="T175" s="841"/>
      <c r="U175" s="841"/>
      <c r="V175" s="841"/>
      <c r="W175" s="841"/>
      <c r="X175" s="841"/>
      <c r="Y175" s="841"/>
      <c r="Z175" s="841"/>
      <c r="AA175" s="841"/>
      <c r="AB175" s="841"/>
      <c r="AC175" s="841"/>
      <c r="AD175" s="841"/>
      <c r="AE175" s="848"/>
      <c r="AF175" s="835"/>
      <c r="AG175" s="836"/>
      <c r="AH175" s="836"/>
      <c r="AI175" s="835"/>
      <c r="AJ175" s="836"/>
      <c r="AK175" s="836"/>
      <c r="AL175" s="809"/>
      <c r="AM175" s="132"/>
      <c r="AN175" s="132"/>
      <c r="AO175" s="132"/>
      <c r="AP175" s="132"/>
      <c r="AQ175" s="132"/>
      <c r="AR175" s="132"/>
      <c r="AS175" s="132"/>
      <c r="AT175" s="132"/>
      <c r="AU175" s="132"/>
      <c r="AV175" s="132"/>
      <c r="AW175" s="132"/>
      <c r="AX175" s="132"/>
      <c r="AY175" s="132"/>
      <c r="AZ175" s="132"/>
      <c r="BA175" s="132"/>
      <c r="BB175" s="132"/>
      <c r="BC175" s="132"/>
      <c r="BD175" s="132"/>
      <c r="BE175" s="132"/>
      <c r="BF175" s="132"/>
    </row>
    <row r="176" customFormat="false" ht="11.25" hidden="false" customHeight="true" outlineLevel="0" collapsed="false">
      <c r="A176" s="113" t="s">
        <v>1026</v>
      </c>
      <c r="E176" s="80"/>
      <c r="F176" s="810"/>
      <c r="G176" s="138" t="s">
        <v>103</v>
      </c>
      <c r="H176" s="811" t="s">
        <v>90</v>
      </c>
      <c r="I176" s="831"/>
      <c r="J176" s="335"/>
      <c r="K176" s="333" t="s">
        <v>1140</v>
      </c>
      <c r="L176" s="204" t="s">
        <v>19</v>
      </c>
      <c r="M176" s="198"/>
      <c r="N176" s="832"/>
      <c r="O176" s="833" t="s">
        <v>389</v>
      </c>
      <c r="P176" s="834"/>
      <c r="Q176" s="834"/>
      <c r="R176" s="834"/>
      <c r="S176" s="834"/>
      <c r="T176" s="834"/>
      <c r="U176" s="834"/>
      <c r="V176" s="834"/>
      <c r="W176" s="834"/>
      <c r="X176" s="834"/>
      <c r="Y176" s="834"/>
      <c r="Z176" s="834"/>
      <c r="AA176" s="834"/>
      <c r="AB176" s="834"/>
      <c r="AC176" s="834"/>
      <c r="AD176" s="834"/>
      <c r="AE176" s="834"/>
      <c r="AF176" s="835" t="n">
        <v>2020</v>
      </c>
      <c r="AG176" s="836" t="s">
        <v>1059</v>
      </c>
      <c r="AH176" s="836" t="s">
        <v>1075</v>
      </c>
      <c r="AI176" s="835" t="n">
        <v>2022</v>
      </c>
      <c r="AJ176" s="836" t="s">
        <v>1059</v>
      </c>
      <c r="AK176" s="836" t="s">
        <v>1096</v>
      </c>
      <c r="AL176" s="809"/>
      <c r="AM176" s="132"/>
      <c r="AN176" s="132"/>
      <c r="AO176" s="132"/>
      <c r="AP176" s="132"/>
      <c r="AQ176" s="132"/>
      <c r="AR176" s="132"/>
      <c r="AS176" s="132"/>
      <c r="AT176" s="132"/>
      <c r="AU176" s="132"/>
      <c r="AV176" s="132"/>
      <c r="AW176" s="132"/>
      <c r="AX176" s="132"/>
      <c r="AY176" s="132"/>
      <c r="AZ176" s="132"/>
      <c r="BA176" s="132"/>
      <c r="BB176" s="132"/>
      <c r="BC176" s="132"/>
      <c r="BD176" s="132"/>
      <c r="BE176" s="132"/>
      <c r="BF176" s="132"/>
    </row>
    <row r="177" customFormat="false" ht="11.25" hidden="false" customHeight="true" outlineLevel="0" collapsed="false">
      <c r="A177" s="113" t="s">
        <v>1026</v>
      </c>
      <c r="E177" s="80"/>
      <c r="F177" s="810"/>
      <c r="G177" s="138"/>
      <c r="H177" s="811" t="s">
        <v>89</v>
      </c>
      <c r="I177" s="831"/>
      <c r="J177" s="335"/>
      <c r="K177" s="333"/>
      <c r="L177" s="204"/>
      <c r="M177" s="198"/>
      <c r="N177" s="837"/>
      <c r="O177" s="838" t="n">
        <v>1</v>
      </c>
      <c r="P177" s="76" t="s">
        <v>61</v>
      </c>
      <c r="Q177" s="335" t="s">
        <v>1080</v>
      </c>
      <c r="R177" s="839" t="s">
        <v>1064</v>
      </c>
      <c r="S177" s="839" t="s">
        <v>99</v>
      </c>
      <c r="T177" s="839" t="s">
        <v>99</v>
      </c>
      <c r="U177" s="839" t="s">
        <v>100</v>
      </c>
      <c r="V177" s="839" t="s">
        <v>1065</v>
      </c>
      <c r="W177" s="839" t="s">
        <v>1066</v>
      </c>
      <c r="X177" s="839" t="s">
        <v>1081</v>
      </c>
      <c r="Y177" s="839" t="s">
        <v>1082</v>
      </c>
      <c r="Z177" s="840"/>
      <c r="AA177" s="841"/>
      <c r="AB177" s="841"/>
      <c r="AC177" s="842"/>
      <c r="AD177" s="842"/>
      <c r="AE177" s="843"/>
      <c r="AF177" s="835"/>
      <c r="AG177" s="836"/>
      <c r="AH177" s="836"/>
      <c r="AI177" s="835"/>
      <c r="AJ177" s="836"/>
      <c r="AK177" s="836"/>
      <c r="AL177" s="809"/>
      <c r="AM177" s="132"/>
      <c r="AN177" s="132"/>
      <c r="AO177" s="132"/>
      <c r="AP177" s="132"/>
      <c r="AQ177" s="132"/>
      <c r="AR177" s="132"/>
      <c r="AS177" s="132"/>
      <c r="AT177" s="132"/>
      <c r="AU177" s="132"/>
      <c r="AV177" s="132"/>
      <c r="AW177" s="132"/>
      <c r="AX177" s="132"/>
      <c r="AY177" s="132"/>
      <c r="AZ177" s="132"/>
      <c r="BA177" s="132"/>
      <c r="BB177" s="132"/>
      <c r="BC177" s="132"/>
      <c r="BD177" s="132"/>
      <c r="BE177" s="132"/>
      <c r="BF177" s="132"/>
    </row>
    <row r="178" customFormat="false" ht="11.25" hidden="false" customHeight="true" outlineLevel="0" collapsed="false">
      <c r="A178" s="113" t="s">
        <v>1026</v>
      </c>
      <c r="E178" s="80"/>
      <c r="F178" s="810"/>
      <c r="G178" s="138"/>
      <c r="H178" s="811" t="s">
        <v>89</v>
      </c>
      <c r="I178" s="831"/>
      <c r="J178" s="335"/>
      <c r="K178" s="333"/>
      <c r="L178" s="204"/>
      <c r="M178" s="198"/>
      <c r="N178" s="837"/>
      <c r="O178" s="838"/>
      <c r="P178" s="76"/>
      <c r="Q178" s="335"/>
      <c r="R178" s="839"/>
      <c r="S178" s="839"/>
      <c r="T178" s="839"/>
      <c r="U178" s="839"/>
      <c r="V178" s="839"/>
      <c r="W178" s="839"/>
      <c r="X178" s="839"/>
      <c r="Y178" s="839"/>
      <c r="Z178" s="844"/>
      <c r="AA178" s="845" t="n">
        <v>1</v>
      </c>
      <c r="AB178" s="846" t="s">
        <v>1069</v>
      </c>
      <c r="AC178" s="756" t="n">
        <v>228.93</v>
      </c>
      <c r="AD178" s="846" t="str">
        <f aca="false">AB178</f>
        <v>Прочие амортизационные отчисления</v>
      </c>
      <c r="AE178" s="756" t="n">
        <v>228.93</v>
      </c>
      <c r="AF178" s="835"/>
      <c r="AG178" s="836"/>
      <c r="AH178" s="836"/>
      <c r="AI178" s="835"/>
      <c r="AJ178" s="836"/>
      <c r="AK178" s="836"/>
      <c r="AL178" s="809"/>
      <c r="AM178" s="132"/>
      <c r="AN178" s="132"/>
      <c r="AO178" s="132"/>
      <c r="AP178" s="132"/>
      <c r="AQ178" s="132"/>
      <c r="AR178" s="132"/>
      <c r="AS178" s="132"/>
      <c r="AT178" s="132"/>
      <c r="AU178" s="132"/>
      <c r="AV178" s="132"/>
      <c r="AW178" s="132"/>
      <c r="AX178" s="132"/>
      <c r="AY178" s="132"/>
      <c r="AZ178" s="132"/>
      <c r="BA178" s="132"/>
      <c r="BB178" s="132"/>
      <c r="BC178" s="132"/>
      <c r="BD178" s="132"/>
      <c r="BE178" s="132"/>
      <c r="BF178" s="132"/>
    </row>
    <row r="179" customFormat="false" ht="11.25" hidden="false" customHeight="true" outlineLevel="0" collapsed="false">
      <c r="A179" s="113" t="s">
        <v>1026</v>
      </c>
      <c r="E179" s="80"/>
      <c r="F179" s="810"/>
      <c r="G179" s="138"/>
      <c r="H179" s="811" t="s">
        <v>89</v>
      </c>
      <c r="I179" s="831"/>
      <c r="J179" s="335"/>
      <c r="K179" s="333"/>
      <c r="L179" s="204"/>
      <c r="M179" s="198"/>
      <c r="N179" s="837"/>
      <c r="O179" s="838"/>
      <c r="P179" s="76"/>
      <c r="Q179" s="335"/>
      <c r="R179" s="839"/>
      <c r="S179" s="839"/>
      <c r="T179" s="839"/>
      <c r="U179" s="839"/>
      <c r="V179" s="839"/>
      <c r="W179" s="839"/>
      <c r="X179" s="839"/>
      <c r="Y179" s="839"/>
      <c r="Z179" s="840"/>
      <c r="AA179" s="841"/>
      <c r="AB179" s="161" t="s">
        <v>1071</v>
      </c>
      <c r="AC179" s="842"/>
      <c r="AD179" s="842"/>
      <c r="AE179" s="847"/>
      <c r="AF179" s="835"/>
      <c r="AG179" s="836"/>
      <c r="AH179" s="836"/>
      <c r="AI179" s="835"/>
      <c r="AJ179" s="836"/>
      <c r="AK179" s="836"/>
      <c r="AL179" s="809"/>
      <c r="AM179" s="132"/>
      <c r="AN179" s="132"/>
      <c r="AO179" s="132"/>
      <c r="AP179" s="132"/>
      <c r="AQ179" s="132"/>
      <c r="AR179" s="132"/>
      <c r="AS179" s="132"/>
      <c r="AT179" s="132"/>
      <c r="AU179" s="132"/>
      <c r="AV179" s="132"/>
      <c r="AW179" s="132"/>
      <c r="AX179" s="132"/>
      <c r="AY179" s="132"/>
      <c r="AZ179" s="132"/>
      <c r="BA179" s="132"/>
      <c r="BB179" s="132"/>
      <c r="BC179" s="132"/>
      <c r="BD179" s="132"/>
      <c r="BE179" s="132"/>
      <c r="BF179" s="132"/>
    </row>
    <row r="180" customFormat="false" ht="11.25" hidden="false" customHeight="true" outlineLevel="0" collapsed="false">
      <c r="A180" s="113" t="s">
        <v>1026</v>
      </c>
      <c r="E180" s="80"/>
      <c r="F180" s="810"/>
      <c r="G180" s="138"/>
      <c r="H180" s="811" t="s">
        <v>89</v>
      </c>
      <c r="I180" s="831"/>
      <c r="J180" s="335"/>
      <c r="K180" s="333"/>
      <c r="L180" s="204"/>
      <c r="M180" s="198"/>
      <c r="N180" s="840"/>
      <c r="O180" s="841"/>
      <c r="P180" s="161" t="s">
        <v>1072</v>
      </c>
      <c r="Q180" s="841"/>
      <c r="R180" s="841"/>
      <c r="S180" s="841"/>
      <c r="T180" s="841"/>
      <c r="U180" s="841"/>
      <c r="V180" s="841"/>
      <c r="W180" s="841"/>
      <c r="X180" s="841"/>
      <c r="Y180" s="841"/>
      <c r="Z180" s="841"/>
      <c r="AA180" s="841"/>
      <c r="AB180" s="841"/>
      <c r="AC180" s="841"/>
      <c r="AD180" s="841"/>
      <c r="AE180" s="848"/>
      <c r="AF180" s="835"/>
      <c r="AG180" s="836"/>
      <c r="AH180" s="836"/>
      <c r="AI180" s="835"/>
      <c r="AJ180" s="836"/>
      <c r="AK180" s="836"/>
      <c r="AL180" s="809"/>
      <c r="AM180" s="132"/>
      <c r="AN180" s="132"/>
      <c r="AO180" s="132"/>
      <c r="AP180" s="132"/>
      <c r="AQ180" s="132"/>
      <c r="AR180" s="132"/>
      <c r="AS180" s="132"/>
      <c r="AT180" s="132"/>
      <c r="AU180" s="132"/>
      <c r="AV180" s="132"/>
      <c r="AW180" s="132"/>
      <c r="AX180" s="132"/>
      <c r="AY180" s="132"/>
      <c r="AZ180" s="132"/>
      <c r="BA180" s="132"/>
      <c r="BB180" s="132"/>
      <c r="BC180" s="132"/>
      <c r="BD180" s="132"/>
      <c r="BE180" s="132"/>
      <c r="BF180" s="132"/>
    </row>
    <row r="181" customFormat="false" ht="11.25" hidden="false" customHeight="true" outlineLevel="0" collapsed="false">
      <c r="A181" s="113" t="s">
        <v>1026</v>
      </c>
      <c r="E181" s="80"/>
      <c r="F181" s="810"/>
      <c r="G181" s="138" t="s">
        <v>103</v>
      </c>
      <c r="H181" s="811" t="s">
        <v>121</v>
      </c>
      <c r="I181" s="831"/>
      <c r="J181" s="335"/>
      <c r="K181" s="333" t="s">
        <v>1141</v>
      </c>
      <c r="L181" s="204" t="s">
        <v>19</v>
      </c>
      <c r="M181" s="198"/>
      <c r="N181" s="832"/>
      <c r="O181" s="833" t="s">
        <v>389</v>
      </c>
      <c r="P181" s="834"/>
      <c r="Q181" s="834"/>
      <c r="R181" s="834"/>
      <c r="S181" s="834"/>
      <c r="T181" s="834"/>
      <c r="U181" s="834"/>
      <c r="V181" s="834"/>
      <c r="W181" s="834"/>
      <c r="X181" s="834"/>
      <c r="Y181" s="834"/>
      <c r="Z181" s="834"/>
      <c r="AA181" s="834"/>
      <c r="AB181" s="834"/>
      <c r="AC181" s="834"/>
      <c r="AD181" s="834"/>
      <c r="AE181" s="834"/>
      <c r="AF181" s="835" t="n">
        <v>2020</v>
      </c>
      <c r="AG181" s="836" t="s">
        <v>1059</v>
      </c>
      <c r="AH181" s="836" t="s">
        <v>1060</v>
      </c>
      <c r="AI181" s="835" t="n">
        <v>2020</v>
      </c>
      <c r="AJ181" s="836" t="s">
        <v>1113</v>
      </c>
      <c r="AK181" s="836" t="s">
        <v>1060</v>
      </c>
      <c r="AL181" s="809"/>
      <c r="AM181" s="132"/>
      <c r="AN181" s="132"/>
      <c r="AO181" s="132"/>
      <c r="AP181" s="132"/>
      <c r="AQ181" s="132"/>
      <c r="AR181" s="132"/>
      <c r="AS181" s="132"/>
      <c r="AT181" s="132"/>
      <c r="AU181" s="132"/>
      <c r="AV181" s="132"/>
      <c r="AW181" s="132"/>
      <c r="AX181" s="132"/>
      <c r="AY181" s="132"/>
      <c r="AZ181" s="132"/>
      <c r="BA181" s="132"/>
      <c r="BB181" s="132"/>
      <c r="BC181" s="132"/>
      <c r="BD181" s="132"/>
      <c r="BE181" s="132"/>
      <c r="BF181" s="132"/>
    </row>
    <row r="182" customFormat="false" ht="11.25" hidden="false" customHeight="true" outlineLevel="0" collapsed="false">
      <c r="A182" s="113" t="s">
        <v>1026</v>
      </c>
      <c r="E182" s="80"/>
      <c r="F182" s="810"/>
      <c r="G182" s="138"/>
      <c r="H182" s="811" t="s">
        <v>90</v>
      </c>
      <c r="I182" s="831"/>
      <c r="J182" s="335"/>
      <c r="K182" s="333"/>
      <c r="L182" s="204"/>
      <c r="M182" s="198"/>
      <c r="N182" s="837"/>
      <c r="O182" s="838" t="n">
        <v>1</v>
      </c>
      <c r="P182" s="76" t="s">
        <v>61</v>
      </c>
      <c r="Q182" s="335" t="s">
        <v>1080</v>
      </c>
      <c r="R182" s="839" t="s">
        <v>1064</v>
      </c>
      <c r="S182" s="839" t="s">
        <v>99</v>
      </c>
      <c r="T182" s="839" t="s">
        <v>99</v>
      </c>
      <c r="U182" s="839" t="s">
        <v>100</v>
      </c>
      <c r="V182" s="839" t="s">
        <v>1065</v>
      </c>
      <c r="W182" s="839" t="s">
        <v>1066</v>
      </c>
      <c r="X182" s="839" t="s">
        <v>1081</v>
      </c>
      <c r="Y182" s="839" t="s">
        <v>1082</v>
      </c>
      <c r="Z182" s="840"/>
      <c r="AA182" s="841"/>
      <c r="AB182" s="841"/>
      <c r="AC182" s="842"/>
      <c r="AD182" s="842"/>
      <c r="AE182" s="843"/>
      <c r="AF182" s="835"/>
      <c r="AG182" s="836"/>
      <c r="AH182" s="836"/>
      <c r="AI182" s="835"/>
      <c r="AJ182" s="836"/>
      <c r="AK182" s="836"/>
      <c r="AL182" s="809"/>
      <c r="AM182" s="132"/>
      <c r="AN182" s="132"/>
      <c r="AO182" s="132"/>
      <c r="AP182" s="132"/>
      <c r="AQ182" s="132"/>
      <c r="AR182" s="132"/>
      <c r="AS182" s="132"/>
      <c r="AT182" s="132"/>
      <c r="AU182" s="132"/>
      <c r="AV182" s="132"/>
      <c r="AW182" s="132"/>
      <c r="AX182" s="132"/>
      <c r="AY182" s="132"/>
      <c r="AZ182" s="132"/>
      <c r="BA182" s="132"/>
      <c r="BB182" s="132"/>
      <c r="BC182" s="132"/>
      <c r="BD182" s="132"/>
      <c r="BE182" s="132"/>
      <c r="BF182" s="132"/>
    </row>
    <row r="183" customFormat="false" ht="11.25" hidden="false" customHeight="true" outlineLevel="0" collapsed="false">
      <c r="A183" s="113" t="s">
        <v>1026</v>
      </c>
      <c r="E183" s="80"/>
      <c r="F183" s="810"/>
      <c r="G183" s="138"/>
      <c r="H183" s="811" t="s">
        <v>90</v>
      </c>
      <c r="I183" s="831"/>
      <c r="J183" s="335"/>
      <c r="K183" s="333"/>
      <c r="L183" s="204"/>
      <c r="M183" s="198"/>
      <c r="N183" s="837"/>
      <c r="O183" s="838"/>
      <c r="P183" s="76"/>
      <c r="Q183" s="335"/>
      <c r="R183" s="839"/>
      <c r="S183" s="839"/>
      <c r="T183" s="839"/>
      <c r="U183" s="839"/>
      <c r="V183" s="839"/>
      <c r="W183" s="839"/>
      <c r="X183" s="839"/>
      <c r="Y183" s="839"/>
      <c r="Z183" s="844"/>
      <c r="AA183" s="845" t="n">
        <v>1</v>
      </c>
      <c r="AB183" s="846" t="s">
        <v>1069</v>
      </c>
      <c r="AC183" s="756" t="n">
        <v>50</v>
      </c>
      <c r="AD183" s="846" t="str">
        <f aca="false">AB183</f>
        <v>Прочие амортизационные отчисления</v>
      </c>
      <c r="AE183" s="756" t="n">
        <v>50</v>
      </c>
      <c r="AF183" s="835"/>
      <c r="AG183" s="836"/>
      <c r="AH183" s="836"/>
      <c r="AI183" s="835"/>
      <c r="AJ183" s="836"/>
      <c r="AK183" s="836"/>
      <c r="AL183" s="809"/>
      <c r="AM183" s="132"/>
      <c r="AN183" s="132"/>
      <c r="AO183" s="132"/>
      <c r="AP183" s="132"/>
      <c r="AQ183" s="132"/>
      <c r="AR183" s="132"/>
      <c r="AS183" s="132"/>
      <c r="AT183" s="132"/>
      <c r="AU183" s="132"/>
      <c r="AV183" s="132"/>
      <c r="AW183" s="132"/>
      <c r="AX183" s="132"/>
      <c r="AY183" s="132"/>
      <c r="AZ183" s="132"/>
      <c r="BA183" s="132"/>
      <c r="BB183" s="132"/>
      <c r="BC183" s="132"/>
      <c r="BD183" s="132"/>
      <c r="BE183" s="132"/>
      <c r="BF183" s="132"/>
    </row>
    <row r="184" customFormat="false" ht="11.25" hidden="false" customHeight="true" outlineLevel="0" collapsed="false">
      <c r="A184" s="113" t="s">
        <v>1026</v>
      </c>
      <c r="E184" s="80"/>
      <c r="F184" s="810"/>
      <c r="G184" s="138"/>
      <c r="H184" s="811" t="s">
        <v>90</v>
      </c>
      <c r="I184" s="831"/>
      <c r="J184" s="335"/>
      <c r="K184" s="333"/>
      <c r="L184" s="204"/>
      <c r="M184" s="198"/>
      <c r="N184" s="837"/>
      <c r="O184" s="838"/>
      <c r="P184" s="76"/>
      <c r="Q184" s="335"/>
      <c r="R184" s="839"/>
      <c r="S184" s="839"/>
      <c r="T184" s="839"/>
      <c r="U184" s="839"/>
      <c r="V184" s="839"/>
      <c r="W184" s="839"/>
      <c r="X184" s="839"/>
      <c r="Y184" s="839"/>
      <c r="Z184" s="840"/>
      <c r="AA184" s="841"/>
      <c r="AB184" s="161" t="s">
        <v>1071</v>
      </c>
      <c r="AC184" s="842"/>
      <c r="AD184" s="842"/>
      <c r="AE184" s="847"/>
      <c r="AF184" s="835"/>
      <c r="AG184" s="836"/>
      <c r="AH184" s="836"/>
      <c r="AI184" s="835"/>
      <c r="AJ184" s="836"/>
      <c r="AK184" s="836"/>
      <c r="AL184" s="809"/>
      <c r="AM184" s="132"/>
      <c r="AN184" s="132"/>
      <c r="AO184" s="132"/>
      <c r="AP184" s="132"/>
      <c r="AQ184" s="132"/>
      <c r="AR184" s="132"/>
      <c r="AS184" s="132"/>
      <c r="AT184" s="132"/>
      <c r="AU184" s="132"/>
      <c r="AV184" s="132"/>
      <c r="AW184" s="132"/>
      <c r="AX184" s="132"/>
      <c r="AY184" s="132"/>
      <c r="AZ184" s="132"/>
      <c r="BA184" s="132"/>
      <c r="BB184" s="132"/>
      <c r="BC184" s="132"/>
      <c r="BD184" s="132"/>
      <c r="BE184" s="132"/>
      <c r="BF184" s="132"/>
    </row>
    <row r="185" customFormat="false" ht="11.25" hidden="false" customHeight="true" outlineLevel="0" collapsed="false">
      <c r="A185" s="113" t="s">
        <v>1026</v>
      </c>
      <c r="E185" s="80"/>
      <c r="F185" s="810"/>
      <c r="G185" s="138"/>
      <c r="H185" s="811" t="s">
        <v>90</v>
      </c>
      <c r="I185" s="831"/>
      <c r="J185" s="335"/>
      <c r="K185" s="333"/>
      <c r="L185" s="204"/>
      <c r="M185" s="198"/>
      <c r="N185" s="840"/>
      <c r="O185" s="841"/>
      <c r="P185" s="161" t="s">
        <v>1072</v>
      </c>
      <c r="Q185" s="841"/>
      <c r="R185" s="841"/>
      <c r="S185" s="841"/>
      <c r="T185" s="841"/>
      <c r="U185" s="841"/>
      <c r="V185" s="841"/>
      <c r="W185" s="841"/>
      <c r="X185" s="841"/>
      <c r="Y185" s="841"/>
      <c r="Z185" s="841"/>
      <c r="AA185" s="841"/>
      <c r="AB185" s="841"/>
      <c r="AC185" s="841"/>
      <c r="AD185" s="841"/>
      <c r="AE185" s="848"/>
      <c r="AF185" s="835"/>
      <c r="AG185" s="836"/>
      <c r="AH185" s="836"/>
      <c r="AI185" s="835"/>
      <c r="AJ185" s="836"/>
      <c r="AK185" s="836"/>
      <c r="AL185" s="809"/>
      <c r="AM185" s="132"/>
      <c r="AN185" s="132"/>
      <c r="AO185" s="132"/>
      <c r="AP185" s="132"/>
      <c r="AQ185" s="132"/>
      <c r="AR185" s="132"/>
      <c r="AS185" s="132"/>
      <c r="AT185" s="132"/>
      <c r="AU185" s="132"/>
      <c r="AV185" s="132"/>
      <c r="AW185" s="132"/>
      <c r="AX185" s="132"/>
      <c r="AY185" s="132"/>
      <c r="AZ185" s="132"/>
      <c r="BA185" s="132"/>
      <c r="BB185" s="132"/>
      <c r="BC185" s="132"/>
      <c r="BD185" s="132"/>
      <c r="BE185" s="132"/>
      <c r="BF185" s="132"/>
    </row>
    <row r="186" customFormat="false" ht="11.25" hidden="false" customHeight="true" outlineLevel="0" collapsed="false">
      <c r="A186" s="113" t="s">
        <v>1026</v>
      </c>
      <c r="E186" s="80"/>
      <c r="F186" s="810"/>
      <c r="G186" s="138" t="s">
        <v>103</v>
      </c>
      <c r="H186" s="811" t="s">
        <v>91</v>
      </c>
      <c r="I186" s="831"/>
      <c r="J186" s="335"/>
      <c r="K186" s="333" t="s">
        <v>1142</v>
      </c>
      <c r="L186" s="204" t="s">
        <v>19</v>
      </c>
      <c r="M186" s="198"/>
      <c r="N186" s="832"/>
      <c r="O186" s="833" t="s">
        <v>389</v>
      </c>
      <c r="P186" s="834"/>
      <c r="Q186" s="834"/>
      <c r="R186" s="834"/>
      <c r="S186" s="834"/>
      <c r="T186" s="834"/>
      <c r="U186" s="834"/>
      <c r="V186" s="834"/>
      <c r="W186" s="834"/>
      <c r="X186" s="834"/>
      <c r="Y186" s="834"/>
      <c r="Z186" s="834"/>
      <c r="AA186" s="834"/>
      <c r="AB186" s="834"/>
      <c r="AC186" s="834"/>
      <c r="AD186" s="834"/>
      <c r="AE186" s="834"/>
      <c r="AF186" s="835" t="n">
        <v>2020</v>
      </c>
      <c r="AG186" s="836" t="s">
        <v>1059</v>
      </c>
      <c r="AH186" s="836" t="s">
        <v>1060</v>
      </c>
      <c r="AI186" s="835" t="n">
        <v>2020</v>
      </c>
      <c r="AJ186" s="836" t="s">
        <v>1113</v>
      </c>
      <c r="AK186" s="836" t="s">
        <v>1060</v>
      </c>
      <c r="AL186" s="809"/>
      <c r="AM186" s="132"/>
      <c r="AN186" s="132"/>
      <c r="AO186" s="132"/>
      <c r="AP186" s="132"/>
      <c r="AQ186" s="132"/>
      <c r="AR186" s="132"/>
      <c r="AS186" s="132"/>
      <c r="AT186" s="132"/>
      <c r="AU186" s="132"/>
      <c r="AV186" s="132"/>
      <c r="AW186" s="132"/>
      <c r="AX186" s="132"/>
      <c r="AY186" s="132"/>
      <c r="AZ186" s="132"/>
      <c r="BA186" s="132"/>
      <c r="BB186" s="132"/>
      <c r="BC186" s="132"/>
      <c r="BD186" s="132"/>
      <c r="BE186" s="132"/>
      <c r="BF186" s="132"/>
    </row>
    <row r="187" customFormat="false" ht="11.25" hidden="false" customHeight="true" outlineLevel="0" collapsed="false">
      <c r="A187" s="113" t="s">
        <v>1026</v>
      </c>
      <c r="E187" s="80"/>
      <c r="F187" s="810"/>
      <c r="G187" s="138"/>
      <c r="H187" s="811" t="s">
        <v>121</v>
      </c>
      <c r="I187" s="831"/>
      <c r="J187" s="335"/>
      <c r="K187" s="333"/>
      <c r="L187" s="204"/>
      <c r="M187" s="198"/>
      <c r="N187" s="837"/>
      <c r="O187" s="838" t="n">
        <v>1</v>
      </c>
      <c r="P187" s="76" t="s">
        <v>61</v>
      </c>
      <c r="Q187" s="335" t="s">
        <v>1080</v>
      </c>
      <c r="R187" s="839" t="s">
        <v>1064</v>
      </c>
      <c r="S187" s="839" t="s">
        <v>99</v>
      </c>
      <c r="T187" s="839" t="s">
        <v>99</v>
      </c>
      <c r="U187" s="839" t="s">
        <v>100</v>
      </c>
      <c r="V187" s="839" t="s">
        <v>1065</v>
      </c>
      <c r="W187" s="839" t="s">
        <v>1066</v>
      </c>
      <c r="X187" s="839" t="s">
        <v>1081</v>
      </c>
      <c r="Y187" s="839" t="s">
        <v>1082</v>
      </c>
      <c r="Z187" s="840"/>
      <c r="AA187" s="841"/>
      <c r="AB187" s="841"/>
      <c r="AC187" s="842"/>
      <c r="AD187" s="842"/>
      <c r="AE187" s="843"/>
      <c r="AF187" s="835"/>
      <c r="AG187" s="836"/>
      <c r="AH187" s="836"/>
      <c r="AI187" s="835"/>
      <c r="AJ187" s="836"/>
      <c r="AK187" s="836"/>
      <c r="AL187" s="809"/>
      <c r="AM187" s="132"/>
      <c r="AN187" s="132"/>
      <c r="AO187" s="132"/>
      <c r="AP187" s="132"/>
      <c r="AQ187" s="132"/>
      <c r="AR187" s="132"/>
      <c r="AS187" s="132"/>
      <c r="AT187" s="132"/>
      <c r="AU187" s="132"/>
      <c r="AV187" s="132"/>
      <c r="AW187" s="132"/>
      <c r="AX187" s="132"/>
      <c r="AY187" s="132"/>
      <c r="AZ187" s="132"/>
      <c r="BA187" s="132"/>
      <c r="BB187" s="132"/>
      <c r="BC187" s="132"/>
      <c r="BD187" s="132"/>
      <c r="BE187" s="132"/>
      <c r="BF187" s="132"/>
    </row>
    <row r="188" customFormat="false" ht="11.25" hidden="false" customHeight="true" outlineLevel="0" collapsed="false">
      <c r="A188" s="113" t="s">
        <v>1026</v>
      </c>
      <c r="E188" s="80"/>
      <c r="F188" s="810"/>
      <c r="G188" s="138"/>
      <c r="H188" s="811" t="s">
        <v>121</v>
      </c>
      <c r="I188" s="831"/>
      <c r="J188" s="335"/>
      <c r="K188" s="333"/>
      <c r="L188" s="204"/>
      <c r="M188" s="198"/>
      <c r="N188" s="837"/>
      <c r="O188" s="838"/>
      <c r="P188" s="76"/>
      <c r="Q188" s="335"/>
      <c r="R188" s="839"/>
      <c r="S188" s="839"/>
      <c r="T188" s="839"/>
      <c r="U188" s="839"/>
      <c r="V188" s="839"/>
      <c r="W188" s="839"/>
      <c r="X188" s="839"/>
      <c r="Y188" s="839"/>
      <c r="Z188" s="844"/>
      <c r="AA188" s="845" t="n">
        <v>1</v>
      </c>
      <c r="AB188" s="846" t="s">
        <v>1069</v>
      </c>
      <c r="AC188" s="756" t="n">
        <v>100</v>
      </c>
      <c r="AD188" s="846" t="str">
        <f aca="false">AB188</f>
        <v>Прочие амортизационные отчисления</v>
      </c>
      <c r="AE188" s="756" t="n">
        <v>100</v>
      </c>
      <c r="AF188" s="835"/>
      <c r="AG188" s="836"/>
      <c r="AH188" s="836"/>
      <c r="AI188" s="835"/>
      <c r="AJ188" s="836"/>
      <c r="AK188" s="836"/>
      <c r="AL188" s="809"/>
      <c r="AM188" s="132"/>
      <c r="AN188" s="132"/>
      <c r="AO188" s="132"/>
      <c r="AP188" s="132"/>
      <c r="AQ188" s="132"/>
      <c r="AR188" s="132"/>
      <c r="AS188" s="132"/>
      <c r="AT188" s="132"/>
      <c r="AU188" s="132"/>
      <c r="AV188" s="132"/>
      <c r="AW188" s="132"/>
      <c r="AX188" s="132"/>
      <c r="AY188" s="132"/>
      <c r="AZ188" s="132"/>
      <c r="BA188" s="132"/>
      <c r="BB188" s="132"/>
      <c r="BC188" s="132"/>
      <c r="BD188" s="132"/>
      <c r="BE188" s="132"/>
      <c r="BF188" s="132"/>
    </row>
    <row r="189" customFormat="false" ht="11.25" hidden="false" customHeight="true" outlineLevel="0" collapsed="false">
      <c r="A189" s="113" t="s">
        <v>1026</v>
      </c>
      <c r="E189" s="80"/>
      <c r="F189" s="810"/>
      <c r="G189" s="138"/>
      <c r="H189" s="811" t="s">
        <v>121</v>
      </c>
      <c r="I189" s="831"/>
      <c r="J189" s="335"/>
      <c r="K189" s="333"/>
      <c r="L189" s="204"/>
      <c r="M189" s="198"/>
      <c r="N189" s="837"/>
      <c r="O189" s="838"/>
      <c r="P189" s="76"/>
      <c r="Q189" s="335"/>
      <c r="R189" s="839"/>
      <c r="S189" s="839"/>
      <c r="T189" s="839"/>
      <c r="U189" s="839"/>
      <c r="V189" s="839"/>
      <c r="W189" s="839"/>
      <c r="X189" s="839"/>
      <c r="Y189" s="839"/>
      <c r="Z189" s="840"/>
      <c r="AA189" s="841"/>
      <c r="AB189" s="161" t="s">
        <v>1071</v>
      </c>
      <c r="AC189" s="842"/>
      <c r="AD189" s="842"/>
      <c r="AE189" s="847"/>
      <c r="AF189" s="835"/>
      <c r="AG189" s="836"/>
      <c r="AH189" s="836"/>
      <c r="AI189" s="835"/>
      <c r="AJ189" s="836"/>
      <c r="AK189" s="836"/>
      <c r="AL189" s="809"/>
      <c r="AM189" s="132"/>
      <c r="AN189" s="132"/>
      <c r="AO189" s="132"/>
      <c r="AP189" s="132"/>
      <c r="AQ189" s="132"/>
      <c r="AR189" s="132"/>
      <c r="AS189" s="132"/>
      <c r="AT189" s="132"/>
      <c r="AU189" s="132"/>
      <c r="AV189" s="132"/>
      <c r="AW189" s="132"/>
      <c r="AX189" s="132"/>
      <c r="AY189" s="132"/>
      <c r="AZ189" s="132"/>
      <c r="BA189" s="132"/>
      <c r="BB189" s="132"/>
      <c r="BC189" s="132"/>
      <c r="BD189" s="132"/>
      <c r="BE189" s="132"/>
      <c r="BF189" s="132"/>
    </row>
    <row r="190" customFormat="false" ht="11.25" hidden="false" customHeight="true" outlineLevel="0" collapsed="false">
      <c r="A190" s="113" t="s">
        <v>1026</v>
      </c>
      <c r="E190" s="80"/>
      <c r="F190" s="810"/>
      <c r="G190" s="138"/>
      <c r="H190" s="811" t="s">
        <v>121</v>
      </c>
      <c r="I190" s="831"/>
      <c r="J190" s="335"/>
      <c r="K190" s="333"/>
      <c r="L190" s="204"/>
      <c r="M190" s="198"/>
      <c r="N190" s="840"/>
      <c r="O190" s="841"/>
      <c r="P190" s="161" t="s">
        <v>1072</v>
      </c>
      <c r="Q190" s="841"/>
      <c r="R190" s="841"/>
      <c r="S190" s="841"/>
      <c r="T190" s="841"/>
      <c r="U190" s="841"/>
      <c r="V190" s="841"/>
      <c r="W190" s="841"/>
      <c r="X190" s="841"/>
      <c r="Y190" s="841"/>
      <c r="Z190" s="841"/>
      <c r="AA190" s="841"/>
      <c r="AB190" s="841"/>
      <c r="AC190" s="841"/>
      <c r="AD190" s="841"/>
      <c r="AE190" s="848"/>
      <c r="AF190" s="835"/>
      <c r="AG190" s="836"/>
      <c r="AH190" s="836"/>
      <c r="AI190" s="835"/>
      <c r="AJ190" s="836"/>
      <c r="AK190" s="836"/>
      <c r="AL190" s="809"/>
      <c r="AM190" s="132"/>
      <c r="AN190" s="132"/>
      <c r="AO190" s="132"/>
      <c r="AP190" s="132"/>
      <c r="AQ190" s="132"/>
      <c r="AR190" s="132"/>
      <c r="AS190" s="132"/>
      <c r="AT190" s="132"/>
      <c r="AU190" s="132"/>
      <c r="AV190" s="132"/>
      <c r="AW190" s="132"/>
      <c r="AX190" s="132"/>
      <c r="AY190" s="132"/>
      <c r="AZ190" s="132"/>
      <c r="BA190" s="132"/>
      <c r="BB190" s="132"/>
      <c r="BC190" s="132"/>
      <c r="BD190" s="132"/>
      <c r="BE190" s="132"/>
      <c r="BF190" s="132"/>
    </row>
    <row r="191" customFormat="false" ht="11.25" hidden="false" customHeight="true" outlineLevel="0" collapsed="false">
      <c r="A191" s="113" t="s">
        <v>1026</v>
      </c>
      <c r="E191" s="80"/>
      <c r="F191" s="810"/>
      <c r="G191" s="138" t="s">
        <v>103</v>
      </c>
      <c r="H191" s="811" t="s">
        <v>92</v>
      </c>
      <c r="I191" s="831"/>
      <c r="J191" s="335"/>
      <c r="K191" s="333" t="s">
        <v>1143</v>
      </c>
      <c r="L191" s="204" t="s">
        <v>19</v>
      </c>
      <c r="M191" s="198"/>
      <c r="N191" s="832"/>
      <c r="O191" s="833" t="s">
        <v>389</v>
      </c>
      <c r="P191" s="834"/>
      <c r="Q191" s="834"/>
      <c r="R191" s="834"/>
      <c r="S191" s="834"/>
      <c r="T191" s="834"/>
      <c r="U191" s="834"/>
      <c r="V191" s="834"/>
      <c r="W191" s="834"/>
      <c r="X191" s="834"/>
      <c r="Y191" s="834"/>
      <c r="Z191" s="834"/>
      <c r="AA191" s="834"/>
      <c r="AB191" s="834"/>
      <c r="AC191" s="834"/>
      <c r="AD191" s="834"/>
      <c r="AE191" s="834"/>
      <c r="AF191" s="835" t="n">
        <v>2020</v>
      </c>
      <c r="AG191" s="836" t="s">
        <v>1059</v>
      </c>
      <c r="AH191" s="836" t="s">
        <v>1060</v>
      </c>
      <c r="AI191" s="835" t="n">
        <v>2020</v>
      </c>
      <c r="AJ191" s="836" t="s">
        <v>1059</v>
      </c>
      <c r="AK191" s="836" t="s">
        <v>1060</v>
      </c>
      <c r="AL191" s="809"/>
      <c r="AM191" s="132"/>
      <c r="AN191" s="132"/>
      <c r="AO191" s="132"/>
      <c r="AP191" s="132"/>
      <c r="AQ191" s="132"/>
      <c r="AR191" s="132"/>
      <c r="AS191" s="132"/>
      <c r="AT191" s="132"/>
      <c r="AU191" s="132"/>
      <c r="AV191" s="132"/>
      <c r="AW191" s="132"/>
      <c r="AX191" s="132"/>
      <c r="AY191" s="132"/>
      <c r="AZ191" s="132"/>
      <c r="BA191" s="132"/>
      <c r="BB191" s="132"/>
      <c r="BC191" s="132"/>
      <c r="BD191" s="132"/>
      <c r="BE191" s="132"/>
      <c r="BF191" s="132"/>
    </row>
    <row r="192" customFormat="false" ht="11.25" hidden="false" customHeight="true" outlineLevel="0" collapsed="false">
      <c r="A192" s="113" t="s">
        <v>1026</v>
      </c>
      <c r="E192" s="80"/>
      <c r="F192" s="810"/>
      <c r="G192" s="138"/>
      <c r="H192" s="811" t="s">
        <v>91</v>
      </c>
      <c r="I192" s="831"/>
      <c r="J192" s="335"/>
      <c r="K192" s="333"/>
      <c r="L192" s="204"/>
      <c r="M192" s="198"/>
      <c r="N192" s="837"/>
      <c r="O192" s="838" t="n">
        <v>1</v>
      </c>
      <c r="P192" s="76" t="s">
        <v>61</v>
      </c>
      <c r="Q192" s="335" t="s">
        <v>1080</v>
      </c>
      <c r="R192" s="839" t="s">
        <v>1064</v>
      </c>
      <c r="S192" s="839" t="s">
        <v>99</v>
      </c>
      <c r="T192" s="839" t="s">
        <v>99</v>
      </c>
      <c r="U192" s="839" t="s">
        <v>100</v>
      </c>
      <c r="V192" s="839" t="s">
        <v>1065</v>
      </c>
      <c r="W192" s="839" t="s">
        <v>1066</v>
      </c>
      <c r="X192" s="839" t="s">
        <v>1081</v>
      </c>
      <c r="Y192" s="839" t="s">
        <v>1082</v>
      </c>
      <c r="Z192" s="840"/>
      <c r="AA192" s="841"/>
      <c r="AB192" s="841"/>
      <c r="AC192" s="842"/>
      <c r="AD192" s="842"/>
      <c r="AE192" s="843"/>
      <c r="AF192" s="835"/>
      <c r="AG192" s="836"/>
      <c r="AH192" s="836"/>
      <c r="AI192" s="835"/>
      <c r="AJ192" s="836"/>
      <c r="AK192" s="836"/>
      <c r="AL192" s="809"/>
      <c r="AM192" s="132"/>
      <c r="AN192" s="132"/>
      <c r="AO192" s="132"/>
      <c r="AP192" s="132"/>
      <c r="AQ192" s="132"/>
      <c r="AR192" s="132"/>
      <c r="AS192" s="132"/>
      <c r="AT192" s="132"/>
      <c r="AU192" s="132"/>
      <c r="AV192" s="132"/>
      <c r="AW192" s="132"/>
      <c r="AX192" s="132"/>
      <c r="AY192" s="132"/>
      <c r="AZ192" s="132"/>
      <c r="BA192" s="132"/>
      <c r="BB192" s="132"/>
      <c r="BC192" s="132"/>
      <c r="BD192" s="132"/>
      <c r="BE192" s="132"/>
      <c r="BF192" s="132"/>
    </row>
    <row r="193" customFormat="false" ht="11.25" hidden="false" customHeight="true" outlineLevel="0" collapsed="false">
      <c r="A193" s="113" t="s">
        <v>1026</v>
      </c>
      <c r="E193" s="80"/>
      <c r="F193" s="810"/>
      <c r="G193" s="138"/>
      <c r="H193" s="811" t="s">
        <v>91</v>
      </c>
      <c r="I193" s="831"/>
      <c r="J193" s="335"/>
      <c r="K193" s="333"/>
      <c r="L193" s="204"/>
      <c r="M193" s="198"/>
      <c r="N193" s="837"/>
      <c r="O193" s="838"/>
      <c r="P193" s="76"/>
      <c r="Q193" s="335"/>
      <c r="R193" s="839"/>
      <c r="S193" s="839"/>
      <c r="T193" s="839"/>
      <c r="U193" s="839"/>
      <c r="V193" s="839"/>
      <c r="W193" s="839"/>
      <c r="X193" s="839"/>
      <c r="Y193" s="839"/>
      <c r="Z193" s="844"/>
      <c r="AA193" s="845" t="n">
        <v>1</v>
      </c>
      <c r="AB193" s="846" t="s">
        <v>1069</v>
      </c>
      <c r="AC193" s="756" t="n">
        <v>233.71</v>
      </c>
      <c r="AD193" s="846" t="str">
        <f aca="false">AB193</f>
        <v>Прочие амортизационные отчисления</v>
      </c>
      <c r="AE193" s="756" t="n">
        <v>233.71</v>
      </c>
      <c r="AF193" s="835"/>
      <c r="AG193" s="836"/>
      <c r="AH193" s="836"/>
      <c r="AI193" s="835"/>
      <c r="AJ193" s="836"/>
      <c r="AK193" s="836"/>
      <c r="AL193" s="809"/>
      <c r="AM193" s="132"/>
      <c r="AN193" s="132"/>
      <c r="AO193" s="132"/>
      <c r="AP193" s="132"/>
      <c r="AQ193" s="132"/>
      <c r="AR193" s="132"/>
      <c r="AS193" s="132"/>
      <c r="AT193" s="132"/>
      <c r="AU193" s="132"/>
      <c r="AV193" s="132"/>
      <c r="AW193" s="132"/>
      <c r="AX193" s="132"/>
      <c r="AY193" s="132"/>
      <c r="AZ193" s="132"/>
      <c r="BA193" s="132"/>
      <c r="BB193" s="132"/>
      <c r="BC193" s="132"/>
      <c r="BD193" s="132"/>
      <c r="BE193" s="132"/>
      <c r="BF193" s="132"/>
    </row>
    <row r="194" customFormat="false" ht="11.25" hidden="false" customHeight="true" outlineLevel="0" collapsed="false">
      <c r="A194" s="113" t="s">
        <v>1026</v>
      </c>
      <c r="E194" s="80"/>
      <c r="F194" s="810"/>
      <c r="G194" s="138"/>
      <c r="H194" s="811" t="s">
        <v>91</v>
      </c>
      <c r="I194" s="831"/>
      <c r="J194" s="335"/>
      <c r="K194" s="333"/>
      <c r="L194" s="204"/>
      <c r="M194" s="198"/>
      <c r="N194" s="837"/>
      <c r="O194" s="838"/>
      <c r="P194" s="76"/>
      <c r="Q194" s="335"/>
      <c r="R194" s="839"/>
      <c r="S194" s="839"/>
      <c r="T194" s="839"/>
      <c r="U194" s="839"/>
      <c r="V194" s="839"/>
      <c r="W194" s="839"/>
      <c r="X194" s="839"/>
      <c r="Y194" s="839"/>
      <c r="Z194" s="840"/>
      <c r="AA194" s="841"/>
      <c r="AB194" s="161" t="s">
        <v>1071</v>
      </c>
      <c r="AC194" s="842"/>
      <c r="AD194" s="842"/>
      <c r="AE194" s="847"/>
      <c r="AF194" s="835"/>
      <c r="AG194" s="836"/>
      <c r="AH194" s="836"/>
      <c r="AI194" s="835"/>
      <c r="AJ194" s="836"/>
      <c r="AK194" s="836"/>
      <c r="AL194" s="809"/>
      <c r="AM194" s="132"/>
      <c r="AN194" s="132"/>
      <c r="AO194" s="132"/>
      <c r="AP194" s="132"/>
      <c r="AQ194" s="132"/>
      <c r="AR194" s="132"/>
      <c r="AS194" s="132"/>
      <c r="AT194" s="132"/>
      <c r="AU194" s="132"/>
      <c r="AV194" s="132"/>
      <c r="AW194" s="132"/>
      <c r="AX194" s="132"/>
      <c r="AY194" s="132"/>
      <c r="AZ194" s="132"/>
      <c r="BA194" s="132"/>
      <c r="BB194" s="132"/>
      <c r="BC194" s="132"/>
      <c r="BD194" s="132"/>
      <c r="BE194" s="132"/>
      <c r="BF194" s="132"/>
    </row>
    <row r="195" customFormat="false" ht="11.25" hidden="false" customHeight="true" outlineLevel="0" collapsed="false">
      <c r="A195" s="113" t="s">
        <v>1026</v>
      </c>
      <c r="E195" s="80"/>
      <c r="F195" s="810"/>
      <c r="G195" s="138"/>
      <c r="H195" s="811" t="s">
        <v>91</v>
      </c>
      <c r="I195" s="831"/>
      <c r="J195" s="335"/>
      <c r="K195" s="333"/>
      <c r="L195" s="204"/>
      <c r="M195" s="198"/>
      <c r="N195" s="840"/>
      <c r="O195" s="841"/>
      <c r="P195" s="161" t="s">
        <v>1072</v>
      </c>
      <c r="Q195" s="841"/>
      <c r="R195" s="841"/>
      <c r="S195" s="841"/>
      <c r="T195" s="841"/>
      <c r="U195" s="841"/>
      <c r="V195" s="841"/>
      <c r="W195" s="841"/>
      <c r="X195" s="841"/>
      <c r="Y195" s="841"/>
      <c r="Z195" s="841"/>
      <c r="AA195" s="841"/>
      <c r="AB195" s="841"/>
      <c r="AC195" s="841"/>
      <c r="AD195" s="841"/>
      <c r="AE195" s="848"/>
      <c r="AF195" s="835"/>
      <c r="AG195" s="836"/>
      <c r="AH195" s="836"/>
      <c r="AI195" s="835"/>
      <c r="AJ195" s="836"/>
      <c r="AK195" s="836"/>
      <c r="AL195" s="809"/>
      <c r="AM195" s="132"/>
      <c r="AN195" s="132"/>
      <c r="AO195" s="132"/>
      <c r="AP195" s="132"/>
      <c r="AQ195" s="132"/>
      <c r="AR195" s="132"/>
      <c r="AS195" s="132"/>
      <c r="AT195" s="132"/>
      <c r="AU195" s="132"/>
      <c r="AV195" s="132"/>
      <c r="AW195" s="132"/>
      <c r="AX195" s="132"/>
      <c r="AY195" s="132"/>
      <c r="AZ195" s="132"/>
      <c r="BA195" s="132"/>
      <c r="BB195" s="132"/>
      <c r="BC195" s="132"/>
      <c r="BD195" s="132"/>
      <c r="BE195" s="132"/>
      <c r="BF195" s="132"/>
    </row>
    <row r="196" customFormat="false" ht="11.25" hidden="false" customHeight="true" outlineLevel="0" collapsed="false">
      <c r="A196" s="113" t="s">
        <v>1026</v>
      </c>
      <c r="E196" s="80"/>
      <c r="F196" s="810"/>
      <c r="G196" s="138" t="s">
        <v>103</v>
      </c>
      <c r="H196" s="811" t="s">
        <v>122</v>
      </c>
      <c r="I196" s="831"/>
      <c r="J196" s="335"/>
      <c r="K196" s="333" t="s">
        <v>1144</v>
      </c>
      <c r="L196" s="204" t="s">
        <v>19</v>
      </c>
      <c r="M196" s="198"/>
      <c r="N196" s="832"/>
      <c r="O196" s="833" t="s">
        <v>389</v>
      </c>
      <c r="P196" s="834"/>
      <c r="Q196" s="834"/>
      <c r="R196" s="834"/>
      <c r="S196" s="834"/>
      <c r="T196" s="834"/>
      <c r="U196" s="834"/>
      <c r="V196" s="834"/>
      <c r="W196" s="834"/>
      <c r="X196" s="834"/>
      <c r="Y196" s="834"/>
      <c r="Z196" s="834"/>
      <c r="AA196" s="834"/>
      <c r="AB196" s="834"/>
      <c r="AC196" s="834"/>
      <c r="AD196" s="834"/>
      <c r="AE196" s="834"/>
      <c r="AF196" s="835" t="n">
        <v>2020</v>
      </c>
      <c r="AG196" s="836" t="s">
        <v>1059</v>
      </c>
      <c r="AH196" s="836" t="s">
        <v>1060</v>
      </c>
      <c r="AI196" s="835" t="n">
        <v>2020</v>
      </c>
      <c r="AJ196" s="836" t="s">
        <v>1059</v>
      </c>
      <c r="AK196" s="836" t="s">
        <v>1060</v>
      </c>
      <c r="AL196" s="809"/>
      <c r="AM196" s="132"/>
      <c r="AN196" s="132"/>
      <c r="AO196" s="132"/>
      <c r="AP196" s="132"/>
      <c r="AQ196" s="132"/>
      <c r="AR196" s="132"/>
      <c r="AS196" s="132"/>
      <c r="AT196" s="132"/>
      <c r="AU196" s="132"/>
      <c r="AV196" s="132"/>
      <c r="AW196" s="132"/>
      <c r="AX196" s="132"/>
      <c r="AY196" s="132"/>
      <c r="AZ196" s="132"/>
      <c r="BA196" s="132"/>
      <c r="BB196" s="132"/>
      <c r="BC196" s="132"/>
      <c r="BD196" s="132"/>
      <c r="BE196" s="132"/>
      <c r="BF196" s="132"/>
    </row>
    <row r="197" customFormat="false" ht="11.25" hidden="false" customHeight="true" outlineLevel="0" collapsed="false">
      <c r="A197" s="113" t="s">
        <v>1026</v>
      </c>
      <c r="E197" s="80"/>
      <c r="F197" s="810"/>
      <c r="G197" s="138"/>
      <c r="H197" s="811" t="s">
        <v>92</v>
      </c>
      <c r="I197" s="831"/>
      <c r="J197" s="335"/>
      <c r="K197" s="333"/>
      <c r="L197" s="204"/>
      <c r="M197" s="198"/>
      <c r="N197" s="837"/>
      <c r="O197" s="838" t="n">
        <v>1</v>
      </c>
      <c r="P197" s="76" t="s">
        <v>61</v>
      </c>
      <c r="Q197" s="335" t="s">
        <v>1080</v>
      </c>
      <c r="R197" s="839" t="s">
        <v>1064</v>
      </c>
      <c r="S197" s="839" t="s">
        <v>99</v>
      </c>
      <c r="T197" s="839" t="s">
        <v>99</v>
      </c>
      <c r="U197" s="839" t="s">
        <v>100</v>
      </c>
      <c r="V197" s="839" t="s">
        <v>1065</v>
      </c>
      <c r="W197" s="839" t="s">
        <v>1066</v>
      </c>
      <c r="X197" s="839" t="s">
        <v>1081</v>
      </c>
      <c r="Y197" s="839" t="s">
        <v>1082</v>
      </c>
      <c r="Z197" s="840"/>
      <c r="AA197" s="841"/>
      <c r="AB197" s="841"/>
      <c r="AC197" s="842"/>
      <c r="AD197" s="842"/>
      <c r="AE197" s="843"/>
      <c r="AF197" s="835"/>
      <c r="AG197" s="836"/>
      <c r="AH197" s="836"/>
      <c r="AI197" s="835"/>
      <c r="AJ197" s="836"/>
      <c r="AK197" s="836"/>
      <c r="AL197" s="809"/>
      <c r="AM197" s="132"/>
      <c r="AN197" s="132"/>
      <c r="AO197" s="132"/>
      <c r="AP197" s="132"/>
      <c r="AQ197" s="132"/>
      <c r="AR197" s="132"/>
      <c r="AS197" s="132"/>
      <c r="AT197" s="132"/>
      <c r="AU197" s="132"/>
      <c r="AV197" s="132"/>
      <c r="AW197" s="132"/>
      <c r="AX197" s="132"/>
      <c r="AY197" s="132"/>
      <c r="AZ197" s="132"/>
      <c r="BA197" s="132"/>
      <c r="BB197" s="132"/>
      <c r="BC197" s="132"/>
      <c r="BD197" s="132"/>
      <c r="BE197" s="132"/>
      <c r="BF197" s="132"/>
    </row>
    <row r="198" customFormat="false" ht="11.25" hidden="false" customHeight="true" outlineLevel="0" collapsed="false">
      <c r="A198" s="113" t="s">
        <v>1026</v>
      </c>
      <c r="E198" s="80"/>
      <c r="F198" s="810"/>
      <c r="G198" s="138"/>
      <c r="H198" s="811" t="s">
        <v>92</v>
      </c>
      <c r="I198" s="831"/>
      <c r="J198" s="335"/>
      <c r="K198" s="333"/>
      <c r="L198" s="204"/>
      <c r="M198" s="198"/>
      <c r="N198" s="837"/>
      <c r="O198" s="838"/>
      <c r="P198" s="76"/>
      <c r="Q198" s="335"/>
      <c r="R198" s="839"/>
      <c r="S198" s="839"/>
      <c r="T198" s="839"/>
      <c r="U198" s="839"/>
      <c r="V198" s="839"/>
      <c r="W198" s="839"/>
      <c r="X198" s="839"/>
      <c r="Y198" s="839"/>
      <c r="Z198" s="844"/>
      <c r="AA198" s="845" t="n">
        <v>1</v>
      </c>
      <c r="AB198" s="846" t="s">
        <v>1069</v>
      </c>
      <c r="AC198" s="756" t="n">
        <v>233.71</v>
      </c>
      <c r="AD198" s="846" t="str">
        <f aca="false">AB198</f>
        <v>Прочие амортизационные отчисления</v>
      </c>
      <c r="AE198" s="756" t="n">
        <v>233.71</v>
      </c>
      <c r="AF198" s="835"/>
      <c r="AG198" s="836"/>
      <c r="AH198" s="836"/>
      <c r="AI198" s="835"/>
      <c r="AJ198" s="836"/>
      <c r="AK198" s="836"/>
      <c r="AL198" s="809"/>
      <c r="AM198" s="132"/>
      <c r="AN198" s="132"/>
      <c r="AO198" s="132"/>
      <c r="AP198" s="132"/>
      <c r="AQ198" s="132"/>
      <c r="AR198" s="132"/>
      <c r="AS198" s="132"/>
      <c r="AT198" s="132"/>
      <c r="AU198" s="132"/>
      <c r="AV198" s="132"/>
      <c r="AW198" s="132"/>
      <c r="AX198" s="132"/>
      <c r="AY198" s="132"/>
      <c r="AZ198" s="132"/>
      <c r="BA198" s="132"/>
      <c r="BB198" s="132"/>
      <c r="BC198" s="132"/>
      <c r="BD198" s="132"/>
      <c r="BE198" s="132"/>
      <c r="BF198" s="132"/>
    </row>
    <row r="199" customFormat="false" ht="11.25" hidden="false" customHeight="true" outlineLevel="0" collapsed="false">
      <c r="A199" s="113" t="s">
        <v>1026</v>
      </c>
      <c r="E199" s="80"/>
      <c r="F199" s="810"/>
      <c r="G199" s="138"/>
      <c r="H199" s="811" t="s">
        <v>92</v>
      </c>
      <c r="I199" s="831"/>
      <c r="J199" s="335"/>
      <c r="K199" s="333"/>
      <c r="L199" s="204"/>
      <c r="M199" s="198"/>
      <c r="N199" s="837"/>
      <c r="O199" s="838"/>
      <c r="P199" s="76"/>
      <c r="Q199" s="335"/>
      <c r="R199" s="839"/>
      <c r="S199" s="839"/>
      <c r="T199" s="839"/>
      <c r="U199" s="839"/>
      <c r="V199" s="839"/>
      <c r="W199" s="839"/>
      <c r="X199" s="839"/>
      <c r="Y199" s="839"/>
      <c r="Z199" s="840"/>
      <c r="AA199" s="841"/>
      <c r="AB199" s="161" t="s">
        <v>1071</v>
      </c>
      <c r="AC199" s="842"/>
      <c r="AD199" s="842"/>
      <c r="AE199" s="847"/>
      <c r="AF199" s="835"/>
      <c r="AG199" s="836"/>
      <c r="AH199" s="836"/>
      <c r="AI199" s="835"/>
      <c r="AJ199" s="836"/>
      <c r="AK199" s="836"/>
      <c r="AL199" s="809"/>
      <c r="AM199" s="132"/>
      <c r="AN199" s="132"/>
      <c r="AO199" s="132"/>
      <c r="AP199" s="132"/>
      <c r="AQ199" s="132"/>
      <c r="AR199" s="132"/>
      <c r="AS199" s="132"/>
      <c r="AT199" s="132"/>
      <c r="AU199" s="132"/>
      <c r="AV199" s="132"/>
      <c r="AW199" s="132"/>
      <c r="AX199" s="132"/>
      <c r="AY199" s="132"/>
      <c r="AZ199" s="132"/>
      <c r="BA199" s="132"/>
      <c r="BB199" s="132"/>
      <c r="BC199" s="132"/>
      <c r="BD199" s="132"/>
      <c r="BE199" s="132"/>
      <c r="BF199" s="132"/>
    </row>
    <row r="200" customFormat="false" ht="11.25" hidden="false" customHeight="true" outlineLevel="0" collapsed="false">
      <c r="A200" s="113" t="s">
        <v>1026</v>
      </c>
      <c r="E200" s="80"/>
      <c r="F200" s="810"/>
      <c r="G200" s="138"/>
      <c r="H200" s="811" t="s">
        <v>92</v>
      </c>
      <c r="I200" s="831"/>
      <c r="J200" s="335"/>
      <c r="K200" s="333"/>
      <c r="L200" s="204"/>
      <c r="M200" s="198"/>
      <c r="N200" s="840"/>
      <c r="O200" s="841"/>
      <c r="P200" s="161" t="s">
        <v>1072</v>
      </c>
      <c r="Q200" s="841"/>
      <c r="R200" s="841"/>
      <c r="S200" s="841"/>
      <c r="T200" s="841"/>
      <c r="U200" s="841"/>
      <c r="V200" s="841"/>
      <c r="W200" s="841"/>
      <c r="X200" s="841"/>
      <c r="Y200" s="841"/>
      <c r="Z200" s="841"/>
      <c r="AA200" s="841"/>
      <c r="AB200" s="841"/>
      <c r="AC200" s="841"/>
      <c r="AD200" s="841"/>
      <c r="AE200" s="848"/>
      <c r="AF200" s="835"/>
      <c r="AG200" s="836"/>
      <c r="AH200" s="836"/>
      <c r="AI200" s="835"/>
      <c r="AJ200" s="836"/>
      <c r="AK200" s="836"/>
      <c r="AL200" s="809"/>
      <c r="AM200" s="132"/>
      <c r="AN200" s="132"/>
      <c r="AO200" s="132"/>
      <c r="AP200" s="132"/>
      <c r="AQ200" s="132"/>
      <c r="AR200" s="132"/>
      <c r="AS200" s="132"/>
      <c r="AT200" s="132"/>
      <c r="AU200" s="132"/>
      <c r="AV200" s="132"/>
      <c r="AW200" s="132"/>
      <c r="AX200" s="132"/>
      <c r="AY200" s="132"/>
      <c r="AZ200" s="132"/>
      <c r="BA200" s="132"/>
      <c r="BB200" s="132"/>
      <c r="BC200" s="132"/>
      <c r="BD200" s="132"/>
      <c r="BE200" s="132"/>
      <c r="BF200" s="132"/>
    </row>
    <row r="201" customFormat="false" ht="11.25" hidden="false" customHeight="true" outlineLevel="0" collapsed="false">
      <c r="A201" s="113" t="s">
        <v>1026</v>
      </c>
      <c r="E201" s="80"/>
      <c r="F201" s="810"/>
      <c r="G201" s="138" t="s">
        <v>103</v>
      </c>
      <c r="H201" s="811" t="s">
        <v>163</v>
      </c>
      <c r="I201" s="831"/>
      <c r="J201" s="335"/>
      <c r="K201" s="333" t="s">
        <v>1092</v>
      </c>
      <c r="L201" s="204" t="s">
        <v>19</v>
      </c>
      <c r="M201" s="198"/>
      <c r="N201" s="832"/>
      <c r="O201" s="833" t="s">
        <v>389</v>
      </c>
      <c r="P201" s="834"/>
      <c r="Q201" s="834"/>
      <c r="R201" s="834"/>
      <c r="S201" s="834"/>
      <c r="T201" s="834"/>
      <c r="U201" s="834"/>
      <c r="V201" s="834"/>
      <c r="W201" s="834"/>
      <c r="X201" s="834"/>
      <c r="Y201" s="834"/>
      <c r="Z201" s="834"/>
      <c r="AA201" s="834"/>
      <c r="AB201" s="834"/>
      <c r="AC201" s="834"/>
      <c r="AD201" s="834"/>
      <c r="AE201" s="834"/>
      <c r="AF201" s="835" t="n">
        <v>2020</v>
      </c>
      <c r="AG201" s="836" t="s">
        <v>1059</v>
      </c>
      <c r="AH201" s="836" t="s">
        <v>1060</v>
      </c>
      <c r="AI201" s="835" t="n">
        <v>2020</v>
      </c>
      <c r="AJ201" s="836" t="s">
        <v>1093</v>
      </c>
      <c r="AK201" s="836" t="s">
        <v>1060</v>
      </c>
      <c r="AL201" s="809"/>
      <c r="AM201" s="132"/>
      <c r="AN201" s="132"/>
      <c r="AO201" s="132"/>
      <c r="AP201" s="132"/>
      <c r="AQ201" s="132"/>
      <c r="AR201" s="132"/>
      <c r="AS201" s="132"/>
      <c r="AT201" s="132"/>
      <c r="AU201" s="132"/>
      <c r="AV201" s="132"/>
      <c r="AW201" s="132"/>
      <c r="AX201" s="132"/>
      <c r="AY201" s="132"/>
      <c r="AZ201" s="132"/>
      <c r="BA201" s="132"/>
      <c r="BB201" s="132"/>
      <c r="BC201" s="132"/>
      <c r="BD201" s="132"/>
      <c r="BE201" s="132"/>
      <c r="BF201" s="132"/>
    </row>
    <row r="202" customFormat="false" ht="11.25" hidden="false" customHeight="true" outlineLevel="0" collapsed="false">
      <c r="A202" s="113" t="s">
        <v>1026</v>
      </c>
      <c r="E202" s="80"/>
      <c r="F202" s="810"/>
      <c r="G202" s="138"/>
      <c r="H202" s="811" t="s">
        <v>122</v>
      </c>
      <c r="I202" s="831"/>
      <c r="J202" s="335"/>
      <c r="K202" s="333"/>
      <c r="L202" s="204"/>
      <c r="M202" s="198"/>
      <c r="N202" s="837"/>
      <c r="O202" s="838" t="n">
        <v>1</v>
      </c>
      <c r="P202" s="76" t="s">
        <v>61</v>
      </c>
      <c r="Q202" s="335" t="s">
        <v>1080</v>
      </c>
      <c r="R202" s="839" t="s">
        <v>1064</v>
      </c>
      <c r="S202" s="839" t="s">
        <v>99</v>
      </c>
      <c r="T202" s="839" t="s">
        <v>99</v>
      </c>
      <c r="U202" s="839" t="s">
        <v>100</v>
      </c>
      <c r="V202" s="839" t="s">
        <v>1065</v>
      </c>
      <c r="W202" s="839" t="s">
        <v>1066</v>
      </c>
      <c r="X202" s="839" t="s">
        <v>1081</v>
      </c>
      <c r="Y202" s="839" t="s">
        <v>1082</v>
      </c>
      <c r="Z202" s="840"/>
      <c r="AA202" s="841"/>
      <c r="AB202" s="841"/>
      <c r="AC202" s="842"/>
      <c r="AD202" s="842"/>
      <c r="AE202" s="843"/>
      <c r="AF202" s="835"/>
      <c r="AG202" s="836"/>
      <c r="AH202" s="836"/>
      <c r="AI202" s="835"/>
      <c r="AJ202" s="836"/>
      <c r="AK202" s="836"/>
      <c r="AL202" s="809"/>
      <c r="AM202" s="132"/>
      <c r="AN202" s="132"/>
      <c r="AO202" s="132"/>
      <c r="AP202" s="132"/>
      <c r="AQ202" s="132"/>
      <c r="AR202" s="132"/>
      <c r="AS202" s="132"/>
      <c r="AT202" s="132"/>
      <c r="AU202" s="132"/>
      <c r="AV202" s="132"/>
      <c r="AW202" s="132"/>
      <c r="AX202" s="132"/>
      <c r="AY202" s="132"/>
      <c r="AZ202" s="132"/>
      <c r="BA202" s="132"/>
      <c r="BB202" s="132"/>
      <c r="BC202" s="132"/>
      <c r="BD202" s="132"/>
      <c r="BE202" s="132"/>
      <c r="BF202" s="132"/>
    </row>
    <row r="203" customFormat="false" ht="11.25" hidden="false" customHeight="true" outlineLevel="0" collapsed="false">
      <c r="A203" s="113" t="s">
        <v>1026</v>
      </c>
      <c r="E203" s="80"/>
      <c r="F203" s="810"/>
      <c r="G203" s="138"/>
      <c r="H203" s="811" t="s">
        <v>122</v>
      </c>
      <c r="I203" s="831"/>
      <c r="J203" s="335"/>
      <c r="K203" s="333"/>
      <c r="L203" s="204"/>
      <c r="M203" s="198"/>
      <c r="N203" s="837"/>
      <c r="O203" s="838"/>
      <c r="P203" s="76"/>
      <c r="Q203" s="335"/>
      <c r="R203" s="839"/>
      <c r="S203" s="839"/>
      <c r="T203" s="839"/>
      <c r="U203" s="839"/>
      <c r="V203" s="839"/>
      <c r="W203" s="839"/>
      <c r="X203" s="839"/>
      <c r="Y203" s="839"/>
      <c r="Z203" s="844"/>
      <c r="AA203" s="845" t="n">
        <v>1</v>
      </c>
      <c r="AB203" s="846" t="s">
        <v>1069</v>
      </c>
      <c r="AC203" s="756" t="n">
        <v>1357.7</v>
      </c>
      <c r="AD203" s="846" t="str">
        <f aca="false">AB203</f>
        <v>Прочие амортизационные отчисления</v>
      </c>
      <c r="AE203" s="756" t="n">
        <v>1205.16</v>
      </c>
      <c r="AF203" s="835"/>
      <c r="AG203" s="836"/>
      <c r="AH203" s="836"/>
      <c r="AI203" s="835"/>
      <c r="AJ203" s="836"/>
      <c r="AK203" s="836"/>
      <c r="AL203" s="809"/>
      <c r="AM203" s="132"/>
      <c r="AN203" s="132"/>
      <c r="AO203" s="132"/>
      <c r="AP203" s="132"/>
      <c r="AQ203" s="132"/>
      <c r="AR203" s="132"/>
      <c r="AS203" s="132"/>
      <c r="AT203" s="132"/>
      <c r="AU203" s="132"/>
      <c r="AV203" s="132"/>
      <c r="AW203" s="132"/>
      <c r="AX203" s="132"/>
      <c r="AY203" s="132"/>
      <c r="AZ203" s="132"/>
      <c r="BA203" s="132"/>
      <c r="BB203" s="132"/>
      <c r="BC203" s="132"/>
      <c r="BD203" s="132"/>
      <c r="BE203" s="132"/>
      <c r="BF203" s="132"/>
    </row>
    <row r="204" customFormat="false" ht="11.25" hidden="false" customHeight="true" outlineLevel="0" collapsed="false">
      <c r="A204" s="113" t="s">
        <v>1026</v>
      </c>
      <c r="E204" s="80"/>
      <c r="F204" s="810"/>
      <c r="G204" s="138"/>
      <c r="H204" s="811" t="s">
        <v>122</v>
      </c>
      <c r="I204" s="831"/>
      <c r="J204" s="335"/>
      <c r="K204" s="333"/>
      <c r="L204" s="204"/>
      <c r="M204" s="198"/>
      <c r="N204" s="837"/>
      <c r="O204" s="838"/>
      <c r="P204" s="76"/>
      <c r="Q204" s="335"/>
      <c r="R204" s="839"/>
      <c r="S204" s="839"/>
      <c r="T204" s="839"/>
      <c r="U204" s="839"/>
      <c r="V204" s="839"/>
      <c r="W204" s="839"/>
      <c r="X204" s="839"/>
      <c r="Y204" s="839"/>
      <c r="Z204" s="840"/>
      <c r="AA204" s="841"/>
      <c r="AB204" s="161" t="s">
        <v>1071</v>
      </c>
      <c r="AC204" s="842"/>
      <c r="AD204" s="842"/>
      <c r="AE204" s="847"/>
      <c r="AF204" s="835"/>
      <c r="AG204" s="836"/>
      <c r="AH204" s="836"/>
      <c r="AI204" s="835"/>
      <c r="AJ204" s="836"/>
      <c r="AK204" s="836"/>
      <c r="AL204" s="809"/>
      <c r="AM204" s="132"/>
      <c r="AN204" s="132"/>
      <c r="AO204" s="132"/>
      <c r="AP204" s="132"/>
      <c r="AQ204" s="132"/>
      <c r="AR204" s="132"/>
      <c r="AS204" s="132"/>
      <c r="AT204" s="132"/>
      <c r="AU204" s="132"/>
      <c r="AV204" s="132"/>
      <c r="AW204" s="132"/>
      <c r="AX204" s="132"/>
      <c r="AY204" s="132"/>
      <c r="AZ204" s="132"/>
      <c r="BA204" s="132"/>
      <c r="BB204" s="132"/>
      <c r="BC204" s="132"/>
      <c r="BD204" s="132"/>
      <c r="BE204" s="132"/>
      <c r="BF204" s="132"/>
    </row>
    <row r="205" customFormat="false" ht="11.25" hidden="false" customHeight="true" outlineLevel="0" collapsed="false">
      <c r="A205" s="113" t="s">
        <v>1026</v>
      </c>
      <c r="E205" s="80"/>
      <c r="F205" s="810"/>
      <c r="G205" s="138"/>
      <c r="H205" s="811" t="s">
        <v>122</v>
      </c>
      <c r="I205" s="831"/>
      <c r="J205" s="335"/>
      <c r="K205" s="333"/>
      <c r="L205" s="204"/>
      <c r="M205" s="198"/>
      <c r="N205" s="840"/>
      <c r="O205" s="841"/>
      <c r="P205" s="161" t="s">
        <v>1072</v>
      </c>
      <c r="Q205" s="841"/>
      <c r="R205" s="841"/>
      <c r="S205" s="841"/>
      <c r="T205" s="841"/>
      <c r="U205" s="841"/>
      <c r="V205" s="841"/>
      <c r="W205" s="841"/>
      <c r="X205" s="841"/>
      <c r="Y205" s="841"/>
      <c r="Z205" s="841"/>
      <c r="AA205" s="841"/>
      <c r="AB205" s="841"/>
      <c r="AC205" s="841"/>
      <c r="AD205" s="841"/>
      <c r="AE205" s="848"/>
      <c r="AF205" s="835"/>
      <c r="AG205" s="836"/>
      <c r="AH205" s="836"/>
      <c r="AI205" s="835"/>
      <c r="AJ205" s="836"/>
      <c r="AK205" s="836"/>
      <c r="AL205" s="809"/>
      <c r="AM205" s="132"/>
      <c r="AN205" s="132"/>
      <c r="AO205" s="132"/>
      <c r="AP205" s="132"/>
      <c r="AQ205" s="132"/>
      <c r="AR205" s="132"/>
      <c r="AS205" s="132"/>
      <c r="AT205" s="132"/>
      <c r="AU205" s="132"/>
      <c r="AV205" s="132"/>
      <c r="AW205" s="132"/>
      <c r="AX205" s="132"/>
      <c r="AY205" s="132"/>
      <c r="AZ205" s="132"/>
      <c r="BA205" s="132"/>
      <c r="BB205" s="132"/>
      <c r="BC205" s="132"/>
      <c r="BD205" s="132"/>
      <c r="BE205" s="132"/>
      <c r="BF205" s="132"/>
    </row>
    <row r="206" customFormat="false" ht="11.25" hidden="false" customHeight="true" outlineLevel="0" collapsed="false">
      <c r="A206" s="113" t="s">
        <v>1026</v>
      </c>
      <c r="E206" s="80"/>
      <c r="F206" s="810"/>
      <c r="G206" s="138" t="s">
        <v>103</v>
      </c>
      <c r="H206" s="811" t="s">
        <v>164</v>
      </c>
      <c r="I206" s="831"/>
      <c r="J206" s="335"/>
      <c r="K206" s="333" t="s">
        <v>1135</v>
      </c>
      <c r="L206" s="204" t="s">
        <v>19</v>
      </c>
      <c r="M206" s="198"/>
      <c r="N206" s="832"/>
      <c r="O206" s="833" t="s">
        <v>389</v>
      </c>
      <c r="P206" s="834"/>
      <c r="Q206" s="834"/>
      <c r="R206" s="834"/>
      <c r="S206" s="834"/>
      <c r="T206" s="834"/>
      <c r="U206" s="834"/>
      <c r="V206" s="834"/>
      <c r="W206" s="834"/>
      <c r="X206" s="834"/>
      <c r="Y206" s="834"/>
      <c r="Z206" s="834"/>
      <c r="AA206" s="834"/>
      <c r="AB206" s="834"/>
      <c r="AC206" s="834"/>
      <c r="AD206" s="834"/>
      <c r="AE206" s="834"/>
      <c r="AF206" s="835" t="n">
        <v>2020</v>
      </c>
      <c r="AG206" s="836" t="s">
        <v>1059</v>
      </c>
      <c r="AH206" s="836" t="s">
        <v>1060</v>
      </c>
      <c r="AI206" s="835" t="n">
        <v>2022</v>
      </c>
      <c r="AJ206" s="836" t="s">
        <v>1076</v>
      </c>
      <c r="AK206" s="836" t="s">
        <v>1096</v>
      </c>
      <c r="AL206" s="809"/>
      <c r="AM206" s="132"/>
      <c r="AN206" s="132"/>
      <c r="AO206" s="132"/>
      <c r="AP206" s="132"/>
      <c r="AQ206" s="132"/>
      <c r="AR206" s="132"/>
      <c r="AS206" s="132"/>
      <c r="AT206" s="132"/>
      <c r="AU206" s="132"/>
      <c r="AV206" s="132"/>
      <c r="AW206" s="132"/>
      <c r="AX206" s="132"/>
      <c r="AY206" s="132"/>
      <c r="AZ206" s="132"/>
      <c r="BA206" s="132"/>
      <c r="BB206" s="132"/>
      <c r="BC206" s="132"/>
      <c r="BD206" s="132"/>
      <c r="BE206" s="132"/>
      <c r="BF206" s="132"/>
    </row>
    <row r="207" customFormat="false" ht="11.25" hidden="false" customHeight="true" outlineLevel="0" collapsed="false">
      <c r="A207" s="113" t="s">
        <v>1026</v>
      </c>
      <c r="E207" s="80"/>
      <c r="F207" s="810"/>
      <c r="G207" s="138"/>
      <c r="H207" s="811" t="s">
        <v>163</v>
      </c>
      <c r="I207" s="831"/>
      <c r="J207" s="335"/>
      <c r="K207" s="333"/>
      <c r="L207" s="204"/>
      <c r="M207" s="198"/>
      <c r="N207" s="837"/>
      <c r="O207" s="838" t="n">
        <v>1</v>
      </c>
      <c r="P207" s="76" t="s">
        <v>61</v>
      </c>
      <c r="Q207" s="335" t="s">
        <v>1080</v>
      </c>
      <c r="R207" s="839" t="s">
        <v>1064</v>
      </c>
      <c r="S207" s="839" t="s">
        <v>99</v>
      </c>
      <c r="T207" s="839" t="s">
        <v>99</v>
      </c>
      <c r="U207" s="839" t="s">
        <v>100</v>
      </c>
      <c r="V207" s="839" t="s">
        <v>1065</v>
      </c>
      <c r="W207" s="839" t="s">
        <v>1066</v>
      </c>
      <c r="X207" s="839" t="s">
        <v>1081</v>
      </c>
      <c r="Y207" s="839" t="s">
        <v>1082</v>
      </c>
      <c r="Z207" s="840"/>
      <c r="AA207" s="841"/>
      <c r="AB207" s="841"/>
      <c r="AC207" s="842"/>
      <c r="AD207" s="842"/>
      <c r="AE207" s="843"/>
      <c r="AF207" s="835"/>
      <c r="AG207" s="836"/>
      <c r="AH207" s="836"/>
      <c r="AI207" s="835"/>
      <c r="AJ207" s="836"/>
      <c r="AK207" s="836"/>
      <c r="AL207" s="809"/>
      <c r="AM207" s="132"/>
      <c r="AN207" s="132"/>
      <c r="AO207" s="132"/>
      <c r="AP207" s="132"/>
      <c r="AQ207" s="132"/>
      <c r="AR207" s="132"/>
      <c r="AS207" s="132"/>
      <c r="AT207" s="132"/>
      <c r="AU207" s="132"/>
      <c r="AV207" s="132"/>
      <c r="AW207" s="132"/>
      <c r="AX207" s="132"/>
      <c r="AY207" s="132"/>
      <c r="AZ207" s="132"/>
      <c r="BA207" s="132"/>
      <c r="BB207" s="132"/>
      <c r="BC207" s="132"/>
      <c r="BD207" s="132"/>
      <c r="BE207" s="132"/>
      <c r="BF207" s="132"/>
    </row>
    <row r="208" customFormat="false" ht="11.25" hidden="false" customHeight="true" outlineLevel="0" collapsed="false">
      <c r="A208" s="113" t="s">
        <v>1026</v>
      </c>
      <c r="E208" s="80"/>
      <c r="F208" s="810"/>
      <c r="G208" s="138"/>
      <c r="H208" s="811" t="s">
        <v>163</v>
      </c>
      <c r="I208" s="831"/>
      <c r="J208" s="335"/>
      <c r="K208" s="333"/>
      <c r="L208" s="204"/>
      <c r="M208" s="198"/>
      <c r="N208" s="837"/>
      <c r="O208" s="838"/>
      <c r="P208" s="76"/>
      <c r="Q208" s="335"/>
      <c r="R208" s="839"/>
      <c r="S208" s="839"/>
      <c r="T208" s="839"/>
      <c r="U208" s="839"/>
      <c r="V208" s="839"/>
      <c r="W208" s="839"/>
      <c r="X208" s="839"/>
      <c r="Y208" s="839"/>
      <c r="Z208" s="844"/>
      <c r="AA208" s="845" t="n">
        <v>1</v>
      </c>
      <c r="AB208" s="846" t="s">
        <v>1069</v>
      </c>
      <c r="AC208" s="756" t="n">
        <v>759</v>
      </c>
      <c r="AD208" s="846" t="str">
        <f aca="false">AB208</f>
        <v>Прочие амортизационные отчисления</v>
      </c>
      <c r="AE208" s="756" t="n">
        <v>759</v>
      </c>
      <c r="AF208" s="835"/>
      <c r="AG208" s="836"/>
      <c r="AH208" s="836"/>
      <c r="AI208" s="835"/>
      <c r="AJ208" s="836"/>
      <c r="AK208" s="836"/>
      <c r="AL208" s="809"/>
      <c r="AM208" s="132"/>
      <c r="AN208" s="132"/>
      <c r="AO208" s="132"/>
      <c r="AP208" s="132"/>
      <c r="AQ208" s="132"/>
      <c r="AR208" s="132"/>
      <c r="AS208" s="132"/>
      <c r="AT208" s="132"/>
      <c r="AU208" s="132"/>
      <c r="AV208" s="132"/>
      <c r="AW208" s="132"/>
      <c r="AX208" s="132"/>
      <c r="AY208" s="132"/>
      <c r="AZ208" s="132"/>
      <c r="BA208" s="132"/>
      <c r="BB208" s="132"/>
      <c r="BC208" s="132"/>
      <c r="BD208" s="132"/>
      <c r="BE208" s="132"/>
      <c r="BF208" s="132"/>
    </row>
    <row r="209" customFormat="false" ht="11.25" hidden="false" customHeight="true" outlineLevel="0" collapsed="false">
      <c r="A209" s="113" t="s">
        <v>1026</v>
      </c>
      <c r="E209" s="80"/>
      <c r="F209" s="810"/>
      <c r="G209" s="138"/>
      <c r="H209" s="811" t="s">
        <v>163</v>
      </c>
      <c r="I209" s="831"/>
      <c r="J209" s="335"/>
      <c r="K209" s="333"/>
      <c r="L209" s="204"/>
      <c r="M209" s="198"/>
      <c r="N209" s="837"/>
      <c r="O209" s="838"/>
      <c r="P209" s="76"/>
      <c r="Q209" s="335"/>
      <c r="R209" s="839"/>
      <c r="S209" s="839"/>
      <c r="T209" s="839"/>
      <c r="U209" s="839"/>
      <c r="V209" s="839"/>
      <c r="W209" s="839"/>
      <c r="X209" s="839"/>
      <c r="Y209" s="839"/>
      <c r="Z209" s="840"/>
      <c r="AA209" s="841"/>
      <c r="AB209" s="161" t="s">
        <v>1071</v>
      </c>
      <c r="AC209" s="842"/>
      <c r="AD209" s="842"/>
      <c r="AE209" s="847"/>
      <c r="AF209" s="835"/>
      <c r="AG209" s="836"/>
      <c r="AH209" s="836"/>
      <c r="AI209" s="835"/>
      <c r="AJ209" s="836"/>
      <c r="AK209" s="836"/>
      <c r="AL209" s="809"/>
      <c r="AM209" s="132"/>
      <c r="AN209" s="132"/>
      <c r="AO209" s="132"/>
      <c r="AP209" s="132"/>
      <c r="AQ209" s="132"/>
      <c r="AR209" s="132"/>
      <c r="AS209" s="132"/>
      <c r="AT209" s="132"/>
      <c r="AU209" s="132"/>
      <c r="AV209" s="132"/>
      <c r="AW209" s="132"/>
      <c r="AX209" s="132"/>
      <c r="AY209" s="132"/>
      <c r="AZ209" s="132"/>
      <c r="BA209" s="132"/>
      <c r="BB209" s="132"/>
      <c r="BC209" s="132"/>
      <c r="BD209" s="132"/>
      <c r="BE209" s="132"/>
      <c r="BF209" s="132"/>
    </row>
    <row r="210" customFormat="false" ht="11.25" hidden="false" customHeight="true" outlineLevel="0" collapsed="false">
      <c r="A210" s="113" t="s">
        <v>1026</v>
      </c>
      <c r="E210" s="80"/>
      <c r="F210" s="810"/>
      <c r="G210" s="138"/>
      <c r="H210" s="811" t="s">
        <v>163</v>
      </c>
      <c r="I210" s="831"/>
      <c r="J210" s="335"/>
      <c r="K210" s="333"/>
      <c r="L210" s="204"/>
      <c r="M210" s="198"/>
      <c r="N210" s="840"/>
      <c r="O210" s="841"/>
      <c r="P210" s="161" t="s">
        <v>1072</v>
      </c>
      <c r="Q210" s="841"/>
      <c r="R210" s="841"/>
      <c r="S210" s="841"/>
      <c r="T210" s="841"/>
      <c r="U210" s="841"/>
      <c r="V210" s="841"/>
      <c r="W210" s="841"/>
      <c r="X210" s="841"/>
      <c r="Y210" s="841"/>
      <c r="Z210" s="841"/>
      <c r="AA210" s="841"/>
      <c r="AB210" s="841"/>
      <c r="AC210" s="841"/>
      <c r="AD210" s="841"/>
      <c r="AE210" s="848"/>
      <c r="AF210" s="835"/>
      <c r="AG210" s="836"/>
      <c r="AH210" s="836"/>
      <c r="AI210" s="835"/>
      <c r="AJ210" s="836"/>
      <c r="AK210" s="836"/>
      <c r="AL210" s="809"/>
      <c r="AM210" s="132"/>
      <c r="AN210" s="132"/>
      <c r="AO210" s="132"/>
      <c r="AP210" s="132"/>
      <c r="AQ210" s="132"/>
      <c r="AR210" s="132"/>
      <c r="AS210" s="132"/>
      <c r="AT210" s="132"/>
      <c r="AU210" s="132"/>
      <c r="AV210" s="132"/>
      <c r="AW210" s="132"/>
      <c r="AX210" s="132"/>
      <c r="AY210" s="132"/>
      <c r="AZ210" s="132"/>
      <c r="BA210" s="132"/>
      <c r="BB210" s="132"/>
      <c r="BC210" s="132"/>
      <c r="BD210" s="132"/>
      <c r="BE210" s="132"/>
      <c r="BF210" s="132"/>
    </row>
    <row r="211" customFormat="false" ht="11.25" hidden="false" customHeight="true" outlineLevel="0" collapsed="false">
      <c r="A211" s="113" t="s">
        <v>1026</v>
      </c>
      <c r="E211" s="80"/>
      <c r="F211" s="810"/>
      <c r="G211" s="138" t="s">
        <v>103</v>
      </c>
      <c r="H211" s="811" t="s">
        <v>165</v>
      </c>
      <c r="I211" s="831"/>
      <c r="J211" s="335"/>
      <c r="K211" s="333" t="s">
        <v>1145</v>
      </c>
      <c r="L211" s="204" t="s">
        <v>19</v>
      </c>
      <c r="M211" s="198"/>
      <c r="N211" s="832"/>
      <c r="O211" s="833" t="s">
        <v>389</v>
      </c>
      <c r="P211" s="834"/>
      <c r="Q211" s="834"/>
      <c r="R211" s="834"/>
      <c r="S211" s="834"/>
      <c r="T211" s="834"/>
      <c r="U211" s="834"/>
      <c r="V211" s="834"/>
      <c r="W211" s="834"/>
      <c r="X211" s="834"/>
      <c r="Y211" s="834"/>
      <c r="Z211" s="834"/>
      <c r="AA211" s="834"/>
      <c r="AB211" s="834"/>
      <c r="AC211" s="834"/>
      <c r="AD211" s="834"/>
      <c r="AE211" s="834"/>
      <c r="AF211" s="835" t="n">
        <v>2020</v>
      </c>
      <c r="AG211" s="836" t="s">
        <v>1059</v>
      </c>
      <c r="AH211" s="836" t="s">
        <v>1060</v>
      </c>
      <c r="AI211" s="835" t="n">
        <v>2020</v>
      </c>
      <c r="AJ211" s="836" t="s">
        <v>1059</v>
      </c>
      <c r="AK211" s="836" t="s">
        <v>1060</v>
      </c>
      <c r="AL211" s="809"/>
      <c r="AM211" s="132"/>
      <c r="AN211" s="132"/>
      <c r="AO211" s="132"/>
      <c r="AP211" s="132"/>
      <c r="AQ211" s="132"/>
      <c r="AR211" s="132"/>
      <c r="AS211" s="132"/>
      <c r="AT211" s="132"/>
      <c r="AU211" s="132"/>
      <c r="AV211" s="132"/>
      <c r="AW211" s="132"/>
      <c r="AX211" s="132"/>
      <c r="AY211" s="132"/>
      <c r="AZ211" s="132"/>
      <c r="BA211" s="132"/>
      <c r="BB211" s="132"/>
      <c r="BC211" s="132"/>
      <c r="BD211" s="132"/>
      <c r="BE211" s="132"/>
      <c r="BF211" s="132"/>
    </row>
    <row r="212" customFormat="false" ht="11.25" hidden="false" customHeight="true" outlineLevel="0" collapsed="false">
      <c r="A212" s="113" t="s">
        <v>1026</v>
      </c>
      <c r="E212" s="80"/>
      <c r="F212" s="810"/>
      <c r="G212" s="138"/>
      <c r="H212" s="811" t="s">
        <v>164</v>
      </c>
      <c r="I212" s="831"/>
      <c r="J212" s="335"/>
      <c r="K212" s="333"/>
      <c r="L212" s="204"/>
      <c r="M212" s="198"/>
      <c r="N212" s="837"/>
      <c r="O212" s="838" t="n">
        <v>1</v>
      </c>
      <c r="P212" s="76" t="s">
        <v>61</v>
      </c>
      <c r="Q212" s="335" t="s">
        <v>1097</v>
      </c>
      <c r="R212" s="839" t="s">
        <v>1064</v>
      </c>
      <c r="S212" s="839" t="s">
        <v>99</v>
      </c>
      <c r="T212" s="839" t="s">
        <v>99</v>
      </c>
      <c r="U212" s="839" t="s">
        <v>100</v>
      </c>
      <c r="V212" s="839" t="s">
        <v>1065</v>
      </c>
      <c r="W212" s="839" t="s">
        <v>1066</v>
      </c>
      <c r="X212" s="839" t="s">
        <v>1098</v>
      </c>
      <c r="Y212" s="839" t="s">
        <v>1099</v>
      </c>
      <c r="Z212" s="840"/>
      <c r="AA212" s="841"/>
      <c r="AB212" s="841"/>
      <c r="AC212" s="842"/>
      <c r="AD212" s="842"/>
      <c r="AE212" s="843"/>
      <c r="AF212" s="835"/>
      <c r="AG212" s="836"/>
      <c r="AH212" s="836"/>
      <c r="AI212" s="835"/>
      <c r="AJ212" s="836"/>
      <c r="AK212" s="836"/>
      <c r="AL212" s="809"/>
      <c r="AM212" s="132"/>
      <c r="AN212" s="132"/>
      <c r="AO212" s="132"/>
      <c r="AP212" s="132"/>
      <c r="AQ212" s="132"/>
      <c r="AR212" s="132"/>
      <c r="AS212" s="132"/>
      <c r="AT212" s="132"/>
      <c r="AU212" s="132"/>
      <c r="AV212" s="132"/>
      <c r="AW212" s="132"/>
      <c r="AX212" s="132"/>
      <c r="AY212" s="132"/>
      <c r="AZ212" s="132"/>
      <c r="BA212" s="132"/>
      <c r="BB212" s="132"/>
      <c r="BC212" s="132"/>
      <c r="BD212" s="132"/>
      <c r="BE212" s="132"/>
      <c r="BF212" s="132"/>
    </row>
    <row r="213" customFormat="false" ht="11.25" hidden="false" customHeight="true" outlineLevel="0" collapsed="false">
      <c r="A213" s="113" t="s">
        <v>1026</v>
      </c>
      <c r="E213" s="80"/>
      <c r="F213" s="810"/>
      <c r="G213" s="138"/>
      <c r="H213" s="811" t="s">
        <v>164</v>
      </c>
      <c r="I213" s="831"/>
      <c r="J213" s="335"/>
      <c r="K213" s="333"/>
      <c r="L213" s="204"/>
      <c r="M213" s="198"/>
      <c r="N213" s="837"/>
      <c r="O213" s="838"/>
      <c r="P213" s="76"/>
      <c r="Q213" s="335"/>
      <c r="R213" s="839"/>
      <c r="S213" s="839"/>
      <c r="T213" s="839"/>
      <c r="U213" s="839"/>
      <c r="V213" s="839"/>
      <c r="W213" s="839"/>
      <c r="X213" s="839"/>
      <c r="Y213" s="839"/>
      <c r="Z213" s="844"/>
      <c r="AA213" s="845" t="n">
        <v>1</v>
      </c>
      <c r="AB213" s="846" t="s">
        <v>1069</v>
      </c>
      <c r="AC213" s="756" t="n">
        <v>462.25</v>
      </c>
      <c r="AD213" s="846" t="str">
        <f aca="false">AB213</f>
        <v>Прочие амортизационные отчисления</v>
      </c>
      <c r="AE213" s="756" t="n">
        <v>462.25</v>
      </c>
      <c r="AF213" s="835"/>
      <c r="AG213" s="836"/>
      <c r="AH213" s="836"/>
      <c r="AI213" s="835"/>
      <c r="AJ213" s="836"/>
      <c r="AK213" s="836"/>
      <c r="AL213" s="809"/>
      <c r="AM213" s="132"/>
      <c r="AN213" s="132"/>
      <c r="AO213" s="132"/>
      <c r="AP213" s="132"/>
      <c r="AQ213" s="132"/>
      <c r="AR213" s="132"/>
      <c r="AS213" s="132"/>
      <c r="AT213" s="132"/>
      <c r="AU213" s="132"/>
      <c r="AV213" s="132"/>
      <c r="AW213" s="132"/>
      <c r="AX213" s="132"/>
      <c r="AY213" s="132"/>
      <c r="AZ213" s="132"/>
      <c r="BA213" s="132"/>
      <c r="BB213" s="132"/>
      <c r="BC213" s="132"/>
      <c r="BD213" s="132"/>
      <c r="BE213" s="132"/>
      <c r="BF213" s="132"/>
    </row>
    <row r="214" customFormat="false" ht="11.25" hidden="false" customHeight="true" outlineLevel="0" collapsed="false">
      <c r="A214" s="113" t="s">
        <v>1026</v>
      </c>
      <c r="E214" s="80"/>
      <c r="F214" s="810"/>
      <c r="G214" s="138"/>
      <c r="H214" s="811" t="s">
        <v>164</v>
      </c>
      <c r="I214" s="831"/>
      <c r="J214" s="335"/>
      <c r="K214" s="333"/>
      <c r="L214" s="204"/>
      <c r="M214" s="198"/>
      <c r="N214" s="837"/>
      <c r="O214" s="838"/>
      <c r="P214" s="76"/>
      <c r="Q214" s="335"/>
      <c r="R214" s="839"/>
      <c r="S214" s="839"/>
      <c r="T214" s="839"/>
      <c r="U214" s="839"/>
      <c r="V214" s="839"/>
      <c r="W214" s="839"/>
      <c r="X214" s="839"/>
      <c r="Y214" s="839"/>
      <c r="Z214" s="840"/>
      <c r="AA214" s="841"/>
      <c r="AB214" s="161" t="s">
        <v>1071</v>
      </c>
      <c r="AC214" s="842"/>
      <c r="AD214" s="842"/>
      <c r="AE214" s="847"/>
      <c r="AF214" s="835"/>
      <c r="AG214" s="836"/>
      <c r="AH214" s="836"/>
      <c r="AI214" s="835"/>
      <c r="AJ214" s="836"/>
      <c r="AK214" s="836"/>
      <c r="AL214" s="809"/>
      <c r="AM214" s="132"/>
      <c r="AN214" s="132"/>
      <c r="AO214" s="132"/>
      <c r="AP214" s="132"/>
      <c r="AQ214" s="132"/>
      <c r="AR214" s="132"/>
      <c r="AS214" s="132"/>
      <c r="AT214" s="132"/>
      <c r="AU214" s="132"/>
      <c r="AV214" s="132"/>
      <c r="AW214" s="132"/>
      <c r="AX214" s="132"/>
      <c r="AY214" s="132"/>
      <c r="AZ214" s="132"/>
      <c r="BA214" s="132"/>
      <c r="BB214" s="132"/>
      <c r="BC214" s="132"/>
      <c r="BD214" s="132"/>
      <c r="BE214" s="132"/>
      <c r="BF214" s="132"/>
    </row>
    <row r="215" customFormat="false" ht="11.25" hidden="false" customHeight="true" outlineLevel="0" collapsed="false">
      <c r="A215" s="113" t="s">
        <v>1026</v>
      </c>
      <c r="E215" s="80"/>
      <c r="F215" s="810"/>
      <c r="G215" s="138"/>
      <c r="H215" s="811" t="s">
        <v>164</v>
      </c>
      <c r="I215" s="831"/>
      <c r="J215" s="335"/>
      <c r="K215" s="333"/>
      <c r="L215" s="204"/>
      <c r="M215" s="198"/>
      <c r="N215" s="840"/>
      <c r="O215" s="841"/>
      <c r="P215" s="161" t="s">
        <v>1072</v>
      </c>
      <c r="Q215" s="841"/>
      <c r="R215" s="841"/>
      <c r="S215" s="841"/>
      <c r="T215" s="841"/>
      <c r="U215" s="841"/>
      <c r="V215" s="841"/>
      <c r="W215" s="841"/>
      <c r="X215" s="841"/>
      <c r="Y215" s="841"/>
      <c r="Z215" s="841"/>
      <c r="AA215" s="841"/>
      <c r="AB215" s="841"/>
      <c r="AC215" s="841"/>
      <c r="AD215" s="841"/>
      <c r="AE215" s="848"/>
      <c r="AF215" s="835"/>
      <c r="AG215" s="836"/>
      <c r="AH215" s="836"/>
      <c r="AI215" s="835"/>
      <c r="AJ215" s="836"/>
      <c r="AK215" s="836"/>
      <c r="AL215" s="809"/>
      <c r="AM215" s="132"/>
      <c r="AN215" s="132"/>
      <c r="AO215" s="132"/>
      <c r="AP215" s="132"/>
      <c r="AQ215" s="132"/>
      <c r="AR215" s="132"/>
      <c r="AS215" s="132"/>
      <c r="AT215" s="132"/>
      <c r="AU215" s="132"/>
      <c r="AV215" s="132"/>
      <c r="AW215" s="132"/>
      <c r="AX215" s="132"/>
      <c r="AY215" s="132"/>
      <c r="AZ215" s="132"/>
      <c r="BA215" s="132"/>
      <c r="BB215" s="132"/>
      <c r="BC215" s="132"/>
      <c r="BD215" s="132"/>
      <c r="BE215" s="132"/>
      <c r="BF215" s="132"/>
    </row>
    <row r="216" customFormat="false" ht="11.25" hidden="false" customHeight="true" outlineLevel="0" collapsed="false">
      <c r="A216" s="113" t="s">
        <v>1026</v>
      </c>
      <c r="E216" s="80"/>
      <c r="F216" s="810"/>
      <c r="G216" s="138" t="s">
        <v>103</v>
      </c>
      <c r="H216" s="811" t="s">
        <v>166</v>
      </c>
      <c r="I216" s="831"/>
      <c r="J216" s="335"/>
      <c r="K216" s="333" t="s">
        <v>1112</v>
      </c>
      <c r="L216" s="204" t="s">
        <v>19</v>
      </c>
      <c r="M216" s="198"/>
      <c r="N216" s="832"/>
      <c r="O216" s="833" t="s">
        <v>389</v>
      </c>
      <c r="P216" s="834"/>
      <c r="Q216" s="834"/>
      <c r="R216" s="834"/>
      <c r="S216" s="834"/>
      <c r="T216" s="834"/>
      <c r="U216" s="834"/>
      <c r="V216" s="834"/>
      <c r="W216" s="834"/>
      <c r="X216" s="834"/>
      <c r="Y216" s="834"/>
      <c r="Z216" s="834"/>
      <c r="AA216" s="834"/>
      <c r="AB216" s="834"/>
      <c r="AC216" s="834"/>
      <c r="AD216" s="834"/>
      <c r="AE216" s="834"/>
      <c r="AF216" s="835" t="n">
        <v>2020</v>
      </c>
      <c r="AG216" s="836" t="s">
        <v>1059</v>
      </c>
      <c r="AH216" s="836" t="s">
        <v>1104</v>
      </c>
      <c r="AI216" s="835" t="n">
        <v>2021</v>
      </c>
      <c r="AJ216" s="836" t="s">
        <v>1113</v>
      </c>
      <c r="AK216" s="836" t="s">
        <v>1075</v>
      </c>
      <c r="AL216" s="809"/>
      <c r="AM216" s="132"/>
      <c r="AN216" s="132"/>
      <c r="AO216" s="132"/>
      <c r="AP216" s="132"/>
      <c r="AQ216" s="132"/>
      <c r="AR216" s="132"/>
      <c r="AS216" s="132"/>
      <c r="AT216" s="132"/>
      <c r="AU216" s="132"/>
      <c r="AV216" s="132"/>
      <c r="AW216" s="132"/>
      <c r="AX216" s="132"/>
      <c r="AY216" s="132"/>
      <c r="AZ216" s="132"/>
      <c r="BA216" s="132"/>
      <c r="BB216" s="132"/>
      <c r="BC216" s="132"/>
      <c r="BD216" s="132"/>
      <c r="BE216" s="132"/>
      <c r="BF216" s="132"/>
    </row>
    <row r="217" customFormat="false" ht="11.25" hidden="false" customHeight="true" outlineLevel="0" collapsed="false">
      <c r="A217" s="113" t="s">
        <v>1026</v>
      </c>
      <c r="E217" s="80"/>
      <c r="F217" s="810"/>
      <c r="G217" s="138"/>
      <c r="H217" s="811" t="s">
        <v>165</v>
      </c>
      <c r="I217" s="831"/>
      <c r="J217" s="335"/>
      <c r="K217" s="333"/>
      <c r="L217" s="204"/>
      <c r="M217" s="198"/>
      <c r="N217" s="837"/>
      <c r="O217" s="838" t="n">
        <v>1</v>
      </c>
      <c r="P217" s="76" t="s">
        <v>61</v>
      </c>
      <c r="Q217" s="335" t="s">
        <v>1106</v>
      </c>
      <c r="R217" s="839" t="s">
        <v>1064</v>
      </c>
      <c r="S217" s="839" t="s">
        <v>106</v>
      </c>
      <c r="T217" s="839" t="s">
        <v>107</v>
      </c>
      <c r="U217" s="839" t="s">
        <v>108</v>
      </c>
      <c r="V217" s="839" t="s">
        <v>1107</v>
      </c>
      <c r="W217" s="839" t="s">
        <v>1108</v>
      </c>
      <c r="X217" s="839" t="s">
        <v>1109</v>
      </c>
      <c r="Y217" s="839" t="s">
        <v>1110</v>
      </c>
      <c r="Z217" s="840"/>
      <c r="AA217" s="841"/>
      <c r="AB217" s="841"/>
      <c r="AC217" s="842"/>
      <c r="AD217" s="842"/>
      <c r="AE217" s="843"/>
      <c r="AF217" s="835"/>
      <c r="AG217" s="836"/>
      <c r="AH217" s="836"/>
      <c r="AI217" s="835"/>
      <c r="AJ217" s="836"/>
      <c r="AK217" s="836"/>
      <c r="AL217" s="809"/>
      <c r="AM217" s="132"/>
      <c r="AN217" s="132"/>
      <c r="AO217" s="132"/>
      <c r="AP217" s="132"/>
      <c r="AQ217" s="132"/>
      <c r="AR217" s="132"/>
      <c r="AS217" s="132"/>
      <c r="AT217" s="132"/>
      <c r="AU217" s="132"/>
      <c r="AV217" s="132"/>
      <c r="AW217" s="132"/>
      <c r="AX217" s="132"/>
      <c r="AY217" s="132"/>
      <c r="AZ217" s="132"/>
      <c r="BA217" s="132"/>
      <c r="BB217" s="132"/>
      <c r="BC217" s="132"/>
      <c r="BD217" s="132"/>
      <c r="BE217" s="132"/>
      <c r="BF217" s="132"/>
    </row>
    <row r="218" customFormat="false" ht="11.25" hidden="false" customHeight="true" outlineLevel="0" collapsed="false">
      <c r="A218" s="113" t="s">
        <v>1026</v>
      </c>
      <c r="E218" s="80"/>
      <c r="F218" s="810"/>
      <c r="G218" s="138"/>
      <c r="H218" s="811" t="s">
        <v>165</v>
      </c>
      <c r="I218" s="831"/>
      <c r="J218" s="335"/>
      <c r="K218" s="333"/>
      <c r="L218" s="204"/>
      <c r="M218" s="198"/>
      <c r="N218" s="837"/>
      <c r="O218" s="838"/>
      <c r="P218" s="76"/>
      <c r="Q218" s="335"/>
      <c r="R218" s="839"/>
      <c r="S218" s="839"/>
      <c r="T218" s="839"/>
      <c r="U218" s="839"/>
      <c r="V218" s="839"/>
      <c r="W218" s="839"/>
      <c r="X218" s="839"/>
      <c r="Y218" s="839"/>
      <c r="Z218" s="844"/>
      <c r="AA218" s="845" t="n">
        <v>1</v>
      </c>
      <c r="AB218" s="846" t="s">
        <v>1069</v>
      </c>
      <c r="AC218" s="756" t="n">
        <v>2824.69</v>
      </c>
      <c r="AD218" s="846" t="str">
        <f aca="false">AB218</f>
        <v>Прочие амортизационные отчисления</v>
      </c>
      <c r="AE218" s="756" t="n">
        <v>4502.105</v>
      </c>
      <c r="AF218" s="835"/>
      <c r="AG218" s="836"/>
      <c r="AH218" s="836"/>
      <c r="AI218" s="835"/>
      <c r="AJ218" s="836"/>
      <c r="AK218" s="836"/>
      <c r="AL218" s="809"/>
      <c r="AM218" s="132"/>
      <c r="AN218" s="132"/>
      <c r="AO218" s="132"/>
      <c r="AP218" s="132"/>
      <c r="AQ218" s="132"/>
      <c r="AR218" s="132"/>
      <c r="AS218" s="132"/>
      <c r="AT218" s="132"/>
      <c r="AU218" s="132"/>
      <c r="AV218" s="132"/>
      <c r="AW218" s="132"/>
      <c r="AX218" s="132"/>
      <c r="AY218" s="132"/>
      <c r="AZ218" s="132"/>
      <c r="BA218" s="132"/>
      <c r="BB218" s="132"/>
      <c r="BC218" s="132"/>
      <c r="BD218" s="132"/>
      <c r="BE218" s="132"/>
      <c r="BF218" s="132"/>
    </row>
    <row r="219" customFormat="false" ht="11.25" hidden="false" customHeight="true" outlineLevel="0" collapsed="false">
      <c r="A219" s="113" t="s">
        <v>1026</v>
      </c>
      <c r="E219" s="80"/>
      <c r="F219" s="810"/>
      <c r="G219" s="138"/>
      <c r="H219" s="811" t="s">
        <v>165</v>
      </c>
      <c r="I219" s="831"/>
      <c r="J219" s="335"/>
      <c r="K219" s="333"/>
      <c r="L219" s="204"/>
      <c r="M219" s="198"/>
      <c r="N219" s="837"/>
      <c r="O219" s="838"/>
      <c r="P219" s="76"/>
      <c r="Q219" s="335"/>
      <c r="R219" s="839"/>
      <c r="S219" s="839"/>
      <c r="T219" s="839"/>
      <c r="U219" s="839"/>
      <c r="V219" s="839"/>
      <c r="W219" s="839"/>
      <c r="X219" s="839"/>
      <c r="Y219" s="839"/>
      <c r="Z219" s="840"/>
      <c r="AA219" s="841"/>
      <c r="AB219" s="161" t="s">
        <v>1071</v>
      </c>
      <c r="AC219" s="842"/>
      <c r="AD219" s="842"/>
      <c r="AE219" s="847"/>
      <c r="AF219" s="835"/>
      <c r="AG219" s="836"/>
      <c r="AH219" s="836"/>
      <c r="AI219" s="835"/>
      <c r="AJ219" s="836"/>
      <c r="AK219" s="836"/>
      <c r="AL219" s="809"/>
      <c r="AM219" s="132"/>
      <c r="AN219" s="132"/>
      <c r="AO219" s="132"/>
      <c r="AP219" s="132"/>
      <c r="AQ219" s="132"/>
      <c r="AR219" s="132"/>
      <c r="AS219" s="132"/>
      <c r="AT219" s="132"/>
      <c r="AU219" s="132"/>
      <c r="AV219" s="132"/>
      <c r="AW219" s="132"/>
      <c r="AX219" s="132"/>
      <c r="AY219" s="132"/>
      <c r="AZ219" s="132"/>
      <c r="BA219" s="132"/>
      <c r="BB219" s="132"/>
      <c r="BC219" s="132"/>
      <c r="BD219" s="132"/>
      <c r="BE219" s="132"/>
      <c r="BF219" s="132"/>
    </row>
    <row r="220" customFormat="false" ht="11.25" hidden="false" customHeight="true" outlineLevel="0" collapsed="false">
      <c r="A220" s="113" t="s">
        <v>1026</v>
      </c>
      <c r="E220" s="80"/>
      <c r="F220" s="810"/>
      <c r="G220" s="138"/>
      <c r="H220" s="811" t="s">
        <v>165</v>
      </c>
      <c r="I220" s="831"/>
      <c r="J220" s="335"/>
      <c r="K220" s="333"/>
      <c r="L220" s="204"/>
      <c r="M220" s="198"/>
      <c r="N220" s="840"/>
      <c r="O220" s="841"/>
      <c r="P220" s="161" t="s">
        <v>1072</v>
      </c>
      <c r="Q220" s="841"/>
      <c r="R220" s="841"/>
      <c r="S220" s="841"/>
      <c r="T220" s="841"/>
      <c r="U220" s="841"/>
      <c r="V220" s="841"/>
      <c r="W220" s="841"/>
      <c r="X220" s="841"/>
      <c r="Y220" s="841"/>
      <c r="Z220" s="841"/>
      <c r="AA220" s="841"/>
      <c r="AB220" s="841"/>
      <c r="AC220" s="841"/>
      <c r="AD220" s="841"/>
      <c r="AE220" s="848"/>
      <c r="AF220" s="835"/>
      <c r="AG220" s="836"/>
      <c r="AH220" s="836"/>
      <c r="AI220" s="835"/>
      <c r="AJ220" s="836"/>
      <c r="AK220" s="836"/>
      <c r="AL220" s="809"/>
      <c r="AM220" s="132"/>
      <c r="AN220" s="132"/>
      <c r="AO220" s="132"/>
      <c r="AP220" s="132"/>
      <c r="AQ220" s="132"/>
      <c r="AR220" s="132"/>
      <c r="AS220" s="132"/>
      <c r="AT220" s="132"/>
      <c r="AU220" s="132"/>
      <c r="AV220" s="132"/>
      <c r="AW220" s="132"/>
      <c r="AX220" s="132"/>
      <c r="AY220" s="132"/>
      <c r="AZ220" s="132"/>
      <c r="BA220" s="132"/>
      <c r="BB220" s="132"/>
      <c r="BC220" s="132"/>
      <c r="BD220" s="132"/>
      <c r="BE220" s="132"/>
      <c r="BF220" s="132"/>
    </row>
    <row r="221" customFormat="false" ht="11.25" hidden="false" customHeight="true" outlineLevel="0" collapsed="false">
      <c r="A221" s="113" t="s">
        <v>1026</v>
      </c>
      <c r="E221" s="80"/>
      <c r="F221" s="810"/>
      <c r="G221" s="138" t="s">
        <v>103</v>
      </c>
      <c r="H221" s="811" t="s">
        <v>167</v>
      </c>
      <c r="I221" s="831"/>
      <c r="J221" s="335"/>
      <c r="K221" s="333" t="s">
        <v>1133</v>
      </c>
      <c r="L221" s="204" t="s">
        <v>19</v>
      </c>
      <c r="M221" s="198"/>
      <c r="N221" s="832"/>
      <c r="O221" s="833" t="s">
        <v>389</v>
      </c>
      <c r="P221" s="834"/>
      <c r="Q221" s="834"/>
      <c r="R221" s="834"/>
      <c r="S221" s="834"/>
      <c r="T221" s="834"/>
      <c r="U221" s="834"/>
      <c r="V221" s="834"/>
      <c r="W221" s="834"/>
      <c r="X221" s="834"/>
      <c r="Y221" s="834"/>
      <c r="Z221" s="834"/>
      <c r="AA221" s="834"/>
      <c r="AB221" s="834"/>
      <c r="AC221" s="834"/>
      <c r="AD221" s="834"/>
      <c r="AE221" s="834"/>
      <c r="AF221" s="835" t="n">
        <v>2019</v>
      </c>
      <c r="AG221" s="836" t="s">
        <v>1059</v>
      </c>
      <c r="AH221" s="836" t="s">
        <v>1060</v>
      </c>
      <c r="AI221" s="835" t="n">
        <v>2020</v>
      </c>
      <c r="AJ221" s="836" t="s">
        <v>1093</v>
      </c>
      <c r="AK221" s="836" t="s">
        <v>1060</v>
      </c>
      <c r="AL221" s="809"/>
      <c r="AM221" s="132"/>
      <c r="AN221" s="132"/>
      <c r="AO221" s="132"/>
      <c r="AP221" s="132"/>
      <c r="AQ221" s="132"/>
      <c r="AR221" s="132"/>
      <c r="AS221" s="132"/>
      <c r="AT221" s="132"/>
      <c r="AU221" s="132"/>
      <c r="AV221" s="132"/>
      <c r="AW221" s="132"/>
      <c r="AX221" s="132"/>
      <c r="AY221" s="132"/>
      <c r="AZ221" s="132"/>
      <c r="BA221" s="132"/>
      <c r="BB221" s="132"/>
      <c r="BC221" s="132"/>
      <c r="BD221" s="132"/>
      <c r="BE221" s="132"/>
      <c r="BF221" s="132"/>
    </row>
    <row r="222" customFormat="false" ht="11.25" hidden="false" customHeight="true" outlineLevel="0" collapsed="false">
      <c r="A222" s="113" t="s">
        <v>1026</v>
      </c>
      <c r="E222" s="80"/>
      <c r="F222" s="810"/>
      <c r="G222" s="138"/>
      <c r="H222" s="811" t="s">
        <v>166</v>
      </c>
      <c r="I222" s="831"/>
      <c r="J222" s="335"/>
      <c r="K222" s="333"/>
      <c r="L222" s="204"/>
      <c r="M222" s="198"/>
      <c r="N222" s="837"/>
      <c r="O222" s="838" t="n">
        <v>1</v>
      </c>
      <c r="P222" s="76" t="s">
        <v>61</v>
      </c>
      <c r="Q222" s="335" t="s">
        <v>1118</v>
      </c>
      <c r="R222" s="839" t="s">
        <v>1119</v>
      </c>
      <c r="S222" s="839" t="s">
        <v>111</v>
      </c>
      <c r="T222" s="839" t="s">
        <v>112</v>
      </c>
      <c r="U222" s="839" t="s">
        <v>113</v>
      </c>
      <c r="V222" s="839" t="s">
        <v>1120</v>
      </c>
      <c r="W222" s="839" t="s">
        <v>1121</v>
      </c>
      <c r="X222" s="839" t="s">
        <v>1122</v>
      </c>
      <c r="Y222" s="839" t="s">
        <v>1123</v>
      </c>
      <c r="Z222" s="840"/>
      <c r="AA222" s="841"/>
      <c r="AB222" s="841"/>
      <c r="AC222" s="842"/>
      <c r="AD222" s="842"/>
      <c r="AE222" s="843"/>
      <c r="AF222" s="835"/>
      <c r="AG222" s="836"/>
      <c r="AH222" s="836"/>
      <c r="AI222" s="835"/>
      <c r="AJ222" s="836"/>
      <c r="AK222" s="836"/>
      <c r="AL222" s="809"/>
      <c r="AM222" s="132"/>
      <c r="AN222" s="132"/>
      <c r="AO222" s="132"/>
      <c r="AP222" s="132"/>
      <c r="AQ222" s="132"/>
      <c r="AR222" s="132"/>
      <c r="AS222" s="132"/>
      <c r="AT222" s="132"/>
      <c r="AU222" s="132"/>
      <c r="AV222" s="132"/>
      <c r="AW222" s="132"/>
      <c r="AX222" s="132"/>
      <c r="AY222" s="132"/>
      <c r="AZ222" s="132"/>
      <c r="BA222" s="132"/>
      <c r="BB222" s="132"/>
      <c r="BC222" s="132"/>
      <c r="BD222" s="132"/>
      <c r="BE222" s="132"/>
      <c r="BF222" s="132"/>
    </row>
    <row r="223" customFormat="false" ht="11.25" hidden="false" customHeight="true" outlineLevel="0" collapsed="false">
      <c r="A223" s="113" t="s">
        <v>1026</v>
      </c>
      <c r="E223" s="80"/>
      <c r="F223" s="810"/>
      <c r="G223" s="138"/>
      <c r="H223" s="811" t="s">
        <v>166</v>
      </c>
      <c r="I223" s="831"/>
      <c r="J223" s="335"/>
      <c r="K223" s="333"/>
      <c r="L223" s="204"/>
      <c r="M223" s="198"/>
      <c r="N223" s="837"/>
      <c r="O223" s="838"/>
      <c r="P223" s="76"/>
      <c r="Q223" s="335"/>
      <c r="R223" s="839"/>
      <c r="S223" s="839"/>
      <c r="T223" s="839"/>
      <c r="U223" s="839"/>
      <c r="V223" s="839"/>
      <c r="W223" s="839"/>
      <c r="X223" s="839"/>
      <c r="Y223" s="839"/>
      <c r="Z223" s="844"/>
      <c r="AA223" s="845" t="n">
        <v>1</v>
      </c>
      <c r="AB223" s="846" t="s">
        <v>1069</v>
      </c>
      <c r="AC223" s="756" t="n">
        <v>646.67</v>
      </c>
      <c r="AD223" s="846" t="str">
        <f aca="false">AB223</f>
        <v>Прочие амортизационные отчисления</v>
      </c>
      <c r="AE223" s="756" t="n">
        <v>170.85</v>
      </c>
      <c r="AF223" s="835"/>
      <c r="AG223" s="836"/>
      <c r="AH223" s="836"/>
      <c r="AI223" s="835"/>
      <c r="AJ223" s="836"/>
      <c r="AK223" s="836"/>
      <c r="AL223" s="809"/>
      <c r="AM223" s="132"/>
      <c r="AN223" s="132"/>
      <c r="AO223" s="132"/>
      <c r="AP223" s="132"/>
      <c r="AQ223" s="132"/>
      <c r="AR223" s="132"/>
      <c r="AS223" s="132"/>
      <c r="AT223" s="132"/>
      <c r="AU223" s="132"/>
      <c r="AV223" s="132"/>
      <c r="AW223" s="132"/>
      <c r="AX223" s="132"/>
      <c r="AY223" s="132"/>
      <c r="AZ223" s="132"/>
      <c r="BA223" s="132"/>
      <c r="BB223" s="132"/>
      <c r="BC223" s="132"/>
      <c r="BD223" s="132"/>
      <c r="BE223" s="132"/>
      <c r="BF223" s="132"/>
    </row>
    <row r="224" customFormat="false" ht="11.25" hidden="false" customHeight="true" outlineLevel="0" collapsed="false">
      <c r="A224" s="113" t="s">
        <v>1026</v>
      </c>
      <c r="E224" s="80"/>
      <c r="F224" s="810"/>
      <c r="G224" s="138"/>
      <c r="H224" s="811" t="s">
        <v>166</v>
      </c>
      <c r="I224" s="831"/>
      <c r="J224" s="335"/>
      <c r="K224" s="333"/>
      <c r="L224" s="204"/>
      <c r="M224" s="198"/>
      <c r="N224" s="837"/>
      <c r="O224" s="838"/>
      <c r="P224" s="76"/>
      <c r="Q224" s="335"/>
      <c r="R224" s="839"/>
      <c r="S224" s="839"/>
      <c r="T224" s="839"/>
      <c r="U224" s="839"/>
      <c r="V224" s="839"/>
      <c r="W224" s="839"/>
      <c r="X224" s="839"/>
      <c r="Y224" s="839"/>
      <c r="Z224" s="840"/>
      <c r="AA224" s="841"/>
      <c r="AB224" s="161" t="s">
        <v>1071</v>
      </c>
      <c r="AC224" s="842"/>
      <c r="AD224" s="842"/>
      <c r="AE224" s="847"/>
      <c r="AF224" s="835"/>
      <c r="AG224" s="836"/>
      <c r="AH224" s="836"/>
      <c r="AI224" s="835"/>
      <c r="AJ224" s="836"/>
      <c r="AK224" s="836"/>
      <c r="AL224" s="809"/>
      <c r="AM224" s="132"/>
      <c r="AN224" s="132"/>
      <c r="AO224" s="132"/>
      <c r="AP224" s="132"/>
      <c r="AQ224" s="132"/>
      <c r="AR224" s="132"/>
      <c r="AS224" s="132"/>
      <c r="AT224" s="132"/>
      <c r="AU224" s="132"/>
      <c r="AV224" s="132"/>
      <c r="AW224" s="132"/>
      <c r="AX224" s="132"/>
      <c r="AY224" s="132"/>
      <c r="AZ224" s="132"/>
      <c r="BA224" s="132"/>
      <c r="BB224" s="132"/>
      <c r="BC224" s="132"/>
      <c r="BD224" s="132"/>
      <c r="BE224" s="132"/>
      <c r="BF224" s="132"/>
    </row>
    <row r="225" customFormat="false" ht="11.25" hidden="false" customHeight="true" outlineLevel="0" collapsed="false">
      <c r="A225" s="113" t="s">
        <v>1026</v>
      </c>
      <c r="E225" s="80"/>
      <c r="F225" s="810"/>
      <c r="G225" s="138"/>
      <c r="H225" s="811" t="s">
        <v>166</v>
      </c>
      <c r="I225" s="831"/>
      <c r="J225" s="335"/>
      <c r="K225" s="333"/>
      <c r="L225" s="204"/>
      <c r="M225" s="198"/>
      <c r="N225" s="840"/>
      <c r="O225" s="841"/>
      <c r="P225" s="161" t="s">
        <v>1072</v>
      </c>
      <c r="Q225" s="841"/>
      <c r="R225" s="841"/>
      <c r="S225" s="841"/>
      <c r="T225" s="841"/>
      <c r="U225" s="841"/>
      <c r="V225" s="841"/>
      <c r="W225" s="841"/>
      <c r="X225" s="841"/>
      <c r="Y225" s="841"/>
      <c r="Z225" s="841"/>
      <c r="AA225" s="841"/>
      <c r="AB225" s="841"/>
      <c r="AC225" s="841"/>
      <c r="AD225" s="841"/>
      <c r="AE225" s="848"/>
      <c r="AF225" s="835"/>
      <c r="AG225" s="836"/>
      <c r="AH225" s="836"/>
      <c r="AI225" s="835"/>
      <c r="AJ225" s="836"/>
      <c r="AK225" s="836"/>
      <c r="AL225" s="809"/>
      <c r="AM225" s="132"/>
      <c r="AN225" s="132"/>
      <c r="AO225" s="132"/>
      <c r="AP225" s="132"/>
      <c r="AQ225" s="132"/>
      <c r="AR225" s="132"/>
      <c r="AS225" s="132"/>
      <c r="AT225" s="132"/>
      <c r="AU225" s="132"/>
      <c r="AV225" s="132"/>
      <c r="AW225" s="132"/>
      <c r="AX225" s="132"/>
      <c r="AY225" s="132"/>
      <c r="AZ225" s="132"/>
      <c r="BA225" s="132"/>
      <c r="BB225" s="132"/>
      <c r="BC225" s="132"/>
      <c r="BD225" s="132"/>
      <c r="BE225" s="132"/>
      <c r="BF225" s="132"/>
    </row>
    <row r="226" customFormat="false" ht="11.25" hidden="false" customHeight="true" outlineLevel="0" collapsed="false">
      <c r="A226" s="113" t="s">
        <v>1026</v>
      </c>
      <c r="E226" s="80"/>
      <c r="F226" s="810"/>
      <c r="G226" s="138" t="s">
        <v>103</v>
      </c>
      <c r="H226" s="811" t="s">
        <v>168</v>
      </c>
      <c r="I226" s="831"/>
      <c r="J226" s="335"/>
      <c r="K226" s="333" t="s">
        <v>1058</v>
      </c>
      <c r="L226" s="204" t="s">
        <v>19</v>
      </c>
      <c r="M226" s="198"/>
      <c r="N226" s="832"/>
      <c r="O226" s="833" t="s">
        <v>389</v>
      </c>
      <c r="P226" s="834"/>
      <c r="Q226" s="834"/>
      <c r="R226" s="834"/>
      <c r="S226" s="834"/>
      <c r="T226" s="834"/>
      <c r="U226" s="834"/>
      <c r="V226" s="834"/>
      <c r="W226" s="834"/>
      <c r="X226" s="834"/>
      <c r="Y226" s="834"/>
      <c r="Z226" s="834"/>
      <c r="AA226" s="834"/>
      <c r="AB226" s="834"/>
      <c r="AC226" s="834"/>
      <c r="AD226" s="834"/>
      <c r="AE226" s="834"/>
      <c r="AF226" s="835" t="n">
        <v>2019</v>
      </c>
      <c r="AG226" s="836" t="s">
        <v>1059</v>
      </c>
      <c r="AH226" s="836" t="s">
        <v>1060</v>
      </c>
      <c r="AI226" s="835" t="n">
        <v>2019</v>
      </c>
      <c r="AJ226" s="836" t="s">
        <v>1061</v>
      </c>
      <c r="AK226" s="836" t="s">
        <v>1062</v>
      </c>
      <c r="AL226" s="809"/>
      <c r="AM226" s="132"/>
      <c r="AN226" s="132"/>
      <c r="AO226" s="132"/>
      <c r="AP226" s="132"/>
      <c r="AQ226" s="132"/>
      <c r="AR226" s="132"/>
      <c r="AS226" s="132"/>
      <c r="AT226" s="132"/>
      <c r="AU226" s="132"/>
      <c r="AV226" s="132"/>
      <c r="AW226" s="132"/>
      <c r="AX226" s="132"/>
      <c r="AY226" s="132"/>
      <c r="AZ226" s="132"/>
      <c r="BA226" s="132"/>
      <c r="BB226" s="132"/>
      <c r="BC226" s="132"/>
      <c r="BD226" s="132"/>
      <c r="BE226" s="132"/>
      <c r="BF226" s="132"/>
    </row>
    <row r="227" customFormat="false" ht="11.25" hidden="false" customHeight="true" outlineLevel="0" collapsed="false">
      <c r="A227" s="113" t="s">
        <v>1026</v>
      </c>
      <c r="E227" s="80"/>
      <c r="F227" s="810"/>
      <c r="G227" s="138"/>
      <c r="H227" s="811" t="s">
        <v>167</v>
      </c>
      <c r="I227" s="831"/>
      <c r="J227" s="335"/>
      <c r="K227" s="333"/>
      <c r="L227" s="204"/>
      <c r="M227" s="198"/>
      <c r="N227" s="837"/>
      <c r="O227" s="838" t="n">
        <v>1</v>
      </c>
      <c r="P227" s="76" t="s">
        <v>61</v>
      </c>
      <c r="Q227" s="335" t="s">
        <v>1063</v>
      </c>
      <c r="R227" s="839" t="s">
        <v>1064</v>
      </c>
      <c r="S227" s="839" t="s">
        <v>99</v>
      </c>
      <c r="T227" s="839" t="s">
        <v>99</v>
      </c>
      <c r="U227" s="839" t="s">
        <v>100</v>
      </c>
      <c r="V227" s="839" t="s">
        <v>1065</v>
      </c>
      <c r="W227" s="839" t="s">
        <v>1066</v>
      </c>
      <c r="X227" s="839" t="s">
        <v>1067</v>
      </c>
      <c r="Y227" s="839" t="s">
        <v>1068</v>
      </c>
      <c r="Z227" s="840"/>
      <c r="AA227" s="841"/>
      <c r="AB227" s="841"/>
      <c r="AC227" s="842"/>
      <c r="AD227" s="842"/>
      <c r="AE227" s="843"/>
      <c r="AF227" s="835"/>
      <c r="AG227" s="836"/>
      <c r="AH227" s="836"/>
      <c r="AI227" s="835"/>
      <c r="AJ227" s="836"/>
      <c r="AK227" s="836"/>
      <c r="AL227" s="809"/>
      <c r="AM227" s="132"/>
      <c r="AN227" s="132"/>
      <c r="AO227" s="132"/>
      <c r="AP227" s="132"/>
      <c r="AQ227" s="132"/>
      <c r="AR227" s="132"/>
      <c r="AS227" s="132"/>
      <c r="AT227" s="132"/>
      <c r="AU227" s="132"/>
      <c r="AV227" s="132"/>
      <c r="AW227" s="132"/>
      <c r="AX227" s="132"/>
      <c r="AY227" s="132"/>
      <c r="AZ227" s="132"/>
      <c r="BA227" s="132"/>
      <c r="BB227" s="132"/>
      <c r="BC227" s="132"/>
      <c r="BD227" s="132"/>
      <c r="BE227" s="132"/>
      <c r="BF227" s="132"/>
    </row>
    <row r="228" customFormat="false" ht="11.25" hidden="false" customHeight="true" outlineLevel="0" collapsed="false">
      <c r="A228" s="113" t="s">
        <v>1026</v>
      </c>
      <c r="E228" s="80"/>
      <c r="F228" s="810"/>
      <c r="G228" s="138"/>
      <c r="H228" s="811" t="s">
        <v>167</v>
      </c>
      <c r="I228" s="831"/>
      <c r="J228" s="335"/>
      <c r="K228" s="333"/>
      <c r="L228" s="204"/>
      <c r="M228" s="198"/>
      <c r="N228" s="837"/>
      <c r="O228" s="838"/>
      <c r="P228" s="76"/>
      <c r="Q228" s="335"/>
      <c r="R228" s="839"/>
      <c r="S228" s="839"/>
      <c r="T228" s="839"/>
      <c r="U228" s="839"/>
      <c r="V228" s="839"/>
      <c r="W228" s="839"/>
      <c r="X228" s="839"/>
      <c r="Y228" s="839"/>
      <c r="Z228" s="844"/>
      <c r="AA228" s="845" t="n">
        <v>1</v>
      </c>
      <c r="AB228" s="846" t="s">
        <v>1069</v>
      </c>
      <c r="AC228" s="756" t="n">
        <v>833.437</v>
      </c>
      <c r="AD228" s="846" t="str">
        <f aca="false">AB228</f>
        <v>Прочие амортизационные отчисления</v>
      </c>
      <c r="AE228" s="756" t="n">
        <v>0</v>
      </c>
      <c r="AF228" s="835"/>
      <c r="AG228" s="836"/>
      <c r="AH228" s="836"/>
      <c r="AI228" s="835"/>
      <c r="AJ228" s="836"/>
      <c r="AK228" s="836"/>
      <c r="AL228" s="809"/>
      <c r="AM228" s="132"/>
      <c r="AN228" s="132"/>
      <c r="AO228" s="132"/>
      <c r="AP228" s="132"/>
      <c r="AQ228" s="132"/>
      <c r="AR228" s="132"/>
      <c r="AS228" s="132"/>
      <c r="AT228" s="132"/>
      <c r="AU228" s="132"/>
      <c r="AV228" s="132"/>
      <c r="AW228" s="132"/>
      <c r="AX228" s="132"/>
      <c r="AY228" s="132"/>
      <c r="AZ228" s="132"/>
      <c r="BA228" s="132"/>
      <c r="BB228" s="132"/>
      <c r="BC228" s="132"/>
      <c r="BD228" s="132"/>
      <c r="BE228" s="132"/>
      <c r="BF228" s="132"/>
    </row>
    <row r="229" customFormat="false" ht="11.25" hidden="false" customHeight="true" outlineLevel="0" collapsed="false">
      <c r="A229" s="113" t="s">
        <v>1026</v>
      </c>
      <c r="E229" s="80"/>
      <c r="F229" s="810"/>
      <c r="G229" s="138"/>
      <c r="H229" s="811" t="s">
        <v>167</v>
      </c>
      <c r="I229" s="831"/>
      <c r="J229" s="335"/>
      <c r="K229" s="333"/>
      <c r="L229" s="204"/>
      <c r="M229" s="198"/>
      <c r="N229" s="837"/>
      <c r="O229" s="838"/>
      <c r="P229" s="76"/>
      <c r="Q229" s="335"/>
      <c r="R229" s="839"/>
      <c r="S229" s="839"/>
      <c r="T229" s="839"/>
      <c r="U229" s="839"/>
      <c r="V229" s="839"/>
      <c r="W229" s="839"/>
      <c r="X229" s="839"/>
      <c r="Y229" s="839"/>
      <c r="Z229" s="840"/>
      <c r="AA229" s="841"/>
      <c r="AB229" s="161" t="s">
        <v>1071</v>
      </c>
      <c r="AC229" s="842"/>
      <c r="AD229" s="842"/>
      <c r="AE229" s="847"/>
      <c r="AF229" s="835"/>
      <c r="AG229" s="836"/>
      <c r="AH229" s="836"/>
      <c r="AI229" s="835"/>
      <c r="AJ229" s="836"/>
      <c r="AK229" s="836"/>
      <c r="AL229" s="809"/>
      <c r="AM229" s="132"/>
      <c r="AN229" s="132"/>
      <c r="AO229" s="132"/>
      <c r="AP229" s="132"/>
      <c r="AQ229" s="132"/>
      <c r="AR229" s="132"/>
      <c r="AS229" s="132"/>
      <c r="AT229" s="132"/>
      <c r="AU229" s="132"/>
      <c r="AV229" s="132"/>
      <c r="AW229" s="132"/>
      <c r="AX229" s="132"/>
      <c r="AY229" s="132"/>
      <c r="AZ229" s="132"/>
      <c r="BA229" s="132"/>
      <c r="BB229" s="132"/>
      <c r="BC229" s="132"/>
      <c r="BD229" s="132"/>
      <c r="BE229" s="132"/>
      <c r="BF229" s="132"/>
    </row>
    <row r="230" customFormat="false" ht="11.25" hidden="false" customHeight="true" outlineLevel="0" collapsed="false">
      <c r="A230" s="113" t="s">
        <v>1026</v>
      </c>
      <c r="E230" s="80"/>
      <c r="F230" s="810"/>
      <c r="G230" s="138"/>
      <c r="H230" s="811" t="s">
        <v>167</v>
      </c>
      <c r="I230" s="831"/>
      <c r="J230" s="335"/>
      <c r="K230" s="333"/>
      <c r="L230" s="204"/>
      <c r="M230" s="198"/>
      <c r="N230" s="840"/>
      <c r="O230" s="841"/>
      <c r="P230" s="161" t="s">
        <v>1072</v>
      </c>
      <c r="Q230" s="841"/>
      <c r="R230" s="841"/>
      <c r="S230" s="841"/>
      <c r="T230" s="841"/>
      <c r="U230" s="841"/>
      <c r="V230" s="841"/>
      <c r="W230" s="841"/>
      <c r="X230" s="841"/>
      <c r="Y230" s="841"/>
      <c r="Z230" s="841"/>
      <c r="AA230" s="841"/>
      <c r="AB230" s="841"/>
      <c r="AC230" s="841"/>
      <c r="AD230" s="841"/>
      <c r="AE230" s="848"/>
      <c r="AF230" s="835"/>
      <c r="AG230" s="836"/>
      <c r="AH230" s="836"/>
      <c r="AI230" s="835"/>
      <c r="AJ230" s="836"/>
      <c r="AK230" s="836"/>
      <c r="AL230" s="809"/>
      <c r="AM230" s="132"/>
      <c r="AN230" s="132"/>
      <c r="AO230" s="132"/>
      <c r="AP230" s="132"/>
      <c r="AQ230" s="132"/>
      <c r="AR230" s="132"/>
      <c r="AS230" s="132"/>
      <c r="AT230" s="132"/>
      <c r="AU230" s="132"/>
      <c r="AV230" s="132"/>
      <c r="AW230" s="132"/>
      <c r="AX230" s="132"/>
      <c r="AY230" s="132"/>
      <c r="AZ230" s="132"/>
      <c r="BA230" s="132"/>
      <c r="BB230" s="132"/>
      <c r="BC230" s="132"/>
      <c r="BD230" s="132"/>
      <c r="BE230" s="132"/>
      <c r="BF230" s="132"/>
    </row>
    <row r="231" customFormat="false" ht="11.25" hidden="false" customHeight="true" outlineLevel="0" collapsed="false">
      <c r="A231" s="113" t="s">
        <v>1026</v>
      </c>
      <c r="E231" s="80"/>
      <c r="F231" s="810"/>
      <c r="G231" s="138" t="s">
        <v>103</v>
      </c>
      <c r="H231" s="811" t="s">
        <v>1094</v>
      </c>
      <c r="I231" s="831"/>
      <c r="J231" s="335"/>
      <c r="K231" s="333" t="s">
        <v>1073</v>
      </c>
      <c r="L231" s="204" t="s">
        <v>19</v>
      </c>
      <c r="M231" s="198"/>
      <c r="N231" s="832"/>
      <c r="O231" s="833" t="s">
        <v>389</v>
      </c>
      <c r="P231" s="834"/>
      <c r="Q231" s="834"/>
      <c r="R231" s="834"/>
      <c r="S231" s="834"/>
      <c r="T231" s="834"/>
      <c r="U231" s="834"/>
      <c r="V231" s="834"/>
      <c r="W231" s="834"/>
      <c r="X231" s="834"/>
      <c r="Y231" s="834"/>
      <c r="Z231" s="834"/>
      <c r="AA231" s="834"/>
      <c r="AB231" s="834"/>
      <c r="AC231" s="834"/>
      <c r="AD231" s="834"/>
      <c r="AE231" s="834"/>
      <c r="AF231" s="835" t="n">
        <v>2019</v>
      </c>
      <c r="AG231" s="836" t="s">
        <v>1059</v>
      </c>
      <c r="AH231" s="836" t="s">
        <v>1060</v>
      </c>
      <c r="AI231" s="835" t="n">
        <v>2019</v>
      </c>
      <c r="AJ231" s="836" t="s">
        <v>1061</v>
      </c>
      <c r="AK231" s="836" t="s">
        <v>1062</v>
      </c>
      <c r="AL231" s="809"/>
      <c r="AM231" s="132"/>
      <c r="AN231" s="132"/>
      <c r="AO231" s="132"/>
      <c r="AP231" s="132"/>
      <c r="AQ231" s="132"/>
      <c r="AR231" s="132"/>
      <c r="AS231" s="132"/>
      <c r="AT231" s="132"/>
      <c r="AU231" s="132"/>
      <c r="AV231" s="132"/>
      <c r="AW231" s="132"/>
      <c r="AX231" s="132"/>
      <c r="AY231" s="132"/>
      <c r="AZ231" s="132"/>
      <c r="BA231" s="132"/>
      <c r="BB231" s="132"/>
      <c r="BC231" s="132"/>
      <c r="BD231" s="132"/>
      <c r="BE231" s="132"/>
      <c r="BF231" s="132"/>
    </row>
    <row r="232" customFormat="false" ht="11.25" hidden="false" customHeight="true" outlineLevel="0" collapsed="false">
      <c r="A232" s="113" t="s">
        <v>1026</v>
      </c>
      <c r="E232" s="80"/>
      <c r="F232" s="810"/>
      <c r="G232" s="138"/>
      <c r="H232" s="811" t="s">
        <v>168</v>
      </c>
      <c r="I232" s="831"/>
      <c r="J232" s="335"/>
      <c r="K232" s="333"/>
      <c r="L232" s="204"/>
      <c r="M232" s="198"/>
      <c r="N232" s="837"/>
      <c r="O232" s="838" t="n">
        <v>1</v>
      </c>
      <c r="P232" s="76" t="s">
        <v>61</v>
      </c>
      <c r="Q232" s="335" t="s">
        <v>1063</v>
      </c>
      <c r="R232" s="839" t="s">
        <v>1064</v>
      </c>
      <c r="S232" s="839" t="s">
        <v>99</v>
      </c>
      <c r="T232" s="839" t="s">
        <v>99</v>
      </c>
      <c r="U232" s="839" t="s">
        <v>100</v>
      </c>
      <c r="V232" s="839" t="s">
        <v>1065</v>
      </c>
      <c r="W232" s="839" t="s">
        <v>1066</v>
      </c>
      <c r="X232" s="839" t="s">
        <v>1067</v>
      </c>
      <c r="Y232" s="839" t="s">
        <v>1068</v>
      </c>
      <c r="Z232" s="840"/>
      <c r="AA232" s="841"/>
      <c r="AB232" s="841"/>
      <c r="AC232" s="842"/>
      <c r="AD232" s="842"/>
      <c r="AE232" s="843"/>
      <c r="AF232" s="835"/>
      <c r="AG232" s="836"/>
      <c r="AH232" s="836"/>
      <c r="AI232" s="835"/>
      <c r="AJ232" s="836"/>
      <c r="AK232" s="836"/>
      <c r="AL232" s="809"/>
      <c r="AM232" s="132"/>
      <c r="AN232" s="132"/>
      <c r="AO232" s="132"/>
      <c r="AP232" s="132"/>
      <c r="AQ232" s="132"/>
      <c r="AR232" s="132"/>
      <c r="AS232" s="132"/>
      <c r="AT232" s="132"/>
      <c r="AU232" s="132"/>
      <c r="AV232" s="132"/>
      <c r="AW232" s="132"/>
      <c r="AX232" s="132"/>
      <c r="AY232" s="132"/>
      <c r="AZ232" s="132"/>
      <c r="BA232" s="132"/>
      <c r="BB232" s="132"/>
      <c r="BC232" s="132"/>
      <c r="BD232" s="132"/>
      <c r="BE232" s="132"/>
      <c r="BF232" s="132"/>
    </row>
    <row r="233" customFormat="false" ht="11.25" hidden="false" customHeight="true" outlineLevel="0" collapsed="false">
      <c r="A233" s="113" t="s">
        <v>1026</v>
      </c>
      <c r="E233" s="80"/>
      <c r="F233" s="810"/>
      <c r="G233" s="138"/>
      <c r="H233" s="811" t="s">
        <v>168</v>
      </c>
      <c r="I233" s="831"/>
      <c r="J233" s="335"/>
      <c r="K233" s="333"/>
      <c r="L233" s="204"/>
      <c r="M233" s="198"/>
      <c r="N233" s="837"/>
      <c r="O233" s="838"/>
      <c r="P233" s="76"/>
      <c r="Q233" s="335"/>
      <c r="R233" s="839"/>
      <c r="S233" s="839"/>
      <c r="T233" s="839"/>
      <c r="U233" s="839"/>
      <c r="V233" s="839"/>
      <c r="W233" s="839"/>
      <c r="X233" s="839"/>
      <c r="Y233" s="839"/>
      <c r="Z233" s="844"/>
      <c r="AA233" s="845" t="n">
        <v>1</v>
      </c>
      <c r="AB233" s="846" t="s">
        <v>1069</v>
      </c>
      <c r="AC233" s="756" t="n">
        <v>210.4</v>
      </c>
      <c r="AD233" s="846" t="str">
        <f aca="false">AB233</f>
        <v>Прочие амортизационные отчисления</v>
      </c>
      <c r="AE233" s="756" t="n">
        <v>0</v>
      </c>
      <c r="AF233" s="835"/>
      <c r="AG233" s="836"/>
      <c r="AH233" s="836"/>
      <c r="AI233" s="835"/>
      <c r="AJ233" s="836"/>
      <c r="AK233" s="836"/>
      <c r="AL233" s="809"/>
      <c r="AM233" s="132"/>
      <c r="AN233" s="132"/>
      <c r="AO233" s="132"/>
      <c r="AP233" s="132"/>
      <c r="AQ233" s="132"/>
      <c r="AR233" s="132"/>
      <c r="AS233" s="132"/>
      <c r="AT233" s="132"/>
      <c r="AU233" s="132"/>
      <c r="AV233" s="132"/>
      <c r="AW233" s="132"/>
      <c r="AX233" s="132"/>
      <c r="AY233" s="132"/>
      <c r="AZ233" s="132"/>
      <c r="BA233" s="132"/>
      <c r="BB233" s="132"/>
      <c r="BC233" s="132"/>
      <c r="BD233" s="132"/>
      <c r="BE233" s="132"/>
      <c r="BF233" s="132"/>
    </row>
    <row r="234" customFormat="false" ht="11.25" hidden="false" customHeight="true" outlineLevel="0" collapsed="false">
      <c r="A234" s="113" t="s">
        <v>1026</v>
      </c>
      <c r="E234" s="80"/>
      <c r="F234" s="810"/>
      <c r="G234" s="138"/>
      <c r="H234" s="811" t="s">
        <v>168</v>
      </c>
      <c r="I234" s="831"/>
      <c r="J234" s="335"/>
      <c r="K234" s="333"/>
      <c r="L234" s="204"/>
      <c r="M234" s="198"/>
      <c r="N234" s="837"/>
      <c r="O234" s="838"/>
      <c r="P234" s="76"/>
      <c r="Q234" s="335"/>
      <c r="R234" s="839"/>
      <c r="S234" s="839"/>
      <c r="T234" s="839"/>
      <c r="U234" s="839"/>
      <c r="V234" s="839"/>
      <c r="W234" s="839"/>
      <c r="X234" s="839"/>
      <c r="Y234" s="839"/>
      <c r="Z234" s="840"/>
      <c r="AA234" s="841"/>
      <c r="AB234" s="161" t="s">
        <v>1071</v>
      </c>
      <c r="AC234" s="842"/>
      <c r="AD234" s="842"/>
      <c r="AE234" s="847"/>
      <c r="AF234" s="835"/>
      <c r="AG234" s="836"/>
      <c r="AH234" s="836"/>
      <c r="AI234" s="835"/>
      <c r="AJ234" s="836"/>
      <c r="AK234" s="836"/>
      <c r="AL234" s="809"/>
      <c r="AM234" s="132"/>
      <c r="AN234" s="132"/>
      <c r="AO234" s="132"/>
      <c r="AP234" s="132"/>
      <c r="AQ234" s="132"/>
      <c r="AR234" s="132"/>
      <c r="AS234" s="132"/>
      <c r="AT234" s="132"/>
      <c r="AU234" s="132"/>
      <c r="AV234" s="132"/>
      <c r="AW234" s="132"/>
      <c r="AX234" s="132"/>
      <c r="AY234" s="132"/>
      <c r="AZ234" s="132"/>
      <c r="BA234" s="132"/>
      <c r="BB234" s="132"/>
      <c r="BC234" s="132"/>
      <c r="BD234" s="132"/>
      <c r="BE234" s="132"/>
      <c r="BF234" s="132"/>
    </row>
    <row r="235" customFormat="false" ht="11.25" hidden="false" customHeight="true" outlineLevel="0" collapsed="false">
      <c r="A235" s="113" t="s">
        <v>1026</v>
      </c>
      <c r="E235" s="80"/>
      <c r="F235" s="810"/>
      <c r="G235" s="138"/>
      <c r="H235" s="811" t="s">
        <v>168</v>
      </c>
      <c r="I235" s="831"/>
      <c r="J235" s="335"/>
      <c r="K235" s="333"/>
      <c r="L235" s="204"/>
      <c r="M235" s="198"/>
      <c r="N235" s="840"/>
      <c r="O235" s="841"/>
      <c r="P235" s="161" t="s">
        <v>1072</v>
      </c>
      <c r="Q235" s="841"/>
      <c r="R235" s="841"/>
      <c r="S235" s="841"/>
      <c r="T235" s="841"/>
      <c r="U235" s="841"/>
      <c r="V235" s="841"/>
      <c r="W235" s="841"/>
      <c r="X235" s="841"/>
      <c r="Y235" s="841"/>
      <c r="Z235" s="841"/>
      <c r="AA235" s="841"/>
      <c r="AB235" s="841"/>
      <c r="AC235" s="841"/>
      <c r="AD235" s="841"/>
      <c r="AE235" s="848"/>
      <c r="AF235" s="835"/>
      <c r="AG235" s="836"/>
      <c r="AH235" s="836"/>
      <c r="AI235" s="835"/>
      <c r="AJ235" s="836"/>
      <c r="AK235" s="836"/>
      <c r="AL235" s="809"/>
      <c r="AM235" s="132"/>
      <c r="AN235" s="132"/>
      <c r="AO235" s="132"/>
      <c r="AP235" s="132"/>
      <c r="AQ235" s="132"/>
      <c r="AR235" s="132"/>
      <c r="AS235" s="132"/>
      <c r="AT235" s="132"/>
      <c r="AU235" s="132"/>
      <c r="AV235" s="132"/>
      <c r="AW235" s="132"/>
      <c r="AX235" s="132"/>
      <c r="AY235" s="132"/>
      <c r="AZ235" s="132"/>
      <c r="BA235" s="132"/>
      <c r="BB235" s="132"/>
      <c r="BC235" s="132"/>
      <c r="BD235" s="132"/>
      <c r="BE235" s="132"/>
      <c r="BF235" s="132"/>
    </row>
    <row r="236" customFormat="false" ht="11.25" hidden="false" customHeight="true" outlineLevel="0" collapsed="false">
      <c r="A236" s="113" t="s">
        <v>1026</v>
      </c>
      <c r="E236" s="80"/>
      <c r="F236" s="810"/>
      <c r="G236" s="138" t="s">
        <v>103</v>
      </c>
      <c r="H236" s="811" t="s">
        <v>1100</v>
      </c>
      <c r="I236" s="831"/>
      <c r="J236" s="335"/>
      <c r="K236" s="333" t="s">
        <v>1074</v>
      </c>
      <c r="L236" s="204" t="s">
        <v>19</v>
      </c>
      <c r="M236" s="198"/>
      <c r="N236" s="832"/>
      <c r="O236" s="833" t="s">
        <v>389</v>
      </c>
      <c r="P236" s="834"/>
      <c r="Q236" s="834"/>
      <c r="R236" s="834"/>
      <c r="S236" s="834"/>
      <c r="T236" s="834"/>
      <c r="U236" s="834"/>
      <c r="V236" s="834"/>
      <c r="W236" s="834"/>
      <c r="X236" s="834"/>
      <c r="Y236" s="834"/>
      <c r="Z236" s="834"/>
      <c r="AA236" s="834"/>
      <c r="AB236" s="834"/>
      <c r="AC236" s="834"/>
      <c r="AD236" s="834"/>
      <c r="AE236" s="834"/>
      <c r="AF236" s="835" t="n">
        <v>2019</v>
      </c>
      <c r="AG236" s="836" t="s">
        <v>1059</v>
      </c>
      <c r="AH236" s="836" t="s">
        <v>1075</v>
      </c>
      <c r="AI236" s="835" t="n">
        <v>2019</v>
      </c>
      <c r="AJ236" s="836" t="s">
        <v>1076</v>
      </c>
      <c r="AK236" s="836" t="s">
        <v>1062</v>
      </c>
      <c r="AL236" s="809"/>
      <c r="AM236" s="132"/>
      <c r="AN236" s="132"/>
      <c r="AO236" s="132"/>
      <c r="AP236" s="132"/>
      <c r="AQ236" s="132"/>
      <c r="AR236" s="132"/>
      <c r="AS236" s="132"/>
      <c r="AT236" s="132"/>
      <c r="AU236" s="132"/>
      <c r="AV236" s="132"/>
      <c r="AW236" s="132"/>
      <c r="AX236" s="132"/>
      <c r="AY236" s="132"/>
      <c r="AZ236" s="132"/>
      <c r="BA236" s="132"/>
      <c r="BB236" s="132"/>
      <c r="BC236" s="132"/>
      <c r="BD236" s="132"/>
      <c r="BE236" s="132"/>
      <c r="BF236" s="132"/>
    </row>
    <row r="237" customFormat="false" ht="11.25" hidden="false" customHeight="true" outlineLevel="0" collapsed="false">
      <c r="A237" s="113" t="s">
        <v>1026</v>
      </c>
      <c r="E237" s="80"/>
      <c r="F237" s="810"/>
      <c r="G237" s="138"/>
      <c r="H237" s="811" t="s">
        <v>1094</v>
      </c>
      <c r="I237" s="831"/>
      <c r="J237" s="335"/>
      <c r="K237" s="333"/>
      <c r="L237" s="204"/>
      <c r="M237" s="198"/>
      <c r="N237" s="837"/>
      <c r="O237" s="838" t="n">
        <v>1</v>
      </c>
      <c r="P237" s="76" t="s">
        <v>61</v>
      </c>
      <c r="Q237" s="335" t="s">
        <v>1063</v>
      </c>
      <c r="R237" s="839" t="s">
        <v>1064</v>
      </c>
      <c r="S237" s="839" t="s">
        <v>99</v>
      </c>
      <c r="T237" s="839" t="s">
        <v>99</v>
      </c>
      <c r="U237" s="839" t="s">
        <v>100</v>
      </c>
      <c r="V237" s="839" t="s">
        <v>1065</v>
      </c>
      <c r="W237" s="839" t="s">
        <v>1066</v>
      </c>
      <c r="X237" s="839" t="s">
        <v>1067</v>
      </c>
      <c r="Y237" s="839" t="s">
        <v>1068</v>
      </c>
      <c r="Z237" s="840"/>
      <c r="AA237" s="841"/>
      <c r="AB237" s="841"/>
      <c r="AC237" s="842"/>
      <c r="AD237" s="842"/>
      <c r="AE237" s="843"/>
      <c r="AF237" s="835"/>
      <c r="AG237" s="836"/>
      <c r="AH237" s="836"/>
      <c r="AI237" s="835"/>
      <c r="AJ237" s="836"/>
      <c r="AK237" s="836"/>
      <c r="AL237" s="809"/>
      <c r="AM237" s="132"/>
      <c r="AN237" s="132"/>
      <c r="AO237" s="132"/>
      <c r="AP237" s="132"/>
      <c r="AQ237" s="132"/>
      <c r="AR237" s="132"/>
      <c r="AS237" s="132"/>
      <c r="AT237" s="132"/>
      <c r="AU237" s="132"/>
      <c r="AV237" s="132"/>
      <c r="AW237" s="132"/>
      <c r="AX237" s="132"/>
      <c r="AY237" s="132"/>
      <c r="AZ237" s="132"/>
      <c r="BA237" s="132"/>
      <c r="BB237" s="132"/>
      <c r="BC237" s="132"/>
      <c r="BD237" s="132"/>
      <c r="BE237" s="132"/>
      <c r="BF237" s="132"/>
    </row>
    <row r="238" customFormat="false" ht="11.25" hidden="false" customHeight="true" outlineLevel="0" collapsed="false">
      <c r="A238" s="113" t="s">
        <v>1026</v>
      </c>
      <c r="E238" s="80"/>
      <c r="F238" s="810"/>
      <c r="G238" s="138"/>
      <c r="H238" s="811" t="s">
        <v>1094</v>
      </c>
      <c r="I238" s="831"/>
      <c r="J238" s="335"/>
      <c r="K238" s="333"/>
      <c r="L238" s="204"/>
      <c r="M238" s="198"/>
      <c r="N238" s="837"/>
      <c r="O238" s="838"/>
      <c r="P238" s="76"/>
      <c r="Q238" s="335"/>
      <c r="R238" s="839"/>
      <c r="S238" s="839"/>
      <c r="T238" s="839"/>
      <c r="U238" s="839"/>
      <c r="V238" s="839"/>
      <c r="W238" s="839"/>
      <c r="X238" s="839"/>
      <c r="Y238" s="839"/>
      <c r="Z238" s="844"/>
      <c r="AA238" s="845" t="n">
        <v>1</v>
      </c>
      <c r="AB238" s="846" t="s">
        <v>1069</v>
      </c>
      <c r="AC238" s="756" t="n">
        <v>501.7</v>
      </c>
      <c r="AD238" s="846" t="str">
        <f aca="false">AB238</f>
        <v>Прочие амортизационные отчисления</v>
      </c>
      <c r="AE238" s="756" t="n">
        <v>0</v>
      </c>
      <c r="AF238" s="835"/>
      <c r="AG238" s="836"/>
      <c r="AH238" s="836"/>
      <c r="AI238" s="835"/>
      <c r="AJ238" s="836"/>
      <c r="AK238" s="836"/>
      <c r="AL238" s="809"/>
      <c r="AM238" s="132"/>
      <c r="AN238" s="132"/>
      <c r="AO238" s="132"/>
      <c r="AP238" s="132"/>
      <c r="AQ238" s="132"/>
      <c r="AR238" s="132"/>
      <c r="AS238" s="132"/>
      <c r="AT238" s="132"/>
      <c r="AU238" s="132"/>
      <c r="AV238" s="132"/>
      <c r="AW238" s="132"/>
      <c r="AX238" s="132"/>
      <c r="AY238" s="132"/>
      <c r="AZ238" s="132"/>
      <c r="BA238" s="132"/>
      <c r="BB238" s="132"/>
      <c r="BC238" s="132"/>
      <c r="BD238" s="132"/>
      <c r="BE238" s="132"/>
      <c r="BF238" s="132"/>
    </row>
    <row r="239" customFormat="false" ht="11.25" hidden="false" customHeight="true" outlineLevel="0" collapsed="false">
      <c r="A239" s="113" t="s">
        <v>1026</v>
      </c>
      <c r="E239" s="80"/>
      <c r="F239" s="810"/>
      <c r="G239" s="138"/>
      <c r="H239" s="811" t="s">
        <v>1094</v>
      </c>
      <c r="I239" s="831"/>
      <c r="J239" s="335"/>
      <c r="K239" s="333"/>
      <c r="L239" s="204"/>
      <c r="M239" s="198"/>
      <c r="N239" s="837"/>
      <c r="O239" s="838"/>
      <c r="P239" s="76"/>
      <c r="Q239" s="335"/>
      <c r="R239" s="839"/>
      <c r="S239" s="839"/>
      <c r="T239" s="839"/>
      <c r="U239" s="839"/>
      <c r="V239" s="839"/>
      <c r="W239" s="839"/>
      <c r="X239" s="839"/>
      <c r="Y239" s="839"/>
      <c r="Z239" s="840"/>
      <c r="AA239" s="841"/>
      <c r="AB239" s="161" t="s">
        <v>1071</v>
      </c>
      <c r="AC239" s="842"/>
      <c r="AD239" s="842"/>
      <c r="AE239" s="847"/>
      <c r="AF239" s="835"/>
      <c r="AG239" s="836"/>
      <c r="AH239" s="836"/>
      <c r="AI239" s="835"/>
      <c r="AJ239" s="836"/>
      <c r="AK239" s="836"/>
      <c r="AL239" s="809"/>
      <c r="AM239" s="132"/>
      <c r="AN239" s="132"/>
      <c r="AO239" s="132"/>
      <c r="AP239" s="132"/>
      <c r="AQ239" s="132"/>
      <c r="AR239" s="132"/>
      <c r="AS239" s="132"/>
      <c r="AT239" s="132"/>
      <c r="AU239" s="132"/>
      <c r="AV239" s="132"/>
      <c r="AW239" s="132"/>
      <c r="AX239" s="132"/>
      <c r="AY239" s="132"/>
      <c r="AZ239" s="132"/>
      <c r="BA239" s="132"/>
      <c r="BB239" s="132"/>
      <c r="BC239" s="132"/>
      <c r="BD239" s="132"/>
      <c r="BE239" s="132"/>
      <c r="BF239" s="132"/>
    </row>
    <row r="240" customFormat="false" ht="11.25" hidden="false" customHeight="true" outlineLevel="0" collapsed="false">
      <c r="A240" s="113" t="s">
        <v>1026</v>
      </c>
      <c r="E240" s="80"/>
      <c r="F240" s="810"/>
      <c r="G240" s="138"/>
      <c r="H240" s="811" t="s">
        <v>1094</v>
      </c>
      <c r="I240" s="831"/>
      <c r="J240" s="335"/>
      <c r="K240" s="333"/>
      <c r="L240" s="204"/>
      <c r="M240" s="198"/>
      <c r="N240" s="840"/>
      <c r="O240" s="841"/>
      <c r="P240" s="161" t="s">
        <v>1072</v>
      </c>
      <c r="Q240" s="841"/>
      <c r="R240" s="841"/>
      <c r="S240" s="841"/>
      <c r="T240" s="841"/>
      <c r="U240" s="841"/>
      <c r="V240" s="841"/>
      <c r="W240" s="841"/>
      <c r="X240" s="841"/>
      <c r="Y240" s="841"/>
      <c r="Z240" s="841"/>
      <c r="AA240" s="841"/>
      <c r="AB240" s="841"/>
      <c r="AC240" s="841"/>
      <c r="AD240" s="841"/>
      <c r="AE240" s="848"/>
      <c r="AF240" s="835"/>
      <c r="AG240" s="836"/>
      <c r="AH240" s="836"/>
      <c r="AI240" s="835"/>
      <c r="AJ240" s="836"/>
      <c r="AK240" s="836"/>
      <c r="AL240" s="809"/>
      <c r="AM240" s="132"/>
      <c r="AN240" s="132"/>
      <c r="AO240" s="132"/>
      <c r="AP240" s="132"/>
      <c r="AQ240" s="132"/>
      <c r="AR240" s="132"/>
      <c r="AS240" s="132"/>
      <c r="AT240" s="132"/>
      <c r="AU240" s="132"/>
      <c r="AV240" s="132"/>
      <c r="AW240" s="132"/>
      <c r="AX240" s="132"/>
      <c r="AY240" s="132"/>
      <c r="AZ240" s="132"/>
      <c r="BA240" s="132"/>
      <c r="BB240" s="132"/>
      <c r="BC240" s="132"/>
      <c r="BD240" s="132"/>
      <c r="BE240" s="132"/>
      <c r="BF240" s="132"/>
    </row>
    <row r="241" customFormat="false" ht="11.25" hidden="false" customHeight="true" outlineLevel="0" collapsed="false">
      <c r="A241" s="113" t="s">
        <v>1026</v>
      </c>
      <c r="E241" s="80"/>
      <c r="F241" s="810"/>
      <c r="G241" s="138" t="s">
        <v>103</v>
      </c>
      <c r="H241" s="811" t="s">
        <v>1102</v>
      </c>
      <c r="I241" s="831"/>
      <c r="J241" s="335"/>
      <c r="K241" s="333" t="s">
        <v>1077</v>
      </c>
      <c r="L241" s="204" t="s">
        <v>19</v>
      </c>
      <c r="M241" s="198"/>
      <c r="N241" s="832"/>
      <c r="O241" s="833" t="s">
        <v>389</v>
      </c>
      <c r="P241" s="834"/>
      <c r="Q241" s="834"/>
      <c r="R241" s="834"/>
      <c r="S241" s="834"/>
      <c r="T241" s="834"/>
      <c r="U241" s="834"/>
      <c r="V241" s="834"/>
      <c r="W241" s="834"/>
      <c r="X241" s="834"/>
      <c r="Y241" s="834"/>
      <c r="Z241" s="834"/>
      <c r="AA241" s="834"/>
      <c r="AB241" s="834"/>
      <c r="AC241" s="834"/>
      <c r="AD241" s="834"/>
      <c r="AE241" s="834"/>
      <c r="AF241" s="835" t="n">
        <v>2019</v>
      </c>
      <c r="AG241" s="836" t="s">
        <v>1059</v>
      </c>
      <c r="AH241" s="836" t="s">
        <v>1075</v>
      </c>
      <c r="AI241" s="835" t="n">
        <v>2020</v>
      </c>
      <c r="AJ241" s="836" t="s">
        <v>1061</v>
      </c>
      <c r="AK241" s="836" t="s">
        <v>1060</v>
      </c>
      <c r="AL241" s="809"/>
      <c r="AM241" s="132"/>
      <c r="AN241" s="132"/>
      <c r="AO241" s="132"/>
      <c r="AP241" s="132"/>
      <c r="AQ241" s="132"/>
      <c r="AR241" s="132"/>
      <c r="AS241" s="132"/>
      <c r="AT241" s="132"/>
      <c r="AU241" s="132"/>
      <c r="AV241" s="132"/>
      <c r="AW241" s="132"/>
      <c r="AX241" s="132"/>
      <c r="AY241" s="132"/>
      <c r="AZ241" s="132"/>
      <c r="BA241" s="132"/>
      <c r="BB241" s="132"/>
      <c r="BC241" s="132"/>
      <c r="BD241" s="132"/>
      <c r="BE241" s="132"/>
      <c r="BF241" s="132"/>
    </row>
    <row r="242" customFormat="false" ht="11.25" hidden="false" customHeight="true" outlineLevel="0" collapsed="false">
      <c r="A242" s="113" t="s">
        <v>1026</v>
      </c>
      <c r="E242" s="80"/>
      <c r="F242" s="810"/>
      <c r="G242" s="138"/>
      <c r="H242" s="811" t="s">
        <v>1100</v>
      </c>
      <c r="I242" s="831"/>
      <c r="J242" s="335"/>
      <c r="K242" s="333"/>
      <c r="L242" s="204"/>
      <c r="M242" s="198"/>
      <c r="N242" s="837"/>
      <c r="O242" s="838" t="n">
        <v>1</v>
      </c>
      <c r="P242" s="76" t="s">
        <v>61</v>
      </c>
      <c r="Q242" s="335" t="s">
        <v>1063</v>
      </c>
      <c r="R242" s="839" t="s">
        <v>1064</v>
      </c>
      <c r="S242" s="839" t="s">
        <v>99</v>
      </c>
      <c r="T242" s="839" t="s">
        <v>99</v>
      </c>
      <c r="U242" s="839" t="s">
        <v>100</v>
      </c>
      <c r="V242" s="839" t="s">
        <v>1065</v>
      </c>
      <c r="W242" s="839" t="s">
        <v>1066</v>
      </c>
      <c r="X242" s="839" t="s">
        <v>1067</v>
      </c>
      <c r="Y242" s="839" t="s">
        <v>1068</v>
      </c>
      <c r="Z242" s="840"/>
      <c r="AA242" s="841"/>
      <c r="AB242" s="841"/>
      <c r="AC242" s="842"/>
      <c r="AD242" s="842"/>
      <c r="AE242" s="843"/>
      <c r="AF242" s="835"/>
      <c r="AG242" s="836"/>
      <c r="AH242" s="836"/>
      <c r="AI242" s="835"/>
      <c r="AJ242" s="836"/>
      <c r="AK242" s="836"/>
      <c r="AL242" s="809"/>
      <c r="AM242" s="132"/>
      <c r="AN242" s="132"/>
      <c r="AO242" s="132"/>
      <c r="AP242" s="132"/>
      <c r="AQ242" s="132"/>
      <c r="AR242" s="132"/>
      <c r="AS242" s="132"/>
      <c r="AT242" s="132"/>
      <c r="AU242" s="132"/>
      <c r="AV242" s="132"/>
      <c r="AW242" s="132"/>
      <c r="AX242" s="132"/>
      <c r="AY242" s="132"/>
      <c r="AZ242" s="132"/>
      <c r="BA242" s="132"/>
      <c r="BB242" s="132"/>
      <c r="BC242" s="132"/>
      <c r="BD242" s="132"/>
      <c r="BE242" s="132"/>
      <c r="BF242" s="132"/>
    </row>
    <row r="243" customFormat="false" ht="11.25" hidden="false" customHeight="true" outlineLevel="0" collapsed="false">
      <c r="A243" s="113" t="s">
        <v>1026</v>
      </c>
      <c r="E243" s="80"/>
      <c r="F243" s="810"/>
      <c r="G243" s="138"/>
      <c r="H243" s="811" t="s">
        <v>1100</v>
      </c>
      <c r="I243" s="831"/>
      <c r="J243" s="335"/>
      <c r="K243" s="333"/>
      <c r="L243" s="204"/>
      <c r="M243" s="198"/>
      <c r="N243" s="837"/>
      <c r="O243" s="838"/>
      <c r="P243" s="76"/>
      <c r="Q243" s="335"/>
      <c r="R243" s="839"/>
      <c r="S243" s="839"/>
      <c r="T243" s="839"/>
      <c r="U243" s="839"/>
      <c r="V243" s="839"/>
      <c r="W243" s="839"/>
      <c r="X243" s="839"/>
      <c r="Y243" s="839"/>
      <c r="Z243" s="844"/>
      <c r="AA243" s="845" t="n">
        <v>1</v>
      </c>
      <c r="AB243" s="846" t="s">
        <v>1069</v>
      </c>
      <c r="AC243" s="756" t="n">
        <v>567.71</v>
      </c>
      <c r="AD243" s="846" t="str">
        <f aca="false">AB243</f>
        <v>Прочие амортизационные отчисления</v>
      </c>
      <c r="AE243" s="756" t="n">
        <v>501.71</v>
      </c>
      <c r="AF243" s="835"/>
      <c r="AG243" s="836"/>
      <c r="AH243" s="836"/>
      <c r="AI243" s="835"/>
      <c r="AJ243" s="836"/>
      <c r="AK243" s="836"/>
      <c r="AL243" s="809"/>
      <c r="AM243" s="132"/>
      <c r="AN243" s="132"/>
      <c r="AO243" s="132"/>
      <c r="AP243" s="132"/>
      <c r="AQ243" s="132"/>
      <c r="AR243" s="132"/>
      <c r="AS243" s="132"/>
      <c r="AT243" s="132"/>
      <c r="AU243" s="132"/>
      <c r="AV243" s="132"/>
      <c r="AW243" s="132"/>
      <c r="AX243" s="132"/>
      <c r="AY243" s="132"/>
      <c r="AZ243" s="132"/>
      <c r="BA243" s="132"/>
      <c r="BB243" s="132"/>
      <c r="BC243" s="132"/>
      <c r="BD243" s="132"/>
      <c r="BE243" s="132"/>
      <c r="BF243" s="132"/>
    </row>
    <row r="244" customFormat="false" ht="11.25" hidden="false" customHeight="true" outlineLevel="0" collapsed="false">
      <c r="A244" s="113" t="s">
        <v>1026</v>
      </c>
      <c r="E244" s="80"/>
      <c r="F244" s="810"/>
      <c r="G244" s="138"/>
      <c r="H244" s="811" t="s">
        <v>1100</v>
      </c>
      <c r="I244" s="831"/>
      <c r="J244" s="335"/>
      <c r="K244" s="333"/>
      <c r="L244" s="204"/>
      <c r="M244" s="198"/>
      <c r="N244" s="837"/>
      <c r="O244" s="838"/>
      <c r="P244" s="76"/>
      <c r="Q244" s="335"/>
      <c r="R244" s="839"/>
      <c r="S244" s="839"/>
      <c r="T244" s="839"/>
      <c r="U244" s="839"/>
      <c r="V244" s="839"/>
      <c r="W244" s="839"/>
      <c r="X244" s="839"/>
      <c r="Y244" s="839"/>
      <c r="Z244" s="840"/>
      <c r="AA244" s="841"/>
      <c r="AB244" s="161" t="s">
        <v>1071</v>
      </c>
      <c r="AC244" s="842"/>
      <c r="AD244" s="842"/>
      <c r="AE244" s="847"/>
      <c r="AF244" s="835"/>
      <c r="AG244" s="836"/>
      <c r="AH244" s="836"/>
      <c r="AI244" s="835"/>
      <c r="AJ244" s="836"/>
      <c r="AK244" s="836"/>
      <c r="AL244" s="809"/>
      <c r="AM244" s="132"/>
      <c r="AN244" s="132"/>
      <c r="AO244" s="132"/>
      <c r="AP244" s="132"/>
      <c r="AQ244" s="132"/>
      <c r="AR244" s="132"/>
      <c r="AS244" s="132"/>
      <c r="AT244" s="132"/>
      <c r="AU244" s="132"/>
      <c r="AV244" s="132"/>
      <c r="AW244" s="132"/>
      <c r="AX244" s="132"/>
      <c r="AY244" s="132"/>
      <c r="AZ244" s="132"/>
      <c r="BA244" s="132"/>
      <c r="BB244" s="132"/>
      <c r="BC244" s="132"/>
      <c r="BD244" s="132"/>
      <c r="BE244" s="132"/>
      <c r="BF244" s="132"/>
    </row>
    <row r="245" customFormat="false" ht="11.25" hidden="false" customHeight="true" outlineLevel="0" collapsed="false">
      <c r="A245" s="113" t="s">
        <v>1026</v>
      </c>
      <c r="E245" s="80"/>
      <c r="F245" s="810"/>
      <c r="G245" s="138"/>
      <c r="H245" s="811" t="s">
        <v>1100</v>
      </c>
      <c r="I245" s="831"/>
      <c r="J245" s="335"/>
      <c r="K245" s="333"/>
      <c r="L245" s="204"/>
      <c r="M245" s="198"/>
      <c r="N245" s="840"/>
      <c r="O245" s="841"/>
      <c r="P245" s="161" t="s">
        <v>1072</v>
      </c>
      <c r="Q245" s="841"/>
      <c r="R245" s="841"/>
      <c r="S245" s="841"/>
      <c r="T245" s="841"/>
      <c r="U245" s="841"/>
      <c r="V245" s="841"/>
      <c r="W245" s="841"/>
      <c r="X245" s="841"/>
      <c r="Y245" s="841"/>
      <c r="Z245" s="841"/>
      <c r="AA245" s="841"/>
      <c r="AB245" s="841"/>
      <c r="AC245" s="841"/>
      <c r="AD245" s="841"/>
      <c r="AE245" s="848"/>
      <c r="AF245" s="835"/>
      <c r="AG245" s="836"/>
      <c r="AH245" s="836"/>
      <c r="AI245" s="835"/>
      <c r="AJ245" s="836"/>
      <c r="AK245" s="836"/>
      <c r="AL245" s="809"/>
      <c r="AM245" s="132"/>
      <c r="AN245" s="132"/>
      <c r="AO245" s="132"/>
      <c r="AP245" s="132"/>
      <c r="AQ245" s="132"/>
      <c r="AR245" s="132"/>
      <c r="AS245" s="132"/>
      <c r="AT245" s="132"/>
      <c r="AU245" s="132"/>
      <c r="AV245" s="132"/>
      <c r="AW245" s="132"/>
      <c r="AX245" s="132"/>
      <c r="AY245" s="132"/>
      <c r="AZ245" s="132"/>
      <c r="BA245" s="132"/>
      <c r="BB245" s="132"/>
      <c r="BC245" s="132"/>
      <c r="BD245" s="132"/>
      <c r="BE245" s="132"/>
      <c r="BF245" s="132"/>
    </row>
    <row r="246" customFormat="false" ht="11.25" hidden="false" customHeight="true" outlineLevel="0" collapsed="false">
      <c r="A246" s="113" t="s">
        <v>1026</v>
      </c>
      <c r="E246" s="80"/>
      <c r="F246" s="810"/>
      <c r="G246" s="138" t="s">
        <v>103</v>
      </c>
      <c r="H246" s="811" t="s">
        <v>1111</v>
      </c>
      <c r="I246" s="831"/>
      <c r="J246" s="335"/>
      <c r="K246" s="333" t="s">
        <v>1078</v>
      </c>
      <c r="L246" s="204" t="s">
        <v>19</v>
      </c>
      <c r="M246" s="198"/>
      <c r="N246" s="832"/>
      <c r="O246" s="833" t="s">
        <v>389</v>
      </c>
      <c r="P246" s="834"/>
      <c r="Q246" s="834"/>
      <c r="R246" s="834"/>
      <c r="S246" s="834"/>
      <c r="T246" s="834"/>
      <c r="U246" s="834"/>
      <c r="V246" s="834"/>
      <c r="W246" s="834"/>
      <c r="X246" s="834"/>
      <c r="Y246" s="834"/>
      <c r="Z246" s="834"/>
      <c r="AA246" s="834"/>
      <c r="AB246" s="834"/>
      <c r="AC246" s="834"/>
      <c r="AD246" s="834"/>
      <c r="AE246" s="834"/>
      <c r="AF246" s="835" t="n">
        <v>2019</v>
      </c>
      <c r="AG246" s="836" t="s">
        <v>1059</v>
      </c>
      <c r="AH246" s="836" t="s">
        <v>1060</v>
      </c>
      <c r="AI246" s="835" t="n">
        <v>2019</v>
      </c>
      <c r="AJ246" s="836" t="s">
        <v>1079</v>
      </c>
      <c r="AK246" s="836" t="s">
        <v>1062</v>
      </c>
      <c r="AL246" s="809"/>
      <c r="AM246" s="132"/>
      <c r="AN246" s="132"/>
      <c r="AO246" s="132"/>
      <c r="AP246" s="132"/>
      <c r="AQ246" s="132"/>
      <c r="AR246" s="132"/>
      <c r="AS246" s="132"/>
      <c r="AT246" s="132"/>
      <c r="AU246" s="132"/>
      <c r="AV246" s="132"/>
      <c r="AW246" s="132"/>
      <c r="AX246" s="132"/>
      <c r="AY246" s="132"/>
      <c r="AZ246" s="132"/>
      <c r="BA246" s="132"/>
      <c r="BB246" s="132"/>
      <c r="BC246" s="132"/>
      <c r="BD246" s="132"/>
      <c r="BE246" s="132"/>
      <c r="BF246" s="132"/>
    </row>
    <row r="247" customFormat="false" ht="11.25" hidden="false" customHeight="true" outlineLevel="0" collapsed="false">
      <c r="A247" s="113" t="s">
        <v>1026</v>
      </c>
      <c r="E247" s="80"/>
      <c r="F247" s="810"/>
      <c r="G247" s="138"/>
      <c r="H247" s="811" t="s">
        <v>1102</v>
      </c>
      <c r="I247" s="831"/>
      <c r="J247" s="335"/>
      <c r="K247" s="333"/>
      <c r="L247" s="204"/>
      <c r="M247" s="198"/>
      <c r="N247" s="837"/>
      <c r="O247" s="838" t="n">
        <v>1</v>
      </c>
      <c r="P247" s="76" t="s">
        <v>61</v>
      </c>
      <c r="Q247" s="335" t="s">
        <v>1080</v>
      </c>
      <c r="R247" s="839" t="s">
        <v>1064</v>
      </c>
      <c r="S247" s="839" t="s">
        <v>99</v>
      </c>
      <c r="T247" s="839" t="s">
        <v>99</v>
      </c>
      <c r="U247" s="839" t="s">
        <v>100</v>
      </c>
      <c r="V247" s="839" t="s">
        <v>1065</v>
      </c>
      <c r="W247" s="839" t="s">
        <v>1066</v>
      </c>
      <c r="X247" s="839" t="s">
        <v>1081</v>
      </c>
      <c r="Y247" s="839" t="s">
        <v>1082</v>
      </c>
      <c r="Z247" s="840"/>
      <c r="AA247" s="841"/>
      <c r="AB247" s="841"/>
      <c r="AC247" s="842"/>
      <c r="AD247" s="842"/>
      <c r="AE247" s="843"/>
      <c r="AF247" s="835"/>
      <c r="AG247" s="836"/>
      <c r="AH247" s="836"/>
      <c r="AI247" s="835"/>
      <c r="AJ247" s="836"/>
      <c r="AK247" s="836"/>
      <c r="AL247" s="809"/>
      <c r="AM247" s="132"/>
      <c r="AN247" s="132"/>
      <c r="AO247" s="132"/>
      <c r="AP247" s="132"/>
      <c r="AQ247" s="132"/>
      <c r="AR247" s="132"/>
      <c r="AS247" s="132"/>
      <c r="AT247" s="132"/>
      <c r="AU247" s="132"/>
      <c r="AV247" s="132"/>
      <c r="AW247" s="132"/>
      <c r="AX247" s="132"/>
      <c r="AY247" s="132"/>
      <c r="AZ247" s="132"/>
      <c r="BA247" s="132"/>
      <c r="BB247" s="132"/>
      <c r="BC247" s="132"/>
      <c r="BD247" s="132"/>
      <c r="BE247" s="132"/>
      <c r="BF247" s="132"/>
    </row>
    <row r="248" customFormat="false" ht="11.25" hidden="false" customHeight="true" outlineLevel="0" collapsed="false">
      <c r="A248" s="113" t="s">
        <v>1026</v>
      </c>
      <c r="E248" s="80"/>
      <c r="F248" s="810"/>
      <c r="G248" s="138"/>
      <c r="H248" s="811" t="s">
        <v>1102</v>
      </c>
      <c r="I248" s="831"/>
      <c r="J248" s="335"/>
      <c r="K248" s="333"/>
      <c r="L248" s="204"/>
      <c r="M248" s="198"/>
      <c r="N248" s="837"/>
      <c r="O248" s="838"/>
      <c r="P248" s="76"/>
      <c r="Q248" s="335"/>
      <c r="R248" s="839"/>
      <c r="S248" s="839"/>
      <c r="T248" s="839"/>
      <c r="U248" s="839"/>
      <c r="V248" s="839"/>
      <c r="W248" s="839"/>
      <c r="X248" s="839"/>
      <c r="Y248" s="839"/>
      <c r="Z248" s="844"/>
      <c r="AA248" s="845" t="n">
        <v>1</v>
      </c>
      <c r="AB248" s="846" t="s">
        <v>1069</v>
      </c>
      <c r="AC248" s="756" t="n">
        <v>379.55</v>
      </c>
      <c r="AD248" s="846" t="str">
        <f aca="false">AB248</f>
        <v>Прочие амортизационные отчисления</v>
      </c>
      <c r="AE248" s="756" t="n">
        <v>0</v>
      </c>
      <c r="AF248" s="835"/>
      <c r="AG248" s="836"/>
      <c r="AH248" s="836"/>
      <c r="AI248" s="835"/>
      <c r="AJ248" s="836"/>
      <c r="AK248" s="836"/>
      <c r="AL248" s="809"/>
      <c r="AM248" s="132"/>
      <c r="AN248" s="132"/>
      <c r="AO248" s="132"/>
      <c r="AP248" s="132"/>
      <c r="AQ248" s="132"/>
      <c r="AR248" s="132"/>
      <c r="AS248" s="132"/>
      <c r="AT248" s="132"/>
      <c r="AU248" s="132"/>
      <c r="AV248" s="132"/>
      <c r="AW248" s="132"/>
      <c r="AX248" s="132"/>
      <c r="AY248" s="132"/>
      <c r="AZ248" s="132"/>
      <c r="BA248" s="132"/>
      <c r="BB248" s="132"/>
      <c r="BC248" s="132"/>
      <c r="BD248" s="132"/>
      <c r="BE248" s="132"/>
      <c r="BF248" s="132"/>
    </row>
    <row r="249" customFormat="false" ht="11.25" hidden="false" customHeight="true" outlineLevel="0" collapsed="false">
      <c r="A249" s="113" t="s">
        <v>1026</v>
      </c>
      <c r="E249" s="80"/>
      <c r="F249" s="810"/>
      <c r="G249" s="138"/>
      <c r="H249" s="811" t="s">
        <v>1102</v>
      </c>
      <c r="I249" s="831"/>
      <c r="J249" s="335"/>
      <c r="K249" s="333"/>
      <c r="L249" s="204"/>
      <c r="M249" s="198"/>
      <c r="N249" s="837"/>
      <c r="O249" s="838"/>
      <c r="P249" s="76"/>
      <c r="Q249" s="335"/>
      <c r="R249" s="839"/>
      <c r="S249" s="839"/>
      <c r="T249" s="839"/>
      <c r="U249" s="839"/>
      <c r="V249" s="839"/>
      <c r="W249" s="839"/>
      <c r="X249" s="839"/>
      <c r="Y249" s="839"/>
      <c r="Z249" s="840"/>
      <c r="AA249" s="841"/>
      <c r="AB249" s="161" t="s">
        <v>1071</v>
      </c>
      <c r="AC249" s="842"/>
      <c r="AD249" s="842"/>
      <c r="AE249" s="847"/>
      <c r="AF249" s="835"/>
      <c r="AG249" s="836"/>
      <c r="AH249" s="836"/>
      <c r="AI249" s="835"/>
      <c r="AJ249" s="836"/>
      <c r="AK249" s="836"/>
      <c r="AL249" s="809"/>
      <c r="AM249" s="132"/>
      <c r="AN249" s="132"/>
      <c r="AO249" s="132"/>
      <c r="AP249" s="132"/>
      <c r="AQ249" s="132"/>
      <c r="AR249" s="132"/>
      <c r="AS249" s="132"/>
      <c r="AT249" s="132"/>
      <c r="AU249" s="132"/>
      <c r="AV249" s="132"/>
      <c r="AW249" s="132"/>
      <c r="AX249" s="132"/>
      <c r="AY249" s="132"/>
      <c r="AZ249" s="132"/>
      <c r="BA249" s="132"/>
      <c r="BB249" s="132"/>
      <c r="BC249" s="132"/>
      <c r="BD249" s="132"/>
      <c r="BE249" s="132"/>
      <c r="BF249" s="132"/>
    </row>
    <row r="250" customFormat="false" ht="11.25" hidden="false" customHeight="true" outlineLevel="0" collapsed="false">
      <c r="A250" s="113" t="s">
        <v>1026</v>
      </c>
      <c r="E250" s="80"/>
      <c r="F250" s="810"/>
      <c r="G250" s="138"/>
      <c r="H250" s="811" t="s">
        <v>1102</v>
      </c>
      <c r="I250" s="831"/>
      <c r="J250" s="335"/>
      <c r="K250" s="333"/>
      <c r="L250" s="204"/>
      <c r="M250" s="198"/>
      <c r="N250" s="840"/>
      <c r="O250" s="841"/>
      <c r="P250" s="161" t="s">
        <v>1072</v>
      </c>
      <c r="Q250" s="841"/>
      <c r="R250" s="841"/>
      <c r="S250" s="841"/>
      <c r="T250" s="841"/>
      <c r="U250" s="841"/>
      <c r="V250" s="841"/>
      <c r="W250" s="841"/>
      <c r="X250" s="841"/>
      <c r="Y250" s="841"/>
      <c r="Z250" s="841"/>
      <c r="AA250" s="841"/>
      <c r="AB250" s="841"/>
      <c r="AC250" s="841"/>
      <c r="AD250" s="841"/>
      <c r="AE250" s="848"/>
      <c r="AF250" s="835"/>
      <c r="AG250" s="836"/>
      <c r="AH250" s="836"/>
      <c r="AI250" s="835"/>
      <c r="AJ250" s="836"/>
      <c r="AK250" s="836"/>
      <c r="AL250" s="809"/>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row>
    <row r="251" customFormat="false" ht="11.25" hidden="false" customHeight="true" outlineLevel="0" collapsed="false">
      <c r="A251" s="113" t="s">
        <v>1026</v>
      </c>
      <c r="E251" s="80"/>
      <c r="F251" s="810"/>
      <c r="G251" s="138" t="s">
        <v>103</v>
      </c>
      <c r="H251" s="811" t="s">
        <v>1114</v>
      </c>
      <c r="I251" s="831"/>
      <c r="J251" s="335"/>
      <c r="K251" s="333" t="s">
        <v>1083</v>
      </c>
      <c r="L251" s="204" t="s">
        <v>19</v>
      </c>
      <c r="M251" s="198"/>
      <c r="N251" s="832"/>
      <c r="O251" s="833" t="s">
        <v>389</v>
      </c>
      <c r="P251" s="834"/>
      <c r="Q251" s="834"/>
      <c r="R251" s="834"/>
      <c r="S251" s="834"/>
      <c r="T251" s="834"/>
      <c r="U251" s="834"/>
      <c r="V251" s="834"/>
      <c r="W251" s="834"/>
      <c r="X251" s="834"/>
      <c r="Y251" s="834"/>
      <c r="Z251" s="834"/>
      <c r="AA251" s="834"/>
      <c r="AB251" s="834"/>
      <c r="AC251" s="834"/>
      <c r="AD251" s="834"/>
      <c r="AE251" s="834"/>
      <c r="AF251" s="835" t="n">
        <v>2019</v>
      </c>
      <c r="AG251" s="836" t="s">
        <v>1059</v>
      </c>
      <c r="AH251" s="836" t="s">
        <v>1060</v>
      </c>
      <c r="AI251" s="835" t="n">
        <v>2019</v>
      </c>
      <c r="AJ251" s="836" t="s">
        <v>1061</v>
      </c>
      <c r="AK251" s="836" t="s">
        <v>1062</v>
      </c>
      <c r="AL251" s="809"/>
      <c r="AM251" s="132"/>
      <c r="AN251" s="132"/>
      <c r="AO251" s="132"/>
      <c r="AP251" s="132"/>
      <c r="AQ251" s="132"/>
      <c r="AR251" s="132"/>
      <c r="AS251" s="132"/>
      <c r="AT251" s="132"/>
      <c r="AU251" s="132"/>
      <c r="AV251" s="132"/>
      <c r="AW251" s="132"/>
      <c r="AX251" s="132"/>
      <c r="AY251" s="132"/>
      <c r="AZ251" s="132"/>
      <c r="BA251" s="132"/>
      <c r="BB251" s="132"/>
      <c r="BC251" s="132"/>
      <c r="BD251" s="132"/>
      <c r="BE251" s="132"/>
      <c r="BF251" s="132"/>
    </row>
    <row r="252" customFormat="false" ht="11.25" hidden="false" customHeight="true" outlineLevel="0" collapsed="false">
      <c r="A252" s="113" t="s">
        <v>1026</v>
      </c>
      <c r="E252" s="80"/>
      <c r="F252" s="810"/>
      <c r="G252" s="138"/>
      <c r="H252" s="811" t="s">
        <v>1114</v>
      </c>
      <c r="I252" s="831"/>
      <c r="J252" s="335"/>
      <c r="K252" s="333"/>
      <c r="L252" s="204"/>
      <c r="M252" s="198"/>
      <c r="N252" s="837"/>
      <c r="O252" s="838" t="n">
        <v>1</v>
      </c>
      <c r="P252" s="76" t="s">
        <v>61</v>
      </c>
      <c r="Q252" s="335" t="s">
        <v>1080</v>
      </c>
      <c r="R252" s="839" t="s">
        <v>1064</v>
      </c>
      <c r="S252" s="839" t="s">
        <v>99</v>
      </c>
      <c r="T252" s="839" t="s">
        <v>99</v>
      </c>
      <c r="U252" s="839" t="s">
        <v>100</v>
      </c>
      <c r="V252" s="839" t="s">
        <v>1065</v>
      </c>
      <c r="W252" s="839" t="s">
        <v>1066</v>
      </c>
      <c r="X252" s="839" t="s">
        <v>1081</v>
      </c>
      <c r="Y252" s="839" t="s">
        <v>1082</v>
      </c>
      <c r="Z252" s="840"/>
      <c r="AA252" s="841"/>
      <c r="AB252" s="841"/>
      <c r="AC252" s="842"/>
      <c r="AD252" s="842"/>
      <c r="AE252" s="843"/>
      <c r="AF252" s="835"/>
      <c r="AG252" s="836"/>
      <c r="AH252" s="836"/>
      <c r="AI252" s="835"/>
      <c r="AJ252" s="836"/>
      <c r="AK252" s="836"/>
      <c r="AL252" s="809"/>
      <c r="AM252" s="132"/>
      <c r="AN252" s="132"/>
      <c r="AO252" s="132"/>
      <c r="AP252" s="132"/>
      <c r="AQ252" s="132"/>
      <c r="AR252" s="132"/>
      <c r="AS252" s="132"/>
      <c r="AT252" s="132"/>
      <c r="AU252" s="132"/>
      <c r="AV252" s="132"/>
      <c r="AW252" s="132"/>
      <c r="AX252" s="132"/>
      <c r="AY252" s="132"/>
      <c r="AZ252" s="132"/>
      <c r="BA252" s="132"/>
      <c r="BB252" s="132"/>
      <c r="BC252" s="132"/>
      <c r="BD252" s="132"/>
      <c r="BE252" s="132"/>
      <c r="BF252" s="132"/>
    </row>
    <row r="253" customFormat="false" ht="11.25" hidden="false" customHeight="true" outlineLevel="0" collapsed="false">
      <c r="A253" s="113" t="s">
        <v>1026</v>
      </c>
      <c r="E253" s="80"/>
      <c r="F253" s="810"/>
      <c r="G253" s="138"/>
      <c r="H253" s="811" t="s">
        <v>1114</v>
      </c>
      <c r="I253" s="831"/>
      <c r="J253" s="335"/>
      <c r="K253" s="333"/>
      <c r="L253" s="204"/>
      <c r="M253" s="198"/>
      <c r="N253" s="837"/>
      <c r="O253" s="838"/>
      <c r="P253" s="76"/>
      <c r="Q253" s="335"/>
      <c r="R253" s="839"/>
      <c r="S253" s="839"/>
      <c r="T253" s="839"/>
      <c r="U253" s="839"/>
      <c r="V253" s="839"/>
      <c r="W253" s="839"/>
      <c r="X253" s="839"/>
      <c r="Y253" s="839"/>
      <c r="Z253" s="844"/>
      <c r="AA253" s="845" t="n">
        <v>1</v>
      </c>
      <c r="AB253" s="846" t="s">
        <v>1069</v>
      </c>
      <c r="AC253" s="756" t="n">
        <v>112.04</v>
      </c>
      <c r="AD253" s="846" t="str">
        <f aca="false">AB253</f>
        <v>Прочие амортизационные отчисления</v>
      </c>
      <c r="AE253" s="756" t="n">
        <v>0</v>
      </c>
      <c r="AF253" s="835"/>
      <c r="AG253" s="836"/>
      <c r="AH253" s="836"/>
      <c r="AI253" s="835"/>
      <c r="AJ253" s="836"/>
      <c r="AK253" s="836"/>
      <c r="AL253" s="809"/>
      <c r="AM253" s="132"/>
      <c r="AN253" s="132"/>
      <c r="AO253" s="132"/>
      <c r="AP253" s="132"/>
      <c r="AQ253" s="132"/>
      <c r="AR253" s="132"/>
      <c r="AS253" s="132"/>
      <c r="AT253" s="132"/>
      <c r="AU253" s="132"/>
      <c r="AV253" s="132"/>
      <c r="AW253" s="132"/>
      <c r="AX253" s="132"/>
      <c r="AY253" s="132"/>
      <c r="AZ253" s="132"/>
      <c r="BA253" s="132"/>
      <c r="BB253" s="132"/>
      <c r="BC253" s="132"/>
      <c r="BD253" s="132"/>
      <c r="BE253" s="132"/>
      <c r="BF253" s="132"/>
    </row>
    <row r="254" customFormat="false" ht="11.25" hidden="false" customHeight="true" outlineLevel="0" collapsed="false">
      <c r="A254" s="113" t="s">
        <v>1026</v>
      </c>
      <c r="E254" s="80"/>
      <c r="F254" s="810"/>
      <c r="G254" s="138"/>
      <c r="H254" s="811" t="s">
        <v>1114</v>
      </c>
      <c r="I254" s="831"/>
      <c r="J254" s="335"/>
      <c r="K254" s="333"/>
      <c r="L254" s="204"/>
      <c r="M254" s="198"/>
      <c r="N254" s="837"/>
      <c r="O254" s="838"/>
      <c r="P254" s="76"/>
      <c r="Q254" s="335"/>
      <c r="R254" s="839"/>
      <c r="S254" s="839"/>
      <c r="T254" s="839"/>
      <c r="U254" s="839"/>
      <c r="V254" s="839"/>
      <c r="W254" s="839"/>
      <c r="X254" s="839"/>
      <c r="Y254" s="839"/>
      <c r="Z254" s="840"/>
      <c r="AA254" s="841"/>
      <c r="AB254" s="161" t="s">
        <v>1071</v>
      </c>
      <c r="AC254" s="842"/>
      <c r="AD254" s="842"/>
      <c r="AE254" s="847"/>
      <c r="AF254" s="835"/>
      <c r="AG254" s="836"/>
      <c r="AH254" s="836"/>
      <c r="AI254" s="835"/>
      <c r="AJ254" s="836"/>
      <c r="AK254" s="836"/>
      <c r="AL254" s="809"/>
      <c r="AM254" s="132"/>
      <c r="AN254" s="132"/>
      <c r="AO254" s="132"/>
      <c r="AP254" s="132"/>
      <c r="AQ254" s="132"/>
      <c r="AR254" s="132"/>
      <c r="AS254" s="132"/>
      <c r="AT254" s="132"/>
      <c r="AU254" s="132"/>
      <c r="AV254" s="132"/>
      <c r="AW254" s="132"/>
      <c r="AX254" s="132"/>
      <c r="AY254" s="132"/>
      <c r="AZ254" s="132"/>
      <c r="BA254" s="132"/>
      <c r="BB254" s="132"/>
      <c r="BC254" s="132"/>
      <c r="BD254" s="132"/>
      <c r="BE254" s="132"/>
      <c r="BF254" s="132"/>
    </row>
    <row r="255" customFormat="false" ht="11.25" hidden="false" customHeight="true" outlineLevel="0" collapsed="false">
      <c r="A255" s="113" t="s">
        <v>1026</v>
      </c>
      <c r="E255" s="80"/>
      <c r="F255" s="810"/>
      <c r="G255" s="138"/>
      <c r="H255" s="811" t="s">
        <v>1114</v>
      </c>
      <c r="I255" s="831"/>
      <c r="J255" s="335"/>
      <c r="K255" s="333"/>
      <c r="L255" s="204"/>
      <c r="M255" s="198"/>
      <c r="N255" s="840"/>
      <c r="O255" s="841"/>
      <c r="P255" s="161" t="s">
        <v>1072</v>
      </c>
      <c r="Q255" s="841"/>
      <c r="R255" s="841"/>
      <c r="S255" s="841"/>
      <c r="T255" s="841"/>
      <c r="U255" s="841"/>
      <c r="V255" s="841"/>
      <c r="W255" s="841"/>
      <c r="X255" s="841"/>
      <c r="Y255" s="841"/>
      <c r="Z255" s="841"/>
      <c r="AA255" s="841"/>
      <c r="AB255" s="841"/>
      <c r="AC255" s="841"/>
      <c r="AD255" s="841"/>
      <c r="AE255" s="848"/>
      <c r="AF255" s="835"/>
      <c r="AG255" s="836"/>
      <c r="AH255" s="836"/>
      <c r="AI255" s="835"/>
      <c r="AJ255" s="836"/>
      <c r="AK255" s="836"/>
      <c r="AL255" s="809"/>
      <c r="AM255" s="132"/>
      <c r="AN255" s="132"/>
      <c r="AO255" s="132"/>
      <c r="AP255" s="132"/>
      <c r="AQ255" s="132"/>
      <c r="AR255" s="132"/>
      <c r="AS255" s="132"/>
      <c r="AT255" s="132"/>
      <c r="AU255" s="132"/>
      <c r="AV255" s="132"/>
      <c r="AW255" s="132"/>
      <c r="AX255" s="132"/>
      <c r="AY255" s="132"/>
      <c r="AZ255" s="132"/>
      <c r="BA255" s="132"/>
      <c r="BB255" s="132"/>
      <c r="BC255" s="132"/>
      <c r="BD255" s="132"/>
      <c r="BE255" s="132"/>
      <c r="BF255" s="132"/>
    </row>
    <row r="256" customFormat="false" ht="11.25" hidden="false" customHeight="true" outlineLevel="0" collapsed="false">
      <c r="A256" s="113" t="s">
        <v>1026</v>
      </c>
      <c r="E256" s="80"/>
      <c r="F256" s="810"/>
      <c r="G256" s="138" t="s">
        <v>103</v>
      </c>
      <c r="H256" s="811" t="s">
        <v>1116</v>
      </c>
      <c r="I256" s="831"/>
      <c r="J256" s="335"/>
      <c r="K256" s="333" t="s">
        <v>1146</v>
      </c>
      <c r="L256" s="204" t="s">
        <v>19</v>
      </c>
      <c r="M256" s="198"/>
      <c r="N256" s="832"/>
      <c r="O256" s="833" t="s">
        <v>389</v>
      </c>
      <c r="P256" s="834"/>
      <c r="Q256" s="834"/>
      <c r="R256" s="834"/>
      <c r="S256" s="834"/>
      <c r="T256" s="834"/>
      <c r="U256" s="834"/>
      <c r="V256" s="834"/>
      <c r="W256" s="834"/>
      <c r="X256" s="834"/>
      <c r="Y256" s="834"/>
      <c r="Z256" s="834"/>
      <c r="AA256" s="834"/>
      <c r="AB256" s="834"/>
      <c r="AC256" s="834"/>
      <c r="AD256" s="834"/>
      <c r="AE256" s="834"/>
      <c r="AF256" s="835" t="n">
        <v>2019</v>
      </c>
      <c r="AG256" s="836" t="s">
        <v>1059</v>
      </c>
      <c r="AH256" s="836" t="s">
        <v>1060</v>
      </c>
      <c r="AI256" s="835" t="n">
        <v>2019</v>
      </c>
      <c r="AJ256" s="836" t="s">
        <v>1061</v>
      </c>
      <c r="AK256" s="836" t="s">
        <v>1062</v>
      </c>
      <c r="AL256" s="809"/>
      <c r="AM256" s="132"/>
      <c r="AN256" s="132"/>
      <c r="AO256" s="132"/>
      <c r="AP256" s="132"/>
      <c r="AQ256" s="132"/>
      <c r="AR256" s="132"/>
      <c r="AS256" s="132"/>
      <c r="AT256" s="132"/>
      <c r="AU256" s="132"/>
      <c r="AV256" s="132"/>
      <c r="AW256" s="132"/>
      <c r="AX256" s="132"/>
      <c r="AY256" s="132"/>
      <c r="AZ256" s="132"/>
      <c r="BA256" s="132"/>
      <c r="BB256" s="132"/>
      <c r="BC256" s="132"/>
      <c r="BD256" s="132"/>
      <c r="BE256" s="132"/>
      <c r="BF256" s="132"/>
    </row>
    <row r="257" customFormat="false" ht="11.25" hidden="false" customHeight="true" outlineLevel="0" collapsed="false">
      <c r="A257" s="113" t="s">
        <v>1026</v>
      </c>
      <c r="E257" s="80"/>
      <c r="F257" s="810"/>
      <c r="G257" s="138"/>
      <c r="H257" s="811" t="s">
        <v>1116</v>
      </c>
      <c r="I257" s="831"/>
      <c r="J257" s="335"/>
      <c r="K257" s="333"/>
      <c r="L257" s="204"/>
      <c r="M257" s="198"/>
      <c r="N257" s="837"/>
      <c r="O257" s="838" t="n">
        <v>1</v>
      </c>
      <c r="P257" s="76" t="s">
        <v>61</v>
      </c>
      <c r="Q257" s="335" t="s">
        <v>1080</v>
      </c>
      <c r="R257" s="839" t="s">
        <v>1064</v>
      </c>
      <c r="S257" s="839" t="s">
        <v>99</v>
      </c>
      <c r="T257" s="839" t="s">
        <v>99</v>
      </c>
      <c r="U257" s="839" t="s">
        <v>100</v>
      </c>
      <c r="V257" s="839" t="s">
        <v>1065</v>
      </c>
      <c r="W257" s="839" t="s">
        <v>1066</v>
      </c>
      <c r="X257" s="839" t="s">
        <v>1081</v>
      </c>
      <c r="Y257" s="839" t="s">
        <v>1082</v>
      </c>
      <c r="Z257" s="840"/>
      <c r="AA257" s="841"/>
      <c r="AB257" s="841"/>
      <c r="AC257" s="842"/>
      <c r="AD257" s="842"/>
      <c r="AE257" s="843"/>
      <c r="AF257" s="835"/>
      <c r="AG257" s="836"/>
      <c r="AH257" s="836"/>
      <c r="AI257" s="835"/>
      <c r="AJ257" s="836"/>
      <c r="AK257" s="836"/>
      <c r="AL257" s="809"/>
      <c r="AM257" s="132"/>
      <c r="AN257" s="132"/>
      <c r="AO257" s="132"/>
      <c r="AP257" s="132"/>
      <c r="AQ257" s="132"/>
      <c r="AR257" s="132"/>
      <c r="AS257" s="132"/>
      <c r="AT257" s="132"/>
      <c r="AU257" s="132"/>
      <c r="AV257" s="132"/>
      <c r="AW257" s="132"/>
      <c r="AX257" s="132"/>
      <c r="AY257" s="132"/>
      <c r="AZ257" s="132"/>
      <c r="BA257" s="132"/>
      <c r="BB257" s="132"/>
      <c r="BC257" s="132"/>
      <c r="BD257" s="132"/>
      <c r="BE257" s="132"/>
      <c r="BF257" s="132"/>
    </row>
    <row r="258" customFormat="false" ht="11.25" hidden="false" customHeight="true" outlineLevel="0" collapsed="false">
      <c r="A258" s="113" t="s">
        <v>1026</v>
      </c>
      <c r="E258" s="80"/>
      <c r="F258" s="810"/>
      <c r="G258" s="138"/>
      <c r="H258" s="811" t="s">
        <v>1116</v>
      </c>
      <c r="I258" s="831"/>
      <c r="J258" s="335"/>
      <c r="K258" s="333"/>
      <c r="L258" s="204"/>
      <c r="M258" s="198"/>
      <c r="N258" s="837"/>
      <c r="O258" s="838"/>
      <c r="P258" s="76"/>
      <c r="Q258" s="335"/>
      <c r="R258" s="839"/>
      <c r="S258" s="839"/>
      <c r="T258" s="839"/>
      <c r="U258" s="839"/>
      <c r="V258" s="839"/>
      <c r="W258" s="839"/>
      <c r="X258" s="839"/>
      <c r="Y258" s="839"/>
      <c r="Z258" s="844"/>
      <c r="AA258" s="845" t="n">
        <v>1</v>
      </c>
      <c r="AB258" s="846" t="s">
        <v>1069</v>
      </c>
      <c r="AC258" s="756" t="n">
        <v>112.04</v>
      </c>
      <c r="AD258" s="846" t="str">
        <f aca="false">AB258</f>
        <v>Прочие амортизационные отчисления</v>
      </c>
      <c r="AE258" s="756" t="n">
        <v>0</v>
      </c>
      <c r="AF258" s="835"/>
      <c r="AG258" s="836"/>
      <c r="AH258" s="836"/>
      <c r="AI258" s="835"/>
      <c r="AJ258" s="836"/>
      <c r="AK258" s="836"/>
      <c r="AL258" s="809"/>
      <c r="AM258" s="132"/>
      <c r="AN258" s="132"/>
      <c r="AO258" s="132"/>
      <c r="AP258" s="132"/>
      <c r="AQ258" s="132"/>
      <c r="AR258" s="132"/>
      <c r="AS258" s="132"/>
      <c r="AT258" s="132"/>
      <c r="AU258" s="132"/>
      <c r="AV258" s="132"/>
      <c r="AW258" s="132"/>
      <c r="AX258" s="132"/>
      <c r="AY258" s="132"/>
      <c r="AZ258" s="132"/>
      <c r="BA258" s="132"/>
      <c r="BB258" s="132"/>
      <c r="BC258" s="132"/>
      <c r="BD258" s="132"/>
      <c r="BE258" s="132"/>
      <c r="BF258" s="132"/>
    </row>
    <row r="259" customFormat="false" ht="11.25" hidden="false" customHeight="true" outlineLevel="0" collapsed="false">
      <c r="A259" s="113" t="s">
        <v>1026</v>
      </c>
      <c r="E259" s="80"/>
      <c r="F259" s="810"/>
      <c r="G259" s="138"/>
      <c r="H259" s="811" t="s">
        <v>1116</v>
      </c>
      <c r="I259" s="831"/>
      <c r="J259" s="335"/>
      <c r="K259" s="333"/>
      <c r="L259" s="204"/>
      <c r="M259" s="198"/>
      <c r="N259" s="837"/>
      <c r="O259" s="838"/>
      <c r="P259" s="76"/>
      <c r="Q259" s="335"/>
      <c r="R259" s="839"/>
      <c r="S259" s="839"/>
      <c r="T259" s="839"/>
      <c r="U259" s="839"/>
      <c r="V259" s="839"/>
      <c r="W259" s="839"/>
      <c r="X259" s="839"/>
      <c r="Y259" s="839"/>
      <c r="Z259" s="840"/>
      <c r="AA259" s="841"/>
      <c r="AB259" s="161" t="s">
        <v>1071</v>
      </c>
      <c r="AC259" s="842"/>
      <c r="AD259" s="842"/>
      <c r="AE259" s="847"/>
      <c r="AF259" s="835"/>
      <c r="AG259" s="836"/>
      <c r="AH259" s="836"/>
      <c r="AI259" s="835"/>
      <c r="AJ259" s="836"/>
      <c r="AK259" s="836"/>
      <c r="AL259" s="809"/>
      <c r="AM259" s="132"/>
      <c r="AN259" s="132"/>
      <c r="AO259" s="132"/>
      <c r="AP259" s="132"/>
      <c r="AQ259" s="132"/>
      <c r="AR259" s="132"/>
      <c r="AS259" s="132"/>
      <c r="AT259" s="132"/>
      <c r="AU259" s="132"/>
      <c r="AV259" s="132"/>
      <c r="AW259" s="132"/>
      <c r="AX259" s="132"/>
      <c r="AY259" s="132"/>
      <c r="AZ259" s="132"/>
      <c r="BA259" s="132"/>
      <c r="BB259" s="132"/>
      <c r="BC259" s="132"/>
      <c r="BD259" s="132"/>
      <c r="BE259" s="132"/>
      <c r="BF259" s="132"/>
    </row>
    <row r="260" customFormat="false" ht="11.25" hidden="false" customHeight="true" outlineLevel="0" collapsed="false">
      <c r="A260" s="113" t="s">
        <v>1026</v>
      </c>
      <c r="E260" s="80"/>
      <c r="F260" s="810"/>
      <c r="G260" s="138"/>
      <c r="H260" s="811" t="s">
        <v>1116</v>
      </c>
      <c r="I260" s="831"/>
      <c r="J260" s="335"/>
      <c r="K260" s="333"/>
      <c r="L260" s="204"/>
      <c r="M260" s="198"/>
      <c r="N260" s="840"/>
      <c r="O260" s="841"/>
      <c r="P260" s="161" t="s">
        <v>1072</v>
      </c>
      <c r="Q260" s="841"/>
      <c r="R260" s="841"/>
      <c r="S260" s="841"/>
      <c r="T260" s="841"/>
      <c r="U260" s="841"/>
      <c r="V260" s="841"/>
      <c r="W260" s="841"/>
      <c r="X260" s="841"/>
      <c r="Y260" s="841"/>
      <c r="Z260" s="841"/>
      <c r="AA260" s="841"/>
      <c r="AB260" s="841"/>
      <c r="AC260" s="841"/>
      <c r="AD260" s="841"/>
      <c r="AE260" s="848"/>
      <c r="AF260" s="835"/>
      <c r="AG260" s="836"/>
      <c r="AH260" s="836"/>
      <c r="AI260" s="835"/>
      <c r="AJ260" s="836"/>
      <c r="AK260" s="836"/>
      <c r="AL260" s="809"/>
      <c r="AM260" s="132"/>
      <c r="AN260" s="132"/>
      <c r="AO260" s="132"/>
      <c r="AP260" s="132"/>
      <c r="AQ260" s="132"/>
      <c r="AR260" s="132"/>
      <c r="AS260" s="132"/>
      <c r="AT260" s="132"/>
      <c r="AU260" s="132"/>
      <c r="AV260" s="132"/>
      <c r="AW260" s="132"/>
      <c r="AX260" s="132"/>
      <c r="AY260" s="132"/>
      <c r="AZ260" s="132"/>
      <c r="BA260" s="132"/>
      <c r="BB260" s="132"/>
      <c r="BC260" s="132"/>
      <c r="BD260" s="132"/>
      <c r="BE260" s="132"/>
      <c r="BF260" s="132"/>
    </row>
    <row r="261" customFormat="false" ht="11.25" hidden="false" customHeight="true" outlineLevel="0" collapsed="false">
      <c r="A261" s="113" t="s">
        <v>1026</v>
      </c>
      <c r="E261" s="80"/>
      <c r="F261" s="810"/>
      <c r="G261" s="138" t="s">
        <v>103</v>
      </c>
      <c r="H261" s="811" t="s">
        <v>1124</v>
      </c>
      <c r="I261" s="831"/>
      <c r="J261" s="335"/>
      <c r="K261" s="333" t="s">
        <v>1085</v>
      </c>
      <c r="L261" s="204" t="s">
        <v>19</v>
      </c>
      <c r="M261" s="198"/>
      <c r="N261" s="832"/>
      <c r="O261" s="833" t="s">
        <v>389</v>
      </c>
      <c r="P261" s="834"/>
      <c r="Q261" s="834"/>
      <c r="R261" s="834"/>
      <c r="S261" s="834"/>
      <c r="T261" s="834"/>
      <c r="U261" s="834"/>
      <c r="V261" s="834"/>
      <c r="W261" s="834"/>
      <c r="X261" s="834"/>
      <c r="Y261" s="834"/>
      <c r="Z261" s="834"/>
      <c r="AA261" s="834"/>
      <c r="AB261" s="834"/>
      <c r="AC261" s="834"/>
      <c r="AD261" s="834"/>
      <c r="AE261" s="834"/>
      <c r="AF261" s="835" t="n">
        <v>2019</v>
      </c>
      <c r="AG261" s="836" t="s">
        <v>1059</v>
      </c>
      <c r="AH261" s="836" t="s">
        <v>1060</v>
      </c>
      <c r="AI261" s="835" t="n">
        <v>2019</v>
      </c>
      <c r="AJ261" s="836" t="s">
        <v>1086</v>
      </c>
      <c r="AK261" s="836" t="s">
        <v>1062</v>
      </c>
      <c r="AL261" s="809"/>
      <c r="AM261" s="132"/>
      <c r="AN261" s="132"/>
      <c r="AO261" s="132"/>
      <c r="AP261" s="132"/>
      <c r="AQ261" s="132"/>
      <c r="AR261" s="132"/>
      <c r="AS261" s="132"/>
      <c r="AT261" s="132"/>
      <c r="AU261" s="132"/>
      <c r="AV261" s="132"/>
      <c r="AW261" s="132"/>
      <c r="AX261" s="132"/>
      <c r="AY261" s="132"/>
      <c r="AZ261" s="132"/>
      <c r="BA261" s="132"/>
      <c r="BB261" s="132"/>
      <c r="BC261" s="132"/>
      <c r="BD261" s="132"/>
      <c r="BE261" s="132"/>
      <c r="BF261" s="132"/>
    </row>
    <row r="262" customFormat="false" ht="11.25" hidden="false" customHeight="true" outlineLevel="0" collapsed="false">
      <c r="A262" s="113" t="s">
        <v>1026</v>
      </c>
      <c r="E262" s="80"/>
      <c r="F262" s="810"/>
      <c r="G262" s="138"/>
      <c r="H262" s="811" t="s">
        <v>1124</v>
      </c>
      <c r="I262" s="831"/>
      <c r="J262" s="335"/>
      <c r="K262" s="333"/>
      <c r="L262" s="204"/>
      <c r="M262" s="198"/>
      <c r="N262" s="837"/>
      <c r="O262" s="838" t="n">
        <v>1</v>
      </c>
      <c r="P262" s="76" t="s">
        <v>61</v>
      </c>
      <c r="Q262" s="335" t="s">
        <v>1080</v>
      </c>
      <c r="R262" s="839" t="s">
        <v>1064</v>
      </c>
      <c r="S262" s="839" t="s">
        <v>99</v>
      </c>
      <c r="T262" s="839" t="s">
        <v>99</v>
      </c>
      <c r="U262" s="839" t="s">
        <v>100</v>
      </c>
      <c r="V262" s="839" t="s">
        <v>1065</v>
      </c>
      <c r="W262" s="839" t="s">
        <v>1066</v>
      </c>
      <c r="X262" s="839" t="s">
        <v>1081</v>
      </c>
      <c r="Y262" s="839" t="s">
        <v>1082</v>
      </c>
      <c r="Z262" s="840"/>
      <c r="AA262" s="841"/>
      <c r="AB262" s="841"/>
      <c r="AC262" s="842"/>
      <c r="AD262" s="842"/>
      <c r="AE262" s="843"/>
      <c r="AF262" s="835"/>
      <c r="AG262" s="836"/>
      <c r="AH262" s="836"/>
      <c r="AI262" s="835"/>
      <c r="AJ262" s="836"/>
      <c r="AK262" s="836"/>
      <c r="AL262" s="809"/>
      <c r="AM262" s="132"/>
      <c r="AN262" s="132"/>
      <c r="AO262" s="132"/>
      <c r="AP262" s="132"/>
      <c r="AQ262" s="132"/>
      <c r="AR262" s="132"/>
      <c r="AS262" s="132"/>
      <c r="AT262" s="132"/>
      <c r="AU262" s="132"/>
      <c r="AV262" s="132"/>
      <c r="AW262" s="132"/>
      <c r="AX262" s="132"/>
      <c r="AY262" s="132"/>
      <c r="AZ262" s="132"/>
      <c r="BA262" s="132"/>
      <c r="BB262" s="132"/>
      <c r="BC262" s="132"/>
      <c r="BD262" s="132"/>
      <c r="BE262" s="132"/>
      <c r="BF262" s="132"/>
    </row>
    <row r="263" customFormat="false" ht="11.25" hidden="false" customHeight="true" outlineLevel="0" collapsed="false">
      <c r="A263" s="113" t="s">
        <v>1026</v>
      </c>
      <c r="E263" s="80"/>
      <c r="F263" s="810"/>
      <c r="G263" s="138"/>
      <c r="H263" s="811" t="s">
        <v>1124</v>
      </c>
      <c r="I263" s="831"/>
      <c r="J263" s="335"/>
      <c r="K263" s="333"/>
      <c r="L263" s="204"/>
      <c r="M263" s="198"/>
      <c r="N263" s="837"/>
      <c r="O263" s="838"/>
      <c r="P263" s="76"/>
      <c r="Q263" s="335"/>
      <c r="R263" s="839"/>
      <c r="S263" s="839"/>
      <c r="T263" s="839"/>
      <c r="U263" s="839"/>
      <c r="V263" s="839"/>
      <c r="W263" s="839"/>
      <c r="X263" s="839"/>
      <c r="Y263" s="839"/>
      <c r="Z263" s="844"/>
      <c r="AA263" s="845" t="n">
        <v>1</v>
      </c>
      <c r="AB263" s="846" t="s">
        <v>1069</v>
      </c>
      <c r="AC263" s="756" t="n">
        <v>79.65</v>
      </c>
      <c r="AD263" s="846" t="str">
        <f aca="false">AB263</f>
        <v>Прочие амортизационные отчисления</v>
      </c>
      <c r="AE263" s="756" t="n">
        <v>0</v>
      </c>
      <c r="AF263" s="835"/>
      <c r="AG263" s="836"/>
      <c r="AH263" s="836"/>
      <c r="AI263" s="835"/>
      <c r="AJ263" s="836"/>
      <c r="AK263" s="836"/>
      <c r="AL263" s="809"/>
      <c r="AM263" s="132"/>
      <c r="AN263" s="132"/>
      <c r="AO263" s="132"/>
      <c r="AP263" s="132"/>
      <c r="AQ263" s="132"/>
      <c r="AR263" s="132"/>
      <c r="AS263" s="132"/>
      <c r="AT263" s="132"/>
      <c r="AU263" s="132"/>
      <c r="AV263" s="132"/>
      <c r="AW263" s="132"/>
      <c r="AX263" s="132"/>
      <c r="AY263" s="132"/>
      <c r="AZ263" s="132"/>
      <c r="BA263" s="132"/>
      <c r="BB263" s="132"/>
      <c r="BC263" s="132"/>
      <c r="BD263" s="132"/>
      <c r="BE263" s="132"/>
      <c r="BF263" s="132"/>
    </row>
    <row r="264" customFormat="false" ht="11.25" hidden="false" customHeight="true" outlineLevel="0" collapsed="false">
      <c r="A264" s="113" t="s">
        <v>1026</v>
      </c>
      <c r="E264" s="80"/>
      <c r="F264" s="810"/>
      <c r="G264" s="138"/>
      <c r="H264" s="811" t="s">
        <v>1124</v>
      </c>
      <c r="I264" s="831"/>
      <c r="J264" s="335"/>
      <c r="K264" s="333"/>
      <c r="L264" s="204"/>
      <c r="M264" s="198"/>
      <c r="N264" s="837"/>
      <c r="O264" s="838"/>
      <c r="P264" s="76"/>
      <c r="Q264" s="335"/>
      <c r="R264" s="839"/>
      <c r="S264" s="839"/>
      <c r="T264" s="839"/>
      <c r="U264" s="839"/>
      <c r="V264" s="839"/>
      <c r="W264" s="839"/>
      <c r="X264" s="839"/>
      <c r="Y264" s="839"/>
      <c r="Z264" s="840"/>
      <c r="AA264" s="841"/>
      <c r="AB264" s="161" t="s">
        <v>1071</v>
      </c>
      <c r="AC264" s="842"/>
      <c r="AD264" s="842"/>
      <c r="AE264" s="847"/>
      <c r="AF264" s="835"/>
      <c r="AG264" s="836"/>
      <c r="AH264" s="836"/>
      <c r="AI264" s="835"/>
      <c r="AJ264" s="836"/>
      <c r="AK264" s="836"/>
      <c r="AL264" s="809"/>
      <c r="AM264" s="132"/>
      <c r="AN264" s="132"/>
      <c r="AO264" s="132"/>
      <c r="AP264" s="132"/>
      <c r="AQ264" s="132"/>
      <c r="AR264" s="132"/>
      <c r="AS264" s="132"/>
      <c r="AT264" s="132"/>
      <c r="AU264" s="132"/>
      <c r="AV264" s="132"/>
      <c r="AW264" s="132"/>
      <c r="AX264" s="132"/>
      <c r="AY264" s="132"/>
      <c r="AZ264" s="132"/>
      <c r="BA264" s="132"/>
      <c r="BB264" s="132"/>
      <c r="BC264" s="132"/>
      <c r="BD264" s="132"/>
      <c r="BE264" s="132"/>
      <c r="BF264" s="132"/>
    </row>
    <row r="265" customFormat="false" ht="11.25" hidden="false" customHeight="true" outlineLevel="0" collapsed="false">
      <c r="A265" s="113" t="s">
        <v>1026</v>
      </c>
      <c r="E265" s="80"/>
      <c r="F265" s="810"/>
      <c r="G265" s="138"/>
      <c r="H265" s="811" t="s">
        <v>1124</v>
      </c>
      <c r="I265" s="831"/>
      <c r="J265" s="335"/>
      <c r="K265" s="333"/>
      <c r="L265" s="204"/>
      <c r="M265" s="198"/>
      <c r="N265" s="840"/>
      <c r="O265" s="841"/>
      <c r="P265" s="161" t="s">
        <v>1072</v>
      </c>
      <c r="Q265" s="841"/>
      <c r="R265" s="841"/>
      <c r="S265" s="841"/>
      <c r="T265" s="841"/>
      <c r="U265" s="841"/>
      <c r="V265" s="841"/>
      <c r="W265" s="841"/>
      <c r="X265" s="841"/>
      <c r="Y265" s="841"/>
      <c r="Z265" s="841"/>
      <c r="AA265" s="841"/>
      <c r="AB265" s="841"/>
      <c r="AC265" s="841"/>
      <c r="AD265" s="841"/>
      <c r="AE265" s="848"/>
      <c r="AF265" s="835"/>
      <c r="AG265" s="836"/>
      <c r="AH265" s="836"/>
      <c r="AI265" s="835"/>
      <c r="AJ265" s="836"/>
      <c r="AK265" s="836"/>
      <c r="AL265" s="809"/>
      <c r="AM265" s="132"/>
      <c r="AN265" s="132"/>
      <c r="AO265" s="132"/>
      <c r="AP265" s="132"/>
      <c r="AQ265" s="132"/>
      <c r="AR265" s="132"/>
      <c r="AS265" s="132"/>
      <c r="AT265" s="132"/>
      <c r="AU265" s="132"/>
      <c r="AV265" s="132"/>
      <c r="AW265" s="132"/>
      <c r="AX265" s="132"/>
      <c r="AY265" s="132"/>
      <c r="AZ265" s="132"/>
      <c r="BA265" s="132"/>
      <c r="BB265" s="132"/>
      <c r="BC265" s="132"/>
      <c r="BD265" s="132"/>
      <c r="BE265" s="132"/>
      <c r="BF265" s="132"/>
    </row>
    <row r="266" customFormat="false" ht="11.25" hidden="false" customHeight="true" outlineLevel="0" collapsed="false">
      <c r="A266" s="113" t="s">
        <v>1026</v>
      </c>
      <c r="E266" s="80"/>
      <c r="F266" s="810"/>
      <c r="G266" s="138" t="s">
        <v>103</v>
      </c>
      <c r="H266" s="811" t="s">
        <v>1126</v>
      </c>
      <c r="I266" s="831"/>
      <c r="J266" s="335"/>
      <c r="K266" s="333" t="s">
        <v>1087</v>
      </c>
      <c r="L266" s="204" t="s">
        <v>19</v>
      </c>
      <c r="M266" s="198"/>
      <c r="N266" s="832"/>
      <c r="O266" s="833" t="s">
        <v>389</v>
      </c>
      <c r="P266" s="834"/>
      <c r="Q266" s="834"/>
      <c r="R266" s="834"/>
      <c r="S266" s="834"/>
      <c r="T266" s="834"/>
      <c r="U266" s="834"/>
      <c r="V266" s="834"/>
      <c r="W266" s="834"/>
      <c r="X266" s="834"/>
      <c r="Y266" s="834"/>
      <c r="Z266" s="834"/>
      <c r="AA266" s="834"/>
      <c r="AB266" s="834"/>
      <c r="AC266" s="834"/>
      <c r="AD266" s="834"/>
      <c r="AE266" s="834"/>
      <c r="AF266" s="835" t="n">
        <v>2019</v>
      </c>
      <c r="AG266" s="836" t="s">
        <v>1059</v>
      </c>
      <c r="AH266" s="836" t="s">
        <v>1060</v>
      </c>
      <c r="AI266" s="835" t="n">
        <v>2019</v>
      </c>
      <c r="AJ266" s="836" t="s">
        <v>1086</v>
      </c>
      <c r="AK266" s="836" t="s">
        <v>1062</v>
      </c>
      <c r="AL266" s="809"/>
      <c r="AM266" s="132"/>
      <c r="AN266" s="132"/>
      <c r="AO266" s="132"/>
      <c r="AP266" s="132"/>
      <c r="AQ266" s="132"/>
      <c r="AR266" s="132"/>
      <c r="AS266" s="132"/>
      <c r="AT266" s="132"/>
      <c r="AU266" s="132"/>
      <c r="AV266" s="132"/>
      <c r="AW266" s="132"/>
      <c r="AX266" s="132"/>
      <c r="AY266" s="132"/>
      <c r="AZ266" s="132"/>
      <c r="BA266" s="132"/>
      <c r="BB266" s="132"/>
      <c r="BC266" s="132"/>
      <c r="BD266" s="132"/>
      <c r="BE266" s="132"/>
      <c r="BF266" s="132"/>
    </row>
    <row r="267" customFormat="false" ht="11.25" hidden="false" customHeight="true" outlineLevel="0" collapsed="false">
      <c r="A267" s="113" t="s">
        <v>1026</v>
      </c>
      <c r="E267" s="80"/>
      <c r="F267" s="810"/>
      <c r="G267" s="138"/>
      <c r="H267" s="811" t="s">
        <v>1126</v>
      </c>
      <c r="I267" s="831"/>
      <c r="J267" s="335"/>
      <c r="K267" s="333"/>
      <c r="L267" s="204"/>
      <c r="M267" s="198"/>
      <c r="N267" s="837"/>
      <c r="O267" s="838" t="n">
        <v>1</v>
      </c>
      <c r="P267" s="76" t="s">
        <v>61</v>
      </c>
      <c r="Q267" s="335" t="s">
        <v>1080</v>
      </c>
      <c r="R267" s="839" t="s">
        <v>1064</v>
      </c>
      <c r="S267" s="839" t="s">
        <v>99</v>
      </c>
      <c r="T267" s="839" t="s">
        <v>99</v>
      </c>
      <c r="U267" s="839" t="s">
        <v>100</v>
      </c>
      <c r="V267" s="839" t="s">
        <v>1065</v>
      </c>
      <c r="W267" s="839" t="s">
        <v>1066</v>
      </c>
      <c r="X267" s="839" t="s">
        <v>1081</v>
      </c>
      <c r="Y267" s="839" t="s">
        <v>1082</v>
      </c>
      <c r="Z267" s="840"/>
      <c r="AA267" s="841"/>
      <c r="AB267" s="841"/>
      <c r="AC267" s="842"/>
      <c r="AD267" s="842"/>
      <c r="AE267" s="843"/>
      <c r="AF267" s="835"/>
      <c r="AG267" s="836"/>
      <c r="AH267" s="836"/>
      <c r="AI267" s="835"/>
      <c r="AJ267" s="836"/>
      <c r="AK267" s="836"/>
      <c r="AL267" s="809"/>
      <c r="AM267" s="132"/>
      <c r="AN267" s="132"/>
      <c r="AO267" s="132"/>
      <c r="AP267" s="132"/>
      <c r="AQ267" s="132"/>
      <c r="AR267" s="132"/>
      <c r="AS267" s="132"/>
      <c r="AT267" s="132"/>
      <c r="AU267" s="132"/>
      <c r="AV267" s="132"/>
      <c r="AW267" s="132"/>
      <c r="AX267" s="132"/>
      <c r="AY267" s="132"/>
      <c r="AZ267" s="132"/>
      <c r="BA267" s="132"/>
      <c r="BB267" s="132"/>
      <c r="BC267" s="132"/>
      <c r="BD267" s="132"/>
      <c r="BE267" s="132"/>
      <c r="BF267" s="132"/>
    </row>
    <row r="268" customFormat="false" ht="11.25" hidden="false" customHeight="true" outlineLevel="0" collapsed="false">
      <c r="A268" s="113" t="s">
        <v>1026</v>
      </c>
      <c r="E268" s="80"/>
      <c r="F268" s="810"/>
      <c r="G268" s="138"/>
      <c r="H268" s="811" t="s">
        <v>1126</v>
      </c>
      <c r="I268" s="831"/>
      <c r="J268" s="335"/>
      <c r="K268" s="333"/>
      <c r="L268" s="204"/>
      <c r="M268" s="198"/>
      <c r="N268" s="837"/>
      <c r="O268" s="838"/>
      <c r="P268" s="76"/>
      <c r="Q268" s="335"/>
      <c r="R268" s="839"/>
      <c r="S268" s="839"/>
      <c r="T268" s="839"/>
      <c r="U268" s="839"/>
      <c r="V268" s="839"/>
      <c r="W268" s="839"/>
      <c r="X268" s="839"/>
      <c r="Y268" s="839"/>
      <c r="Z268" s="844"/>
      <c r="AA268" s="845" t="n">
        <v>1</v>
      </c>
      <c r="AB268" s="846" t="s">
        <v>1069</v>
      </c>
      <c r="AC268" s="756" t="n">
        <v>61.95</v>
      </c>
      <c r="AD268" s="846" t="str">
        <f aca="false">AB268</f>
        <v>Прочие амортизационные отчисления</v>
      </c>
      <c r="AE268" s="756" t="n">
        <v>0</v>
      </c>
      <c r="AF268" s="835"/>
      <c r="AG268" s="836"/>
      <c r="AH268" s="836"/>
      <c r="AI268" s="835"/>
      <c r="AJ268" s="836"/>
      <c r="AK268" s="836"/>
      <c r="AL268" s="809"/>
      <c r="AM268" s="132"/>
      <c r="AN268" s="132"/>
      <c r="AO268" s="132"/>
      <c r="AP268" s="132"/>
      <c r="AQ268" s="132"/>
      <c r="AR268" s="132"/>
      <c r="AS268" s="132"/>
      <c r="AT268" s="132"/>
      <c r="AU268" s="132"/>
      <c r="AV268" s="132"/>
      <c r="AW268" s="132"/>
      <c r="AX268" s="132"/>
      <c r="AY268" s="132"/>
      <c r="AZ268" s="132"/>
      <c r="BA268" s="132"/>
      <c r="BB268" s="132"/>
      <c r="BC268" s="132"/>
      <c r="BD268" s="132"/>
      <c r="BE268" s="132"/>
      <c r="BF268" s="132"/>
    </row>
    <row r="269" customFormat="false" ht="11.25" hidden="false" customHeight="true" outlineLevel="0" collapsed="false">
      <c r="A269" s="113" t="s">
        <v>1026</v>
      </c>
      <c r="E269" s="80"/>
      <c r="F269" s="810"/>
      <c r="G269" s="138"/>
      <c r="H269" s="811" t="s">
        <v>1126</v>
      </c>
      <c r="I269" s="831"/>
      <c r="J269" s="335"/>
      <c r="K269" s="333"/>
      <c r="L269" s="204"/>
      <c r="M269" s="198"/>
      <c r="N269" s="837"/>
      <c r="O269" s="838"/>
      <c r="P269" s="76"/>
      <c r="Q269" s="335"/>
      <c r="R269" s="839"/>
      <c r="S269" s="839"/>
      <c r="T269" s="839"/>
      <c r="U269" s="839"/>
      <c r="V269" s="839"/>
      <c r="W269" s="839"/>
      <c r="X269" s="839"/>
      <c r="Y269" s="839"/>
      <c r="Z269" s="840"/>
      <c r="AA269" s="841"/>
      <c r="AB269" s="161" t="s">
        <v>1071</v>
      </c>
      <c r="AC269" s="842"/>
      <c r="AD269" s="842"/>
      <c r="AE269" s="847"/>
      <c r="AF269" s="835"/>
      <c r="AG269" s="836"/>
      <c r="AH269" s="836"/>
      <c r="AI269" s="835"/>
      <c r="AJ269" s="836"/>
      <c r="AK269" s="836"/>
      <c r="AL269" s="809"/>
      <c r="AM269" s="132"/>
      <c r="AN269" s="132"/>
      <c r="AO269" s="132"/>
      <c r="AP269" s="132"/>
      <c r="AQ269" s="132"/>
      <c r="AR269" s="132"/>
      <c r="AS269" s="132"/>
      <c r="AT269" s="132"/>
      <c r="AU269" s="132"/>
      <c r="AV269" s="132"/>
      <c r="AW269" s="132"/>
      <c r="AX269" s="132"/>
      <c r="AY269" s="132"/>
      <c r="AZ269" s="132"/>
      <c r="BA269" s="132"/>
      <c r="BB269" s="132"/>
      <c r="BC269" s="132"/>
      <c r="BD269" s="132"/>
      <c r="BE269" s="132"/>
      <c r="BF269" s="132"/>
    </row>
    <row r="270" customFormat="false" ht="11.25" hidden="false" customHeight="true" outlineLevel="0" collapsed="false">
      <c r="A270" s="113" t="s">
        <v>1026</v>
      </c>
      <c r="E270" s="80"/>
      <c r="F270" s="810"/>
      <c r="G270" s="138"/>
      <c r="H270" s="811" t="s">
        <v>1126</v>
      </c>
      <c r="I270" s="831"/>
      <c r="J270" s="335"/>
      <c r="K270" s="333"/>
      <c r="L270" s="204"/>
      <c r="M270" s="198"/>
      <c r="N270" s="840"/>
      <c r="O270" s="841"/>
      <c r="P270" s="161" t="s">
        <v>1072</v>
      </c>
      <c r="Q270" s="841"/>
      <c r="R270" s="841"/>
      <c r="S270" s="841"/>
      <c r="T270" s="841"/>
      <c r="U270" s="841"/>
      <c r="V270" s="841"/>
      <c r="W270" s="841"/>
      <c r="X270" s="841"/>
      <c r="Y270" s="841"/>
      <c r="Z270" s="841"/>
      <c r="AA270" s="841"/>
      <c r="AB270" s="841"/>
      <c r="AC270" s="841"/>
      <c r="AD270" s="841"/>
      <c r="AE270" s="848"/>
      <c r="AF270" s="835"/>
      <c r="AG270" s="836"/>
      <c r="AH270" s="836"/>
      <c r="AI270" s="835"/>
      <c r="AJ270" s="836"/>
      <c r="AK270" s="836"/>
      <c r="AL270" s="809"/>
      <c r="AM270" s="132"/>
      <c r="AN270" s="132"/>
      <c r="AO270" s="132"/>
      <c r="AP270" s="132"/>
      <c r="AQ270" s="132"/>
      <c r="AR270" s="132"/>
      <c r="AS270" s="132"/>
      <c r="AT270" s="132"/>
      <c r="AU270" s="132"/>
      <c r="AV270" s="132"/>
      <c r="AW270" s="132"/>
      <c r="AX270" s="132"/>
      <c r="AY270" s="132"/>
      <c r="AZ270" s="132"/>
      <c r="BA270" s="132"/>
      <c r="BB270" s="132"/>
      <c r="BC270" s="132"/>
      <c r="BD270" s="132"/>
      <c r="BE270" s="132"/>
      <c r="BF270" s="132"/>
    </row>
    <row r="271" customFormat="false" ht="11.25" hidden="false" customHeight="true" outlineLevel="0" collapsed="false">
      <c r="A271" s="113" t="s">
        <v>1026</v>
      </c>
      <c r="E271" s="80"/>
      <c r="F271" s="810"/>
      <c r="G271" s="138" t="s">
        <v>103</v>
      </c>
      <c r="H271" s="811" t="s">
        <v>1128</v>
      </c>
      <c r="I271" s="831"/>
      <c r="J271" s="335"/>
      <c r="K271" s="333" t="s">
        <v>1088</v>
      </c>
      <c r="L271" s="204" t="s">
        <v>19</v>
      </c>
      <c r="M271" s="198"/>
      <c r="N271" s="832"/>
      <c r="O271" s="833" t="s">
        <v>389</v>
      </c>
      <c r="P271" s="834"/>
      <c r="Q271" s="834"/>
      <c r="R271" s="834"/>
      <c r="S271" s="834"/>
      <c r="T271" s="834"/>
      <c r="U271" s="834"/>
      <c r="V271" s="834"/>
      <c r="W271" s="834"/>
      <c r="X271" s="834"/>
      <c r="Y271" s="834"/>
      <c r="Z271" s="834"/>
      <c r="AA271" s="834"/>
      <c r="AB271" s="834"/>
      <c r="AC271" s="834"/>
      <c r="AD271" s="834"/>
      <c r="AE271" s="834"/>
      <c r="AF271" s="835" t="n">
        <v>2019</v>
      </c>
      <c r="AG271" s="836" t="s">
        <v>1059</v>
      </c>
      <c r="AH271" s="836" t="s">
        <v>1060</v>
      </c>
      <c r="AI271" s="835" t="n">
        <v>2019</v>
      </c>
      <c r="AJ271" s="836" t="s">
        <v>1061</v>
      </c>
      <c r="AK271" s="836" t="s">
        <v>1062</v>
      </c>
      <c r="AL271" s="809"/>
      <c r="AM271" s="132"/>
      <c r="AN271" s="132"/>
      <c r="AO271" s="132"/>
      <c r="AP271" s="132"/>
      <c r="AQ271" s="132"/>
      <c r="AR271" s="132"/>
      <c r="AS271" s="132"/>
      <c r="AT271" s="132"/>
      <c r="AU271" s="132"/>
      <c r="AV271" s="132"/>
      <c r="AW271" s="132"/>
      <c r="AX271" s="132"/>
      <c r="AY271" s="132"/>
      <c r="AZ271" s="132"/>
      <c r="BA271" s="132"/>
      <c r="BB271" s="132"/>
      <c r="BC271" s="132"/>
      <c r="BD271" s="132"/>
      <c r="BE271" s="132"/>
      <c r="BF271" s="132"/>
    </row>
    <row r="272" customFormat="false" ht="11.25" hidden="false" customHeight="true" outlineLevel="0" collapsed="false">
      <c r="A272" s="113" t="s">
        <v>1026</v>
      </c>
      <c r="E272" s="80"/>
      <c r="F272" s="810"/>
      <c r="G272" s="138"/>
      <c r="H272" s="811" t="s">
        <v>1128</v>
      </c>
      <c r="I272" s="831"/>
      <c r="J272" s="335"/>
      <c r="K272" s="333"/>
      <c r="L272" s="204"/>
      <c r="M272" s="198"/>
      <c r="N272" s="837"/>
      <c r="O272" s="838" t="n">
        <v>1</v>
      </c>
      <c r="P272" s="76" t="s">
        <v>61</v>
      </c>
      <c r="Q272" s="335" t="s">
        <v>1080</v>
      </c>
      <c r="R272" s="839" t="s">
        <v>1064</v>
      </c>
      <c r="S272" s="839" t="s">
        <v>99</v>
      </c>
      <c r="T272" s="839" t="s">
        <v>99</v>
      </c>
      <c r="U272" s="839" t="s">
        <v>100</v>
      </c>
      <c r="V272" s="839" t="s">
        <v>1065</v>
      </c>
      <c r="W272" s="839" t="s">
        <v>1066</v>
      </c>
      <c r="X272" s="839" t="s">
        <v>1081</v>
      </c>
      <c r="Y272" s="839" t="s">
        <v>1082</v>
      </c>
      <c r="Z272" s="840"/>
      <c r="AA272" s="841"/>
      <c r="AB272" s="841"/>
      <c r="AC272" s="842"/>
      <c r="AD272" s="842"/>
      <c r="AE272" s="843"/>
      <c r="AF272" s="835"/>
      <c r="AG272" s="836"/>
      <c r="AH272" s="836"/>
      <c r="AI272" s="835"/>
      <c r="AJ272" s="836"/>
      <c r="AK272" s="836"/>
      <c r="AL272" s="809"/>
      <c r="AM272" s="132"/>
      <c r="AN272" s="132"/>
      <c r="AO272" s="132"/>
      <c r="AP272" s="132"/>
      <c r="AQ272" s="132"/>
      <c r="AR272" s="132"/>
      <c r="AS272" s="132"/>
      <c r="AT272" s="132"/>
      <c r="AU272" s="132"/>
      <c r="AV272" s="132"/>
      <c r="AW272" s="132"/>
      <c r="AX272" s="132"/>
      <c r="AY272" s="132"/>
      <c r="AZ272" s="132"/>
      <c r="BA272" s="132"/>
      <c r="BB272" s="132"/>
      <c r="BC272" s="132"/>
      <c r="BD272" s="132"/>
      <c r="BE272" s="132"/>
      <c r="BF272" s="132"/>
    </row>
    <row r="273" customFormat="false" ht="11.25" hidden="false" customHeight="true" outlineLevel="0" collapsed="false">
      <c r="A273" s="113" t="s">
        <v>1026</v>
      </c>
      <c r="E273" s="80"/>
      <c r="F273" s="810"/>
      <c r="G273" s="138"/>
      <c r="H273" s="811" t="s">
        <v>1128</v>
      </c>
      <c r="I273" s="831"/>
      <c r="J273" s="335"/>
      <c r="K273" s="333"/>
      <c r="L273" s="204"/>
      <c r="M273" s="198"/>
      <c r="N273" s="837"/>
      <c r="O273" s="838"/>
      <c r="P273" s="76"/>
      <c r="Q273" s="335"/>
      <c r="R273" s="839"/>
      <c r="S273" s="839"/>
      <c r="T273" s="839"/>
      <c r="U273" s="839"/>
      <c r="V273" s="839"/>
      <c r="W273" s="839"/>
      <c r="X273" s="839"/>
      <c r="Y273" s="839"/>
      <c r="Z273" s="844"/>
      <c r="AA273" s="845" t="n">
        <v>1</v>
      </c>
      <c r="AB273" s="846" t="s">
        <v>1069</v>
      </c>
      <c r="AC273" s="756" t="n">
        <v>684.76</v>
      </c>
      <c r="AD273" s="846" t="str">
        <f aca="false">AB273</f>
        <v>Прочие амортизационные отчисления</v>
      </c>
      <c r="AE273" s="756" t="n">
        <v>0</v>
      </c>
      <c r="AF273" s="835"/>
      <c r="AG273" s="836"/>
      <c r="AH273" s="836"/>
      <c r="AI273" s="835"/>
      <c r="AJ273" s="836"/>
      <c r="AK273" s="836"/>
      <c r="AL273" s="809"/>
      <c r="AM273" s="132"/>
      <c r="AN273" s="132"/>
      <c r="AO273" s="132"/>
      <c r="AP273" s="132"/>
      <c r="AQ273" s="132"/>
      <c r="AR273" s="132"/>
      <c r="AS273" s="132"/>
      <c r="AT273" s="132"/>
      <c r="AU273" s="132"/>
      <c r="AV273" s="132"/>
      <c r="AW273" s="132"/>
      <c r="AX273" s="132"/>
      <c r="AY273" s="132"/>
      <c r="AZ273" s="132"/>
      <c r="BA273" s="132"/>
      <c r="BB273" s="132"/>
      <c r="BC273" s="132"/>
      <c r="BD273" s="132"/>
      <c r="BE273" s="132"/>
      <c r="BF273" s="132"/>
    </row>
    <row r="274" customFormat="false" ht="11.25" hidden="false" customHeight="true" outlineLevel="0" collapsed="false">
      <c r="A274" s="113" t="s">
        <v>1026</v>
      </c>
      <c r="E274" s="80"/>
      <c r="F274" s="810"/>
      <c r="G274" s="138"/>
      <c r="H274" s="811" t="s">
        <v>1128</v>
      </c>
      <c r="I274" s="831"/>
      <c r="J274" s="335"/>
      <c r="K274" s="333"/>
      <c r="L274" s="204"/>
      <c r="M274" s="198"/>
      <c r="N274" s="837"/>
      <c r="O274" s="838"/>
      <c r="P274" s="76"/>
      <c r="Q274" s="335"/>
      <c r="R274" s="839"/>
      <c r="S274" s="839"/>
      <c r="T274" s="839"/>
      <c r="U274" s="839"/>
      <c r="V274" s="839"/>
      <c r="W274" s="839"/>
      <c r="X274" s="839"/>
      <c r="Y274" s="839"/>
      <c r="Z274" s="840"/>
      <c r="AA274" s="841"/>
      <c r="AB274" s="161" t="s">
        <v>1071</v>
      </c>
      <c r="AC274" s="842"/>
      <c r="AD274" s="842"/>
      <c r="AE274" s="847"/>
      <c r="AF274" s="835"/>
      <c r="AG274" s="836"/>
      <c r="AH274" s="836"/>
      <c r="AI274" s="835"/>
      <c r="AJ274" s="836"/>
      <c r="AK274" s="836"/>
      <c r="AL274" s="809"/>
      <c r="AM274" s="132"/>
      <c r="AN274" s="132"/>
      <c r="AO274" s="132"/>
      <c r="AP274" s="132"/>
      <c r="AQ274" s="132"/>
      <c r="AR274" s="132"/>
      <c r="AS274" s="132"/>
      <c r="AT274" s="132"/>
      <c r="AU274" s="132"/>
      <c r="AV274" s="132"/>
      <c r="AW274" s="132"/>
      <c r="AX274" s="132"/>
      <c r="AY274" s="132"/>
      <c r="AZ274" s="132"/>
      <c r="BA274" s="132"/>
      <c r="BB274" s="132"/>
      <c r="BC274" s="132"/>
      <c r="BD274" s="132"/>
      <c r="BE274" s="132"/>
      <c r="BF274" s="132"/>
    </row>
    <row r="275" customFormat="false" ht="11.25" hidden="false" customHeight="true" outlineLevel="0" collapsed="false">
      <c r="A275" s="113" t="s">
        <v>1026</v>
      </c>
      <c r="E275" s="80"/>
      <c r="F275" s="810"/>
      <c r="G275" s="138"/>
      <c r="H275" s="811" t="s">
        <v>1128</v>
      </c>
      <c r="I275" s="831"/>
      <c r="J275" s="335"/>
      <c r="K275" s="333"/>
      <c r="L275" s="204"/>
      <c r="M275" s="198"/>
      <c r="N275" s="840"/>
      <c r="O275" s="841"/>
      <c r="P275" s="161" t="s">
        <v>1072</v>
      </c>
      <c r="Q275" s="841"/>
      <c r="R275" s="841"/>
      <c r="S275" s="841"/>
      <c r="T275" s="841"/>
      <c r="U275" s="841"/>
      <c r="V275" s="841"/>
      <c r="W275" s="841"/>
      <c r="X275" s="841"/>
      <c r="Y275" s="841"/>
      <c r="Z275" s="841"/>
      <c r="AA275" s="841"/>
      <c r="AB275" s="841"/>
      <c r="AC275" s="841"/>
      <c r="AD275" s="841"/>
      <c r="AE275" s="848"/>
      <c r="AF275" s="835"/>
      <c r="AG275" s="836"/>
      <c r="AH275" s="836"/>
      <c r="AI275" s="835"/>
      <c r="AJ275" s="836"/>
      <c r="AK275" s="836"/>
      <c r="AL275" s="809"/>
      <c r="AM275" s="132"/>
      <c r="AN275" s="132"/>
      <c r="AO275" s="132"/>
      <c r="AP275" s="132"/>
      <c r="AQ275" s="132"/>
      <c r="AR275" s="132"/>
      <c r="AS275" s="132"/>
      <c r="AT275" s="132"/>
      <c r="AU275" s="132"/>
      <c r="AV275" s="132"/>
      <c r="AW275" s="132"/>
      <c r="AX275" s="132"/>
      <c r="AY275" s="132"/>
      <c r="AZ275" s="132"/>
      <c r="BA275" s="132"/>
      <c r="BB275" s="132"/>
      <c r="BC275" s="132"/>
      <c r="BD275" s="132"/>
      <c r="BE275" s="132"/>
      <c r="BF275" s="132"/>
    </row>
    <row r="276" customFormat="false" ht="11.25" hidden="false" customHeight="true" outlineLevel="0" collapsed="false">
      <c r="A276" s="113" t="s">
        <v>1026</v>
      </c>
      <c r="E276" s="80"/>
      <c r="F276" s="810"/>
      <c r="G276" s="138" t="s">
        <v>103</v>
      </c>
      <c r="H276" s="811" t="s">
        <v>1130</v>
      </c>
      <c r="I276" s="831"/>
      <c r="J276" s="335"/>
      <c r="K276" s="333" t="s">
        <v>1147</v>
      </c>
      <c r="L276" s="204" t="s">
        <v>19</v>
      </c>
      <c r="M276" s="198"/>
      <c r="N276" s="832"/>
      <c r="O276" s="833" t="s">
        <v>389</v>
      </c>
      <c r="P276" s="834"/>
      <c r="Q276" s="834"/>
      <c r="R276" s="834"/>
      <c r="S276" s="834"/>
      <c r="T276" s="834"/>
      <c r="U276" s="834"/>
      <c r="V276" s="834"/>
      <c r="W276" s="834"/>
      <c r="X276" s="834"/>
      <c r="Y276" s="834"/>
      <c r="Z276" s="834"/>
      <c r="AA276" s="834"/>
      <c r="AB276" s="834"/>
      <c r="AC276" s="834"/>
      <c r="AD276" s="834"/>
      <c r="AE276" s="834"/>
      <c r="AF276" s="835" t="n">
        <v>2019</v>
      </c>
      <c r="AG276" s="836" t="s">
        <v>1059</v>
      </c>
      <c r="AH276" s="836" t="s">
        <v>1060</v>
      </c>
      <c r="AI276" s="835" t="n">
        <v>2019</v>
      </c>
      <c r="AJ276" s="836" t="s">
        <v>1079</v>
      </c>
      <c r="AK276" s="836" t="s">
        <v>1062</v>
      </c>
      <c r="AL276" s="809"/>
      <c r="AM276" s="132"/>
      <c r="AN276" s="132"/>
      <c r="AO276" s="132"/>
      <c r="AP276" s="132"/>
      <c r="AQ276" s="132"/>
      <c r="AR276" s="132"/>
      <c r="AS276" s="132"/>
      <c r="AT276" s="132"/>
      <c r="AU276" s="132"/>
      <c r="AV276" s="132"/>
      <c r="AW276" s="132"/>
      <c r="AX276" s="132"/>
      <c r="AY276" s="132"/>
      <c r="AZ276" s="132"/>
      <c r="BA276" s="132"/>
      <c r="BB276" s="132"/>
      <c r="BC276" s="132"/>
      <c r="BD276" s="132"/>
      <c r="BE276" s="132"/>
      <c r="BF276" s="132"/>
    </row>
    <row r="277" customFormat="false" ht="11.25" hidden="false" customHeight="true" outlineLevel="0" collapsed="false">
      <c r="A277" s="113" t="s">
        <v>1026</v>
      </c>
      <c r="E277" s="80"/>
      <c r="F277" s="810"/>
      <c r="G277" s="138"/>
      <c r="H277" s="811" t="s">
        <v>1130</v>
      </c>
      <c r="I277" s="831"/>
      <c r="J277" s="335"/>
      <c r="K277" s="333"/>
      <c r="L277" s="204"/>
      <c r="M277" s="198"/>
      <c r="N277" s="837"/>
      <c r="O277" s="838" t="n">
        <v>1</v>
      </c>
      <c r="P277" s="76" t="s">
        <v>61</v>
      </c>
      <c r="Q277" s="335" t="s">
        <v>1080</v>
      </c>
      <c r="R277" s="839" t="s">
        <v>1064</v>
      </c>
      <c r="S277" s="839" t="s">
        <v>99</v>
      </c>
      <c r="T277" s="839" t="s">
        <v>99</v>
      </c>
      <c r="U277" s="839" t="s">
        <v>100</v>
      </c>
      <c r="V277" s="839" t="s">
        <v>1065</v>
      </c>
      <c r="W277" s="839" t="s">
        <v>1066</v>
      </c>
      <c r="X277" s="839" t="s">
        <v>1081</v>
      </c>
      <c r="Y277" s="839" t="s">
        <v>1082</v>
      </c>
      <c r="Z277" s="840"/>
      <c r="AA277" s="841"/>
      <c r="AB277" s="841"/>
      <c r="AC277" s="842"/>
      <c r="AD277" s="842"/>
      <c r="AE277" s="843"/>
      <c r="AF277" s="835"/>
      <c r="AG277" s="836"/>
      <c r="AH277" s="836"/>
      <c r="AI277" s="835"/>
      <c r="AJ277" s="836"/>
      <c r="AK277" s="836"/>
      <c r="AL277" s="809"/>
      <c r="AM277" s="132"/>
      <c r="AN277" s="132"/>
      <c r="AO277" s="132"/>
      <c r="AP277" s="132"/>
      <c r="AQ277" s="132"/>
      <c r="AR277" s="132"/>
      <c r="AS277" s="132"/>
      <c r="AT277" s="132"/>
      <c r="AU277" s="132"/>
      <c r="AV277" s="132"/>
      <c r="AW277" s="132"/>
      <c r="AX277" s="132"/>
      <c r="AY277" s="132"/>
      <c r="AZ277" s="132"/>
      <c r="BA277" s="132"/>
      <c r="BB277" s="132"/>
      <c r="BC277" s="132"/>
      <c r="BD277" s="132"/>
      <c r="BE277" s="132"/>
      <c r="BF277" s="132"/>
    </row>
    <row r="278" customFormat="false" ht="11.25" hidden="false" customHeight="true" outlineLevel="0" collapsed="false">
      <c r="A278" s="113" t="s">
        <v>1026</v>
      </c>
      <c r="E278" s="80"/>
      <c r="F278" s="810"/>
      <c r="G278" s="138"/>
      <c r="H278" s="811" t="s">
        <v>1130</v>
      </c>
      <c r="I278" s="831"/>
      <c r="J278" s="335"/>
      <c r="K278" s="333"/>
      <c r="L278" s="204"/>
      <c r="M278" s="198"/>
      <c r="N278" s="837"/>
      <c r="O278" s="838"/>
      <c r="P278" s="76"/>
      <c r="Q278" s="335"/>
      <c r="R278" s="839"/>
      <c r="S278" s="839"/>
      <c r="T278" s="839"/>
      <c r="U278" s="839"/>
      <c r="V278" s="839"/>
      <c r="W278" s="839"/>
      <c r="X278" s="839"/>
      <c r="Y278" s="839"/>
      <c r="Z278" s="844"/>
      <c r="AA278" s="845" t="n">
        <v>1</v>
      </c>
      <c r="AB278" s="846" t="s">
        <v>1069</v>
      </c>
      <c r="AC278" s="756" t="n">
        <v>18.06</v>
      </c>
      <c r="AD278" s="846" t="str">
        <f aca="false">AB278</f>
        <v>Прочие амортизационные отчисления</v>
      </c>
      <c r="AE278" s="756" t="n">
        <v>0</v>
      </c>
      <c r="AF278" s="835"/>
      <c r="AG278" s="836"/>
      <c r="AH278" s="836"/>
      <c r="AI278" s="835"/>
      <c r="AJ278" s="836"/>
      <c r="AK278" s="836"/>
      <c r="AL278" s="809"/>
      <c r="AM278" s="132"/>
      <c r="AN278" s="132"/>
      <c r="AO278" s="132"/>
      <c r="AP278" s="132"/>
      <c r="AQ278" s="132"/>
      <c r="AR278" s="132"/>
      <c r="AS278" s="132"/>
      <c r="AT278" s="132"/>
      <c r="AU278" s="132"/>
      <c r="AV278" s="132"/>
      <c r="AW278" s="132"/>
      <c r="AX278" s="132"/>
      <c r="AY278" s="132"/>
      <c r="AZ278" s="132"/>
      <c r="BA278" s="132"/>
      <c r="BB278" s="132"/>
      <c r="BC278" s="132"/>
      <c r="BD278" s="132"/>
      <c r="BE278" s="132"/>
      <c r="BF278" s="132"/>
    </row>
    <row r="279" customFormat="false" ht="11.25" hidden="false" customHeight="true" outlineLevel="0" collapsed="false">
      <c r="A279" s="113" t="s">
        <v>1026</v>
      </c>
      <c r="E279" s="80"/>
      <c r="F279" s="810"/>
      <c r="G279" s="138"/>
      <c r="H279" s="811" t="s">
        <v>1130</v>
      </c>
      <c r="I279" s="831"/>
      <c r="J279" s="335"/>
      <c r="K279" s="333"/>
      <c r="L279" s="204"/>
      <c r="M279" s="198"/>
      <c r="N279" s="837"/>
      <c r="O279" s="838"/>
      <c r="P279" s="76"/>
      <c r="Q279" s="335"/>
      <c r="R279" s="839"/>
      <c r="S279" s="839"/>
      <c r="T279" s="839"/>
      <c r="U279" s="839"/>
      <c r="V279" s="839"/>
      <c r="W279" s="839"/>
      <c r="X279" s="839"/>
      <c r="Y279" s="839"/>
      <c r="Z279" s="840"/>
      <c r="AA279" s="841"/>
      <c r="AB279" s="161" t="s">
        <v>1071</v>
      </c>
      <c r="AC279" s="842"/>
      <c r="AD279" s="842"/>
      <c r="AE279" s="847"/>
      <c r="AF279" s="835"/>
      <c r="AG279" s="836"/>
      <c r="AH279" s="836"/>
      <c r="AI279" s="835"/>
      <c r="AJ279" s="836"/>
      <c r="AK279" s="836"/>
      <c r="AL279" s="809"/>
      <c r="AM279" s="132"/>
      <c r="AN279" s="132"/>
      <c r="AO279" s="132"/>
      <c r="AP279" s="132"/>
      <c r="AQ279" s="132"/>
      <c r="AR279" s="132"/>
      <c r="AS279" s="132"/>
      <c r="AT279" s="132"/>
      <c r="AU279" s="132"/>
      <c r="AV279" s="132"/>
      <c r="AW279" s="132"/>
      <c r="AX279" s="132"/>
      <c r="AY279" s="132"/>
      <c r="AZ279" s="132"/>
      <c r="BA279" s="132"/>
      <c r="BB279" s="132"/>
      <c r="BC279" s="132"/>
      <c r="BD279" s="132"/>
      <c r="BE279" s="132"/>
      <c r="BF279" s="132"/>
    </row>
    <row r="280" customFormat="false" ht="11.25" hidden="false" customHeight="true" outlineLevel="0" collapsed="false">
      <c r="A280" s="113" t="s">
        <v>1026</v>
      </c>
      <c r="E280" s="80"/>
      <c r="F280" s="810"/>
      <c r="G280" s="138"/>
      <c r="H280" s="811" t="s">
        <v>1130</v>
      </c>
      <c r="I280" s="831"/>
      <c r="J280" s="335"/>
      <c r="K280" s="333"/>
      <c r="L280" s="204"/>
      <c r="M280" s="198"/>
      <c r="N280" s="840"/>
      <c r="O280" s="841"/>
      <c r="P280" s="161" t="s">
        <v>1072</v>
      </c>
      <c r="Q280" s="841"/>
      <c r="R280" s="841"/>
      <c r="S280" s="841"/>
      <c r="T280" s="841"/>
      <c r="U280" s="841"/>
      <c r="V280" s="841"/>
      <c r="W280" s="841"/>
      <c r="X280" s="841"/>
      <c r="Y280" s="841"/>
      <c r="Z280" s="841"/>
      <c r="AA280" s="841"/>
      <c r="AB280" s="841"/>
      <c r="AC280" s="841"/>
      <c r="AD280" s="841"/>
      <c r="AE280" s="848"/>
      <c r="AF280" s="835"/>
      <c r="AG280" s="836"/>
      <c r="AH280" s="836"/>
      <c r="AI280" s="835"/>
      <c r="AJ280" s="836"/>
      <c r="AK280" s="836"/>
      <c r="AL280" s="809"/>
      <c r="AM280" s="132"/>
      <c r="AN280" s="132"/>
      <c r="AO280" s="132"/>
      <c r="AP280" s="132"/>
      <c r="AQ280" s="132"/>
      <c r="AR280" s="132"/>
      <c r="AS280" s="132"/>
      <c r="AT280" s="132"/>
      <c r="AU280" s="132"/>
      <c r="AV280" s="132"/>
      <c r="AW280" s="132"/>
      <c r="AX280" s="132"/>
      <c r="AY280" s="132"/>
      <c r="AZ280" s="132"/>
      <c r="BA280" s="132"/>
      <c r="BB280" s="132"/>
      <c r="BC280" s="132"/>
      <c r="BD280" s="132"/>
      <c r="BE280" s="132"/>
      <c r="BF280" s="132"/>
    </row>
    <row r="281" customFormat="false" ht="11.25" hidden="false" customHeight="true" outlineLevel="0" collapsed="false">
      <c r="A281" s="113" t="s">
        <v>1026</v>
      </c>
      <c r="E281" s="80"/>
      <c r="F281" s="810"/>
      <c r="G281" s="138" t="s">
        <v>103</v>
      </c>
      <c r="H281" s="811" t="s">
        <v>1132</v>
      </c>
      <c r="I281" s="831"/>
      <c r="J281" s="335"/>
      <c r="K281" s="333" t="s">
        <v>1090</v>
      </c>
      <c r="L281" s="204" t="s">
        <v>19</v>
      </c>
      <c r="M281" s="198"/>
      <c r="N281" s="832"/>
      <c r="O281" s="833" t="s">
        <v>389</v>
      </c>
      <c r="P281" s="834"/>
      <c r="Q281" s="834"/>
      <c r="R281" s="834"/>
      <c r="S281" s="834"/>
      <c r="T281" s="834"/>
      <c r="U281" s="834"/>
      <c r="V281" s="834"/>
      <c r="W281" s="834"/>
      <c r="X281" s="834"/>
      <c r="Y281" s="834"/>
      <c r="Z281" s="834"/>
      <c r="AA281" s="834"/>
      <c r="AB281" s="834"/>
      <c r="AC281" s="834"/>
      <c r="AD281" s="834"/>
      <c r="AE281" s="834"/>
      <c r="AF281" s="835" t="n">
        <v>2019</v>
      </c>
      <c r="AG281" s="836" t="s">
        <v>1059</v>
      </c>
      <c r="AH281" s="836" t="s">
        <v>1060</v>
      </c>
      <c r="AI281" s="835" t="n">
        <v>2019</v>
      </c>
      <c r="AJ281" s="836" t="s">
        <v>1079</v>
      </c>
      <c r="AK281" s="836" t="s">
        <v>1062</v>
      </c>
      <c r="AL281" s="809"/>
      <c r="AM281" s="132"/>
      <c r="AN281" s="132"/>
      <c r="AO281" s="132"/>
      <c r="AP281" s="132"/>
      <c r="AQ281" s="132"/>
      <c r="AR281" s="132"/>
      <c r="AS281" s="132"/>
      <c r="AT281" s="132"/>
      <c r="AU281" s="132"/>
      <c r="AV281" s="132"/>
      <c r="AW281" s="132"/>
      <c r="AX281" s="132"/>
      <c r="AY281" s="132"/>
      <c r="AZ281" s="132"/>
      <c r="BA281" s="132"/>
      <c r="BB281" s="132"/>
      <c r="BC281" s="132"/>
      <c r="BD281" s="132"/>
      <c r="BE281" s="132"/>
      <c r="BF281" s="132"/>
    </row>
    <row r="282" customFormat="false" ht="11.25" hidden="false" customHeight="true" outlineLevel="0" collapsed="false">
      <c r="A282" s="113" t="s">
        <v>1026</v>
      </c>
      <c r="E282" s="80"/>
      <c r="F282" s="810"/>
      <c r="G282" s="138"/>
      <c r="H282" s="811" t="s">
        <v>1132</v>
      </c>
      <c r="I282" s="831"/>
      <c r="J282" s="335"/>
      <c r="K282" s="333"/>
      <c r="L282" s="204"/>
      <c r="M282" s="198"/>
      <c r="N282" s="837"/>
      <c r="O282" s="838" t="n">
        <v>1</v>
      </c>
      <c r="P282" s="76" t="s">
        <v>61</v>
      </c>
      <c r="Q282" s="335" t="s">
        <v>1080</v>
      </c>
      <c r="R282" s="839" t="s">
        <v>1064</v>
      </c>
      <c r="S282" s="839" t="s">
        <v>99</v>
      </c>
      <c r="T282" s="839" t="s">
        <v>99</v>
      </c>
      <c r="U282" s="839" t="s">
        <v>100</v>
      </c>
      <c r="V282" s="839" t="s">
        <v>1065</v>
      </c>
      <c r="W282" s="839" t="s">
        <v>1066</v>
      </c>
      <c r="X282" s="839" t="s">
        <v>1081</v>
      </c>
      <c r="Y282" s="839" t="s">
        <v>1082</v>
      </c>
      <c r="Z282" s="840"/>
      <c r="AA282" s="841"/>
      <c r="AB282" s="841"/>
      <c r="AC282" s="842"/>
      <c r="AD282" s="842"/>
      <c r="AE282" s="843"/>
      <c r="AF282" s="835"/>
      <c r="AG282" s="836"/>
      <c r="AH282" s="836"/>
      <c r="AI282" s="835"/>
      <c r="AJ282" s="836"/>
      <c r="AK282" s="836"/>
      <c r="AL282" s="809"/>
      <c r="AM282" s="132"/>
      <c r="AN282" s="132"/>
      <c r="AO282" s="132"/>
      <c r="AP282" s="132"/>
      <c r="AQ282" s="132"/>
      <c r="AR282" s="132"/>
      <c r="AS282" s="132"/>
      <c r="AT282" s="132"/>
      <c r="AU282" s="132"/>
      <c r="AV282" s="132"/>
      <c r="AW282" s="132"/>
      <c r="AX282" s="132"/>
      <c r="AY282" s="132"/>
      <c r="AZ282" s="132"/>
      <c r="BA282" s="132"/>
      <c r="BB282" s="132"/>
      <c r="BC282" s="132"/>
      <c r="BD282" s="132"/>
      <c r="BE282" s="132"/>
      <c r="BF282" s="132"/>
    </row>
    <row r="283" customFormat="false" ht="11.25" hidden="false" customHeight="true" outlineLevel="0" collapsed="false">
      <c r="A283" s="113" t="s">
        <v>1026</v>
      </c>
      <c r="E283" s="80"/>
      <c r="F283" s="810"/>
      <c r="G283" s="138"/>
      <c r="H283" s="811" t="s">
        <v>1132</v>
      </c>
      <c r="I283" s="831"/>
      <c r="J283" s="335"/>
      <c r="K283" s="333"/>
      <c r="L283" s="204"/>
      <c r="M283" s="198"/>
      <c r="N283" s="837"/>
      <c r="O283" s="838"/>
      <c r="P283" s="76"/>
      <c r="Q283" s="335"/>
      <c r="R283" s="839"/>
      <c r="S283" s="839"/>
      <c r="T283" s="839"/>
      <c r="U283" s="839"/>
      <c r="V283" s="839"/>
      <c r="W283" s="839"/>
      <c r="X283" s="839"/>
      <c r="Y283" s="839"/>
      <c r="Z283" s="844"/>
      <c r="AA283" s="845" t="n">
        <v>1</v>
      </c>
      <c r="AB283" s="846" t="s">
        <v>1069</v>
      </c>
      <c r="AC283" s="756" t="n">
        <v>137.97</v>
      </c>
      <c r="AD283" s="846" t="str">
        <f aca="false">AB283</f>
        <v>Прочие амортизационные отчисления</v>
      </c>
      <c r="AE283" s="756" t="n">
        <v>0</v>
      </c>
      <c r="AF283" s="835"/>
      <c r="AG283" s="836"/>
      <c r="AH283" s="836"/>
      <c r="AI283" s="835"/>
      <c r="AJ283" s="836"/>
      <c r="AK283" s="836"/>
      <c r="AL283" s="809"/>
      <c r="AM283" s="132"/>
      <c r="AN283" s="132"/>
      <c r="AO283" s="132"/>
      <c r="AP283" s="132"/>
      <c r="AQ283" s="132"/>
      <c r="AR283" s="132"/>
      <c r="AS283" s="132"/>
      <c r="AT283" s="132"/>
      <c r="AU283" s="132"/>
      <c r="AV283" s="132"/>
      <c r="AW283" s="132"/>
      <c r="AX283" s="132"/>
      <c r="AY283" s="132"/>
      <c r="AZ283" s="132"/>
      <c r="BA283" s="132"/>
      <c r="BB283" s="132"/>
      <c r="BC283" s="132"/>
      <c r="BD283" s="132"/>
      <c r="BE283" s="132"/>
      <c r="BF283" s="132"/>
    </row>
    <row r="284" customFormat="false" ht="11.25" hidden="false" customHeight="true" outlineLevel="0" collapsed="false">
      <c r="A284" s="113" t="s">
        <v>1026</v>
      </c>
      <c r="E284" s="80"/>
      <c r="F284" s="810"/>
      <c r="G284" s="138"/>
      <c r="H284" s="811" t="s">
        <v>1132</v>
      </c>
      <c r="I284" s="831"/>
      <c r="J284" s="335"/>
      <c r="K284" s="333"/>
      <c r="L284" s="204"/>
      <c r="M284" s="198"/>
      <c r="N284" s="837"/>
      <c r="O284" s="838"/>
      <c r="P284" s="76"/>
      <c r="Q284" s="335"/>
      <c r="R284" s="839"/>
      <c r="S284" s="839"/>
      <c r="T284" s="839"/>
      <c r="U284" s="839"/>
      <c r="V284" s="839"/>
      <c r="W284" s="839"/>
      <c r="X284" s="839"/>
      <c r="Y284" s="839"/>
      <c r="Z284" s="840"/>
      <c r="AA284" s="841"/>
      <c r="AB284" s="161" t="s">
        <v>1071</v>
      </c>
      <c r="AC284" s="842"/>
      <c r="AD284" s="842"/>
      <c r="AE284" s="847"/>
      <c r="AF284" s="835"/>
      <c r="AG284" s="836"/>
      <c r="AH284" s="836"/>
      <c r="AI284" s="835"/>
      <c r="AJ284" s="836"/>
      <c r="AK284" s="836"/>
      <c r="AL284" s="809"/>
      <c r="AM284" s="132"/>
      <c r="AN284" s="132"/>
      <c r="AO284" s="132"/>
      <c r="AP284" s="132"/>
      <c r="AQ284" s="132"/>
      <c r="AR284" s="132"/>
      <c r="AS284" s="132"/>
      <c r="AT284" s="132"/>
      <c r="AU284" s="132"/>
      <c r="AV284" s="132"/>
      <c r="AW284" s="132"/>
      <c r="AX284" s="132"/>
      <c r="AY284" s="132"/>
      <c r="AZ284" s="132"/>
      <c r="BA284" s="132"/>
      <c r="BB284" s="132"/>
      <c r="BC284" s="132"/>
      <c r="BD284" s="132"/>
      <c r="BE284" s="132"/>
      <c r="BF284" s="132"/>
    </row>
    <row r="285" customFormat="false" ht="11.25" hidden="false" customHeight="true" outlineLevel="0" collapsed="false">
      <c r="A285" s="113" t="s">
        <v>1026</v>
      </c>
      <c r="E285" s="80"/>
      <c r="F285" s="810"/>
      <c r="G285" s="138"/>
      <c r="H285" s="811" t="s">
        <v>1132</v>
      </c>
      <c r="I285" s="831"/>
      <c r="J285" s="335"/>
      <c r="K285" s="333"/>
      <c r="L285" s="204"/>
      <c r="M285" s="198"/>
      <c r="N285" s="840"/>
      <c r="O285" s="841"/>
      <c r="P285" s="161" t="s">
        <v>1072</v>
      </c>
      <c r="Q285" s="841"/>
      <c r="R285" s="841"/>
      <c r="S285" s="841"/>
      <c r="T285" s="841"/>
      <c r="U285" s="841"/>
      <c r="V285" s="841"/>
      <c r="W285" s="841"/>
      <c r="X285" s="841"/>
      <c r="Y285" s="841"/>
      <c r="Z285" s="841"/>
      <c r="AA285" s="841"/>
      <c r="AB285" s="841"/>
      <c r="AC285" s="841"/>
      <c r="AD285" s="841"/>
      <c r="AE285" s="848"/>
      <c r="AF285" s="835"/>
      <c r="AG285" s="836"/>
      <c r="AH285" s="836"/>
      <c r="AI285" s="835"/>
      <c r="AJ285" s="836"/>
      <c r="AK285" s="836"/>
      <c r="AL285" s="809"/>
      <c r="AM285" s="132"/>
      <c r="AN285" s="132"/>
      <c r="AO285" s="132"/>
      <c r="AP285" s="132"/>
      <c r="AQ285" s="132"/>
      <c r="AR285" s="132"/>
      <c r="AS285" s="132"/>
      <c r="AT285" s="132"/>
      <c r="AU285" s="132"/>
      <c r="AV285" s="132"/>
      <c r="AW285" s="132"/>
      <c r="AX285" s="132"/>
      <c r="AY285" s="132"/>
      <c r="AZ285" s="132"/>
      <c r="BA285" s="132"/>
      <c r="BB285" s="132"/>
      <c r="BC285" s="132"/>
      <c r="BD285" s="132"/>
      <c r="BE285" s="132"/>
      <c r="BF285" s="132"/>
    </row>
    <row r="286" customFormat="false" ht="11.25" hidden="false" customHeight="true" outlineLevel="0" collapsed="false">
      <c r="A286" s="113" t="s">
        <v>1026</v>
      </c>
      <c r="E286" s="80"/>
      <c r="F286" s="810"/>
      <c r="G286" s="138" t="s">
        <v>103</v>
      </c>
      <c r="H286" s="811" t="s">
        <v>1134</v>
      </c>
      <c r="I286" s="831"/>
      <c r="J286" s="335"/>
      <c r="K286" s="333" t="s">
        <v>1091</v>
      </c>
      <c r="L286" s="204" t="s">
        <v>19</v>
      </c>
      <c r="M286" s="198"/>
      <c r="N286" s="832"/>
      <c r="O286" s="833" t="s">
        <v>389</v>
      </c>
      <c r="P286" s="834"/>
      <c r="Q286" s="834"/>
      <c r="R286" s="834"/>
      <c r="S286" s="834"/>
      <c r="T286" s="834"/>
      <c r="U286" s="834"/>
      <c r="V286" s="834"/>
      <c r="W286" s="834"/>
      <c r="X286" s="834"/>
      <c r="Y286" s="834"/>
      <c r="Z286" s="834"/>
      <c r="AA286" s="834"/>
      <c r="AB286" s="834"/>
      <c r="AC286" s="834"/>
      <c r="AD286" s="834"/>
      <c r="AE286" s="834"/>
      <c r="AF286" s="835" t="n">
        <v>2019</v>
      </c>
      <c r="AG286" s="836" t="s">
        <v>1059</v>
      </c>
      <c r="AH286" s="836" t="s">
        <v>1060</v>
      </c>
      <c r="AI286" s="835" t="n">
        <v>2019</v>
      </c>
      <c r="AJ286" s="836" t="s">
        <v>1061</v>
      </c>
      <c r="AK286" s="836" t="s">
        <v>1062</v>
      </c>
      <c r="AL286" s="809"/>
      <c r="AM286" s="132"/>
      <c r="AN286" s="132"/>
      <c r="AO286" s="132"/>
      <c r="AP286" s="132"/>
      <c r="AQ286" s="132"/>
      <c r="AR286" s="132"/>
      <c r="AS286" s="132"/>
      <c r="AT286" s="132"/>
      <c r="AU286" s="132"/>
      <c r="AV286" s="132"/>
      <c r="AW286" s="132"/>
      <c r="AX286" s="132"/>
      <c r="AY286" s="132"/>
      <c r="AZ286" s="132"/>
      <c r="BA286" s="132"/>
      <c r="BB286" s="132"/>
      <c r="BC286" s="132"/>
      <c r="BD286" s="132"/>
      <c r="BE286" s="132"/>
      <c r="BF286" s="132"/>
    </row>
    <row r="287" customFormat="false" ht="11.25" hidden="false" customHeight="true" outlineLevel="0" collapsed="false">
      <c r="A287" s="113" t="s">
        <v>1026</v>
      </c>
      <c r="E287" s="80"/>
      <c r="F287" s="810"/>
      <c r="G287" s="138"/>
      <c r="H287" s="811" t="s">
        <v>1134</v>
      </c>
      <c r="I287" s="831"/>
      <c r="J287" s="335"/>
      <c r="K287" s="333"/>
      <c r="L287" s="204"/>
      <c r="M287" s="198"/>
      <c r="N287" s="837"/>
      <c r="O287" s="838" t="n">
        <v>1</v>
      </c>
      <c r="P287" s="76" t="s">
        <v>61</v>
      </c>
      <c r="Q287" s="335" t="s">
        <v>1080</v>
      </c>
      <c r="R287" s="839" t="s">
        <v>1064</v>
      </c>
      <c r="S287" s="839" t="s">
        <v>99</v>
      </c>
      <c r="T287" s="839" t="s">
        <v>99</v>
      </c>
      <c r="U287" s="839" t="s">
        <v>100</v>
      </c>
      <c r="V287" s="839" t="s">
        <v>1065</v>
      </c>
      <c r="W287" s="839" t="s">
        <v>1066</v>
      </c>
      <c r="X287" s="839" t="s">
        <v>1081</v>
      </c>
      <c r="Y287" s="839" t="s">
        <v>1082</v>
      </c>
      <c r="Z287" s="840"/>
      <c r="AA287" s="841"/>
      <c r="AB287" s="841"/>
      <c r="AC287" s="842"/>
      <c r="AD287" s="842"/>
      <c r="AE287" s="843"/>
      <c r="AF287" s="835"/>
      <c r="AG287" s="836"/>
      <c r="AH287" s="836"/>
      <c r="AI287" s="835"/>
      <c r="AJ287" s="836"/>
      <c r="AK287" s="836"/>
      <c r="AL287" s="809"/>
      <c r="AM287" s="132"/>
      <c r="AN287" s="132"/>
      <c r="AO287" s="132"/>
      <c r="AP287" s="132"/>
      <c r="AQ287" s="132"/>
      <c r="AR287" s="132"/>
      <c r="AS287" s="132"/>
      <c r="AT287" s="132"/>
      <c r="AU287" s="132"/>
      <c r="AV287" s="132"/>
      <c r="AW287" s="132"/>
      <c r="AX287" s="132"/>
      <c r="AY287" s="132"/>
      <c r="AZ287" s="132"/>
      <c r="BA287" s="132"/>
      <c r="BB287" s="132"/>
      <c r="BC287" s="132"/>
      <c r="BD287" s="132"/>
      <c r="BE287" s="132"/>
      <c r="BF287" s="132"/>
    </row>
    <row r="288" customFormat="false" ht="11.25" hidden="false" customHeight="true" outlineLevel="0" collapsed="false">
      <c r="A288" s="113" t="s">
        <v>1026</v>
      </c>
      <c r="E288" s="80"/>
      <c r="F288" s="810"/>
      <c r="G288" s="138"/>
      <c r="H288" s="811" t="s">
        <v>1134</v>
      </c>
      <c r="I288" s="831"/>
      <c r="J288" s="335"/>
      <c r="K288" s="333"/>
      <c r="L288" s="204"/>
      <c r="M288" s="198"/>
      <c r="N288" s="837"/>
      <c r="O288" s="838"/>
      <c r="P288" s="76"/>
      <c r="Q288" s="335"/>
      <c r="R288" s="839"/>
      <c r="S288" s="839"/>
      <c r="T288" s="839"/>
      <c r="U288" s="839"/>
      <c r="V288" s="839"/>
      <c r="W288" s="839"/>
      <c r="X288" s="839"/>
      <c r="Y288" s="839"/>
      <c r="Z288" s="844"/>
      <c r="AA288" s="845" t="n">
        <v>1</v>
      </c>
      <c r="AB288" s="846" t="s">
        <v>1069</v>
      </c>
      <c r="AC288" s="756" t="n">
        <v>161.84</v>
      </c>
      <c r="AD288" s="846" t="str">
        <f aca="false">AB288</f>
        <v>Прочие амортизационные отчисления</v>
      </c>
      <c r="AE288" s="756" t="n">
        <v>0</v>
      </c>
      <c r="AF288" s="835"/>
      <c r="AG288" s="836"/>
      <c r="AH288" s="836"/>
      <c r="AI288" s="835"/>
      <c r="AJ288" s="836"/>
      <c r="AK288" s="836"/>
      <c r="AL288" s="809"/>
      <c r="AM288" s="132"/>
      <c r="AN288" s="132"/>
      <c r="AO288" s="132"/>
      <c r="AP288" s="132"/>
      <c r="AQ288" s="132"/>
      <c r="AR288" s="132"/>
      <c r="AS288" s="132"/>
      <c r="AT288" s="132"/>
      <c r="AU288" s="132"/>
      <c r="AV288" s="132"/>
      <c r="AW288" s="132"/>
      <c r="AX288" s="132"/>
      <c r="AY288" s="132"/>
      <c r="AZ288" s="132"/>
      <c r="BA288" s="132"/>
      <c r="BB288" s="132"/>
      <c r="BC288" s="132"/>
      <c r="BD288" s="132"/>
      <c r="BE288" s="132"/>
      <c r="BF288" s="132"/>
    </row>
    <row r="289" customFormat="false" ht="11.25" hidden="false" customHeight="true" outlineLevel="0" collapsed="false">
      <c r="A289" s="113" t="s">
        <v>1026</v>
      </c>
      <c r="E289" s="80"/>
      <c r="F289" s="810"/>
      <c r="G289" s="138"/>
      <c r="H289" s="811" t="s">
        <v>1134</v>
      </c>
      <c r="I289" s="831"/>
      <c r="J289" s="335"/>
      <c r="K289" s="333"/>
      <c r="L289" s="204"/>
      <c r="M289" s="198"/>
      <c r="N289" s="837"/>
      <c r="O289" s="838"/>
      <c r="P289" s="76"/>
      <c r="Q289" s="335"/>
      <c r="R289" s="839"/>
      <c r="S289" s="839"/>
      <c r="T289" s="839"/>
      <c r="U289" s="839"/>
      <c r="V289" s="839"/>
      <c r="W289" s="839"/>
      <c r="X289" s="839"/>
      <c r="Y289" s="839"/>
      <c r="Z289" s="840"/>
      <c r="AA289" s="841"/>
      <c r="AB289" s="161" t="s">
        <v>1071</v>
      </c>
      <c r="AC289" s="842"/>
      <c r="AD289" s="842"/>
      <c r="AE289" s="847"/>
      <c r="AF289" s="835"/>
      <c r="AG289" s="836"/>
      <c r="AH289" s="836"/>
      <c r="AI289" s="835"/>
      <c r="AJ289" s="836"/>
      <c r="AK289" s="836"/>
      <c r="AL289" s="809"/>
      <c r="AM289" s="132"/>
      <c r="AN289" s="132"/>
      <c r="AO289" s="132"/>
      <c r="AP289" s="132"/>
      <c r="AQ289" s="132"/>
      <c r="AR289" s="132"/>
      <c r="AS289" s="132"/>
      <c r="AT289" s="132"/>
      <c r="AU289" s="132"/>
      <c r="AV289" s="132"/>
      <c r="AW289" s="132"/>
      <c r="AX289" s="132"/>
      <c r="AY289" s="132"/>
      <c r="AZ289" s="132"/>
      <c r="BA289" s="132"/>
      <c r="BB289" s="132"/>
      <c r="BC289" s="132"/>
      <c r="BD289" s="132"/>
      <c r="BE289" s="132"/>
      <c r="BF289" s="132"/>
    </row>
    <row r="290" customFormat="false" ht="11.25" hidden="false" customHeight="true" outlineLevel="0" collapsed="false">
      <c r="A290" s="113" t="s">
        <v>1026</v>
      </c>
      <c r="E290" s="80"/>
      <c r="F290" s="810"/>
      <c r="G290" s="138"/>
      <c r="H290" s="811" t="s">
        <v>1134</v>
      </c>
      <c r="I290" s="831"/>
      <c r="J290" s="335"/>
      <c r="K290" s="333"/>
      <c r="L290" s="204"/>
      <c r="M290" s="198"/>
      <c r="N290" s="840"/>
      <c r="O290" s="841"/>
      <c r="P290" s="161" t="s">
        <v>1072</v>
      </c>
      <c r="Q290" s="841"/>
      <c r="R290" s="841"/>
      <c r="S290" s="841"/>
      <c r="T290" s="841"/>
      <c r="U290" s="841"/>
      <c r="V290" s="841"/>
      <c r="W290" s="841"/>
      <c r="X290" s="841"/>
      <c r="Y290" s="841"/>
      <c r="Z290" s="841"/>
      <c r="AA290" s="841"/>
      <c r="AB290" s="841"/>
      <c r="AC290" s="841"/>
      <c r="AD290" s="841"/>
      <c r="AE290" s="848"/>
      <c r="AF290" s="835"/>
      <c r="AG290" s="836"/>
      <c r="AH290" s="836"/>
      <c r="AI290" s="835"/>
      <c r="AJ290" s="836"/>
      <c r="AK290" s="836"/>
      <c r="AL290" s="809"/>
      <c r="AM290" s="132"/>
      <c r="AN290" s="132"/>
      <c r="AO290" s="132"/>
      <c r="AP290" s="132"/>
      <c r="AQ290" s="132"/>
      <c r="AR290" s="132"/>
      <c r="AS290" s="132"/>
      <c r="AT290" s="132"/>
      <c r="AU290" s="132"/>
      <c r="AV290" s="132"/>
      <c r="AW290" s="132"/>
      <c r="AX290" s="132"/>
      <c r="AY290" s="132"/>
      <c r="AZ290" s="132"/>
      <c r="BA290" s="132"/>
      <c r="BB290" s="132"/>
      <c r="BC290" s="132"/>
      <c r="BD290" s="132"/>
      <c r="BE290" s="132"/>
      <c r="BF290" s="132"/>
    </row>
    <row r="291" customFormat="false" ht="11.25" hidden="false" customHeight="true" outlineLevel="0" collapsed="false">
      <c r="A291" s="113" t="s">
        <v>1026</v>
      </c>
      <c r="E291" s="80"/>
      <c r="F291" s="810"/>
      <c r="G291" s="138" t="s">
        <v>103</v>
      </c>
      <c r="H291" s="811" t="s">
        <v>1148</v>
      </c>
      <c r="I291" s="831"/>
      <c r="J291" s="335"/>
      <c r="K291" s="333" t="s">
        <v>1101</v>
      </c>
      <c r="L291" s="204" t="s">
        <v>19</v>
      </c>
      <c r="M291" s="198"/>
      <c r="N291" s="832"/>
      <c r="O291" s="833" t="s">
        <v>389</v>
      </c>
      <c r="P291" s="834"/>
      <c r="Q291" s="834"/>
      <c r="R291" s="834"/>
      <c r="S291" s="834"/>
      <c r="T291" s="834"/>
      <c r="U291" s="834"/>
      <c r="V291" s="834"/>
      <c r="W291" s="834"/>
      <c r="X291" s="834"/>
      <c r="Y291" s="834"/>
      <c r="Z291" s="834"/>
      <c r="AA291" s="834"/>
      <c r="AB291" s="834"/>
      <c r="AC291" s="834"/>
      <c r="AD291" s="834"/>
      <c r="AE291" s="834"/>
      <c r="AF291" s="835" t="n">
        <v>2019</v>
      </c>
      <c r="AG291" s="836" t="s">
        <v>1059</v>
      </c>
      <c r="AH291" s="836" t="s">
        <v>1060</v>
      </c>
      <c r="AI291" s="835" t="n">
        <v>2019</v>
      </c>
      <c r="AJ291" s="836" t="s">
        <v>1059</v>
      </c>
      <c r="AK291" s="836" t="s">
        <v>1062</v>
      </c>
      <c r="AL291" s="809"/>
      <c r="AM291" s="132"/>
      <c r="AN291" s="132"/>
      <c r="AO291" s="132"/>
      <c r="AP291" s="132"/>
      <c r="AQ291" s="132"/>
      <c r="AR291" s="132"/>
      <c r="AS291" s="132"/>
      <c r="AT291" s="132"/>
      <c r="AU291" s="132"/>
      <c r="AV291" s="132"/>
      <c r="AW291" s="132"/>
      <c r="AX291" s="132"/>
      <c r="AY291" s="132"/>
      <c r="AZ291" s="132"/>
      <c r="BA291" s="132"/>
      <c r="BB291" s="132"/>
      <c r="BC291" s="132"/>
      <c r="BD291" s="132"/>
      <c r="BE291" s="132"/>
      <c r="BF291" s="132"/>
    </row>
    <row r="292" customFormat="false" ht="11.25" hidden="false" customHeight="true" outlineLevel="0" collapsed="false">
      <c r="A292" s="113" t="s">
        <v>1026</v>
      </c>
      <c r="E292" s="80"/>
      <c r="F292" s="810"/>
      <c r="G292" s="138"/>
      <c r="H292" s="811" t="s">
        <v>1148</v>
      </c>
      <c r="I292" s="831"/>
      <c r="J292" s="335"/>
      <c r="K292" s="333"/>
      <c r="L292" s="204"/>
      <c r="M292" s="198"/>
      <c r="N292" s="837"/>
      <c r="O292" s="838" t="n">
        <v>1</v>
      </c>
      <c r="P292" s="76" t="s">
        <v>61</v>
      </c>
      <c r="Q292" s="335" t="s">
        <v>1063</v>
      </c>
      <c r="R292" s="839" t="s">
        <v>1064</v>
      </c>
      <c r="S292" s="839" t="s">
        <v>99</v>
      </c>
      <c r="T292" s="839" t="s">
        <v>99</v>
      </c>
      <c r="U292" s="839" t="s">
        <v>100</v>
      </c>
      <c r="V292" s="839" t="s">
        <v>1065</v>
      </c>
      <c r="W292" s="839" t="s">
        <v>1066</v>
      </c>
      <c r="X292" s="839" t="s">
        <v>1067</v>
      </c>
      <c r="Y292" s="839" t="s">
        <v>1068</v>
      </c>
      <c r="Z292" s="840"/>
      <c r="AA292" s="841"/>
      <c r="AB292" s="841"/>
      <c r="AC292" s="842"/>
      <c r="AD292" s="842"/>
      <c r="AE292" s="843"/>
      <c r="AF292" s="835"/>
      <c r="AG292" s="836"/>
      <c r="AH292" s="836"/>
      <c r="AI292" s="835"/>
      <c r="AJ292" s="836"/>
      <c r="AK292" s="836"/>
      <c r="AL292" s="809"/>
      <c r="AM292" s="132"/>
      <c r="AN292" s="132"/>
      <c r="AO292" s="132"/>
      <c r="AP292" s="132"/>
      <c r="AQ292" s="132"/>
      <c r="AR292" s="132"/>
      <c r="AS292" s="132"/>
      <c r="AT292" s="132"/>
      <c r="AU292" s="132"/>
      <c r="AV292" s="132"/>
      <c r="AW292" s="132"/>
      <c r="AX292" s="132"/>
      <c r="AY292" s="132"/>
      <c r="AZ292" s="132"/>
      <c r="BA292" s="132"/>
      <c r="BB292" s="132"/>
      <c r="BC292" s="132"/>
      <c r="BD292" s="132"/>
      <c r="BE292" s="132"/>
      <c r="BF292" s="132"/>
    </row>
    <row r="293" customFormat="false" ht="11.25" hidden="false" customHeight="true" outlineLevel="0" collapsed="false">
      <c r="A293" s="113" t="s">
        <v>1026</v>
      </c>
      <c r="E293" s="80"/>
      <c r="F293" s="810"/>
      <c r="G293" s="138"/>
      <c r="H293" s="811" t="s">
        <v>1148</v>
      </c>
      <c r="I293" s="831"/>
      <c r="J293" s="335"/>
      <c r="K293" s="333"/>
      <c r="L293" s="204"/>
      <c r="M293" s="198"/>
      <c r="N293" s="837"/>
      <c r="O293" s="838"/>
      <c r="P293" s="76"/>
      <c r="Q293" s="335"/>
      <c r="R293" s="839"/>
      <c r="S293" s="839"/>
      <c r="T293" s="839"/>
      <c r="U293" s="839"/>
      <c r="V293" s="839"/>
      <c r="W293" s="839"/>
      <c r="X293" s="839"/>
      <c r="Y293" s="839"/>
      <c r="Z293" s="844"/>
      <c r="AA293" s="845" t="n">
        <v>1</v>
      </c>
      <c r="AB293" s="846" t="s">
        <v>1069</v>
      </c>
      <c r="AC293" s="756" t="n">
        <v>452.01</v>
      </c>
      <c r="AD293" s="846" t="str">
        <f aca="false">AB293</f>
        <v>Прочие амортизационные отчисления</v>
      </c>
      <c r="AE293" s="756" t="n">
        <v>0</v>
      </c>
      <c r="AF293" s="835"/>
      <c r="AG293" s="836"/>
      <c r="AH293" s="836"/>
      <c r="AI293" s="835"/>
      <c r="AJ293" s="836"/>
      <c r="AK293" s="836"/>
      <c r="AL293" s="809"/>
      <c r="AM293" s="132"/>
      <c r="AN293" s="132"/>
      <c r="AO293" s="132"/>
      <c r="AP293" s="132"/>
      <c r="AQ293" s="132"/>
      <c r="AR293" s="132"/>
      <c r="AS293" s="132"/>
      <c r="AT293" s="132"/>
      <c r="AU293" s="132"/>
      <c r="AV293" s="132"/>
      <c r="AW293" s="132"/>
      <c r="AX293" s="132"/>
      <c r="AY293" s="132"/>
      <c r="AZ293" s="132"/>
      <c r="BA293" s="132"/>
      <c r="BB293" s="132"/>
      <c r="BC293" s="132"/>
      <c r="BD293" s="132"/>
      <c r="BE293" s="132"/>
      <c r="BF293" s="132"/>
    </row>
    <row r="294" customFormat="false" ht="11.25" hidden="false" customHeight="true" outlineLevel="0" collapsed="false">
      <c r="A294" s="113" t="s">
        <v>1026</v>
      </c>
      <c r="E294" s="80"/>
      <c r="F294" s="810"/>
      <c r="G294" s="138"/>
      <c r="H294" s="811" t="s">
        <v>1148</v>
      </c>
      <c r="I294" s="831"/>
      <c r="J294" s="335"/>
      <c r="K294" s="333"/>
      <c r="L294" s="204"/>
      <c r="M294" s="198"/>
      <c r="N294" s="837"/>
      <c r="O294" s="838"/>
      <c r="P294" s="76"/>
      <c r="Q294" s="335"/>
      <c r="R294" s="839"/>
      <c r="S294" s="839"/>
      <c r="T294" s="839"/>
      <c r="U294" s="839"/>
      <c r="V294" s="839"/>
      <c r="W294" s="839"/>
      <c r="X294" s="839"/>
      <c r="Y294" s="839"/>
      <c r="Z294" s="840"/>
      <c r="AA294" s="841"/>
      <c r="AB294" s="161" t="s">
        <v>1071</v>
      </c>
      <c r="AC294" s="842"/>
      <c r="AD294" s="842"/>
      <c r="AE294" s="847"/>
      <c r="AF294" s="835"/>
      <c r="AG294" s="836"/>
      <c r="AH294" s="836"/>
      <c r="AI294" s="835"/>
      <c r="AJ294" s="836"/>
      <c r="AK294" s="836"/>
      <c r="AL294" s="809"/>
      <c r="AM294" s="132"/>
      <c r="AN294" s="132"/>
      <c r="AO294" s="132"/>
      <c r="AP294" s="132"/>
      <c r="AQ294" s="132"/>
      <c r="AR294" s="132"/>
      <c r="AS294" s="132"/>
      <c r="AT294" s="132"/>
      <c r="AU294" s="132"/>
      <c r="AV294" s="132"/>
      <c r="AW294" s="132"/>
      <c r="AX294" s="132"/>
      <c r="AY294" s="132"/>
      <c r="AZ294" s="132"/>
      <c r="BA294" s="132"/>
      <c r="BB294" s="132"/>
      <c r="BC294" s="132"/>
      <c r="BD294" s="132"/>
      <c r="BE294" s="132"/>
      <c r="BF294" s="132"/>
    </row>
    <row r="295" customFormat="false" ht="11.25" hidden="false" customHeight="true" outlineLevel="0" collapsed="false">
      <c r="A295" s="113" t="s">
        <v>1026</v>
      </c>
      <c r="E295" s="80"/>
      <c r="F295" s="810"/>
      <c r="G295" s="138"/>
      <c r="H295" s="811" t="s">
        <v>1148</v>
      </c>
      <c r="I295" s="831"/>
      <c r="J295" s="335"/>
      <c r="K295" s="333"/>
      <c r="L295" s="204"/>
      <c r="M295" s="198"/>
      <c r="N295" s="840"/>
      <c r="O295" s="841"/>
      <c r="P295" s="161" t="s">
        <v>1072</v>
      </c>
      <c r="Q295" s="841"/>
      <c r="R295" s="841"/>
      <c r="S295" s="841"/>
      <c r="T295" s="841"/>
      <c r="U295" s="841"/>
      <c r="V295" s="841"/>
      <c r="W295" s="841"/>
      <c r="X295" s="841"/>
      <c r="Y295" s="841"/>
      <c r="Z295" s="841"/>
      <c r="AA295" s="841"/>
      <c r="AB295" s="841"/>
      <c r="AC295" s="841"/>
      <c r="AD295" s="841"/>
      <c r="AE295" s="848"/>
      <c r="AF295" s="835"/>
      <c r="AG295" s="836"/>
      <c r="AH295" s="836"/>
      <c r="AI295" s="835"/>
      <c r="AJ295" s="836"/>
      <c r="AK295" s="836"/>
      <c r="AL295" s="809"/>
      <c r="AM295" s="132"/>
      <c r="AN295" s="132"/>
      <c r="AO295" s="132"/>
      <c r="AP295" s="132"/>
      <c r="AQ295" s="132"/>
      <c r="AR295" s="132"/>
      <c r="AS295" s="132"/>
      <c r="AT295" s="132"/>
      <c r="AU295" s="132"/>
      <c r="AV295" s="132"/>
      <c r="AW295" s="132"/>
      <c r="AX295" s="132"/>
      <c r="AY295" s="132"/>
      <c r="AZ295" s="132"/>
      <c r="BA295" s="132"/>
      <c r="BB295" s="132"/>
      <c r="BC295" s="132"/>
      <c r="BD295" s="132"/>
      <c r="BE295" s="132"/>
      <c r="BF295" s="132"/>
    </row>
    <row r="296" customFormat="false" ht="11.25" hidden="false" customHeight="true" outlineLevel="0" collapsed="false">
      <c r="A296" s="113" t="s">
        <v>1026</v>
      </c>
      <c r="E296" s="80"/>
      <c r="F296" s="810"/>
      <c r="G296" s="138" t="s">
        <v>103</v>
      </c>
      <c r="H296" s="811" t="s">
        <v>1149</v>
      </c>
      <c r="I296" s="831"/>
      <c r="J296" s="335"/>
      <c r="K296" s="333" t="s">
        <v>1117</v>
      </c>
      <c r="L296" s="204" t="s">
        <v>19</v>
      </c>
      <c r="M296" s="198"/>
      <c r="N296" s="832"/>
      <c r="O296" s="833" t="s">
        <v>389</v>
      </c>
      <c r="P296" s="834"/>
      <c r="Q296" s="834"/>
      <c r="R296" s="834"/>
      <c r="S296" s="834"/>
      <c r="T296" s="834"/>
      <c r="U296" s="834"/>
      <c r="V296" s="834"/>
      <c r="W296" s="834"/>
      <c r="X296" s="834"/>
      <c r="Y296" s="834"/>
      <c r="Z296" s="834"/>
      <c r="AA296" s="834"/>
      <c r="AB296" s="834"/>
      <c r="AC296" s="834"/>
      <c r="AD296" s="834"/>
      <c r="AE296" s="834"/>
      <c r="AF296" s="835" t="n">
        <v>2019</v>
      </c>
      <c r="AG296" s="836" t="s">
        <v>1059</v>
      </c>
      <c r="AH296" s="836" t="s">
        <v>1075</v>
      </c>
      <c r="AI296" s="835" t="n">
        <v>2019</v>
      </c>
      <c r="AJ296" s="836" t="s">
        <v>1076</v>
      </c>
      <c r="AK296" s="836" t="s">
        <v>1062</v>
      </c>
      <c r="AL296" s="809"/>
      <c r="AM296" s="132"/>
      <c r="AN296" s="132"/>
      <c r="AO296" s="132"/>
      <c r="AP296" s="132"/>
      <c r="AQ296" s="132"/>
      <c r="AR296" s="132"/>
      <c r="AS296" s="132"/>
      <c r="AT296" s="132"/>
      <c r="AU296" s="132"/>
      <c r="AV296" s="132"/>
      <c r="AW296" s="132"/>
      <c r="AX296" s="132"/>
      <c r="AY296" s="132"/>
      <c r="AZ296" s="132"/>
      <c r="BA296" s="132"/>
      <c r="BB296" s="132"/>
      <c r="BC296" s="132"/>
      <c r="BD296" s="132"/>
      <c r="BE296" s="132"/>
      <c r="BF296" s="132"/>
    </row>
    <row r="297" customFormat="false" ht="11.25" hidden="false" customHeight="true" outlineLevel="0" collapsed="false">
      <c r="A297" s="113" t="s">
        <v>1026</v>
      </c>
      <c r="E297" s="80"/>
      <c r="F297" s="810"/>
      <c r="G297" s="138"/>
      <c r="H297" s="811" t="s">
        <v>1149</v>
      </c>
      <c r="I297" s="831"/>
      <c r="J297" s="335"/>
      <c r="K297" s="333"/>
      <c r="L297" s="204"/>
      <c r="M297" s="198"/>
      <c r="N297" s="837"/>
      <c r="O297" s="838" t="n">
        <v>1</v>
      </c>
      <c r="P297" s="76" t="s">
        <v>61</v>
      </c>
      <c r="Q297" s="335" t="s">
        <v>1118</v>
      </c>
      <c r="R297" s="839" t="s">
        <v>1119</v>
      </c>
      <c r="S297" s="839" t="s">
        <v>111</v>
      </c>
      <c r="T297" s="839" t="s">
        <v>112</v>
      </c>
      <c r="U297" s="839" t="s">
        <v>113</v>
      </c>
      <c r="V297" s="839" t="s">
        <v>1120</v>
      </c>
      <c r="W297" s="839" t="s">
        <v>1121</v>
      </c>
      <c r="X297" s="839" t="s">
        <v>1122</v>
      </c>
      <c r="Y297" s="839" t="s">
        <v>1123</v>
      </c>
      <c r="Z297" s="840"/>
      <c r="AA297" s="841"/>
      <c r="AB297" s="841"/>
      <c r="AC297" s="842"/>
      <c r="AD297" s="842"/>
      <c r="AE297" s="843"/>
      <c r="AF297" s="835"/>
      <c r="AG297" s="836"/>
      <c r="AH297" s="836"/>
      <c r="AI297" s="835"/>
      <c r="AJ297" s="836"/>
      <c r="AK297" s="836"/>
      <c r="AL297" s="809"/>
      <c r="AM297" s="132"/>
      <c r="AN297" s="132"/>
      <c r="AO297" s="132"/>
      <c r="AP297" s="132"/>
      <c r="AQ297" s="132"/>
      <c r="AR297" s="132"/>
      <c r="AS297" s="132"/>
      <c r="AT297" s="132"/>
      <c r="AU297" s="132"/>
      <c r="AV297" s="132"/>
      <c r="AW297" s="132"/>
      <c r="AX297" s="132"/>
      <c r="AY297" s="132"/>
      <c r="AZ297" s="132"/>
      <c r="BA297" s="132"/>
      <c r="BB297" s="132"/>
      <c r="BC297" s="132"/>
      <c r="BD297" s="132"/>
      <c r="BE297" s="132"/>
      <c r="BF297" s="132"/>
    </row>
    <row r="298" customFormat="false" ht="11.25" hidden="false" customHeight="true" outlineLevel="0" collapsed="false">
      <c r="A298" s="113" t="s">
        <v>1026</v>
      </c>
      <c r="E298" s="80"/>
      <c r="F298" s="810"/>
      <c r="G298" s="138"/>
      <c r="H298" s="811" t="s">
        <v>1149</v>
      </c>
      <c r="I298" s="831"/>
      <c r="J298" s="335"/>
      <c r="K298" s="333"/>
      <c r="L298" s="204"/>
      <c r="M298" s="198"/>
      <c r="N298" s="837"/>
      <c r="O298" s="838"/>
      <c r="P298" s="76"/>
      <c r="Q298" s="335"/>
      <c r="R298" s="839"/>
      <c r="S298" s="839"/>
      <c r="T298" s="839"/>
      <c r="U298" s="839"/>
      <c r="V298" s="839"/>
      <c r="W298" s="839"/>
      <c r="X298" s="839"/>
      <c r="Y298" s="839"/>
      <c r="Z298" s="844"/>
      <c r="AA298" s="845" t="n">
        <v>1</v>
      </c>
      <c r="AB298" s="846" t="s">
        <v>1069</v>
      </c>
      <c r="AC298" s="756" t="n">
        <v>4531.15</v>
      </c>
      <c r="AD298" s="846" t="str">
        <f aca="false">AB298</f>
        <v>Прочие амортизационные отчисления</v>
      </c>
      <c r="AE298" s="756" t="n">
        <v>0</v>
      </c>
      <c r="AF298" s="835"/>
      <c r="AG298" s="836"/>
      <c r="AH298" s="836"/>
      <c r="AI298" s="835"/>
      <c r="AJ298" s="836"/>
      <c r="AK298" s="836"/>
      <c r="AL298" s="809"/>
      <c r="AM298" s="132"/>
      <c r="AN298" s="132"/>
      <c r="AO298" s="132"/>
      <c r="AP298" s="132"/>
      <c r="AQ298" s="132"/>
      <c r="AR298" s="132"/>
      <c r="AS298" s="132"/>
      <c r="AT298" s="132"/>
      <c r="AU298" s="132"/>
      <c r="AV298" s="132"/>
      <c r="AW298" s="132"/>
      <c r="AX298" s="132"/>
      <c r="AY298" s="132"/>
      <c r="AZ298" s="132"/>
      <c r="BA298" s="132"/>
      <c r="BB298" s="132"/>
      <c r="BC298" s="132"/>
      <c r="BD298" s="132"/>
      <c r="BE298" s="132"/>
      <c r="BF298" s="132"/>
    </row>
    <row r="299" customFormat="false" ht="11.25" hidden="false" customHeight="true" outlineLevel="0" collapsed="false">
      <c r="A299" s="113" t="s">
        <v>1026</v>
      </c>
      <c r="E299" s="80"/>
      <c r="F299" s="810"/>
      <c r="G299" s="138"/>
      <c r="H299" s="811" t="s">
        <v>1149</v>
      </c>
      <c r="I299" s="831"/>
      <c r="J299" s="335"/>
      <c r="K299" s="333"/>
      <c r="L299" s="204"/>
      <c r="M299" s="198"/>
      <c r="N299" s="837"/>
      <c r="O299" s="838"/>
      <c r="P299" s="76"/>
      <c r="Q299" s="335"/>
      <c r="R299" s="839"/>
      <c r="S299" s="839"/>
      <c r="T299" s="839"/>
      <c r="U299" s="839"/>
      <c r="V299" s="839"/>
      <c r="W299" s="839"/>
      <c r="X299" s="839"/>
      <c r="Y299" s="839"/>
      <c r="Z299" s="840"/>
      <c r="AA299" s="841"/>
      <c r="AB299" s="161" t="s">
        <v>1071</v>
      </c>
      <c r="AC299" s="842"/>
      <c r="AD299" s="842"/>
      <c r="AE299" s="847"/>
      <c r="AF299" s="835"/>
      <c r="AG299" s="836"/>
      <c r="AH299" s="836"/>
      <c r="AI299" s="835"/>
      <c r="AJ299" s="836"/>
      <c r="AK299" s="836"/>
      <c r="AL299" s="809"/>
      <c r="AM299" s="132"/>
      <c r="AN299" s="132"/>
      <c r="AO299" s="132"/>
      <c r="AP299" s="132"/>
      <c r="AQ299" s="132"/>
      <c r="AR299" s="132"/>
      <c r="AS299" s="132"/>
      <c r="AT299" s="132"/>
      <c r="AU299" s="132"/>
      <c r="AV299" s="132"/>
      <c r="AW299" s="132"/>
      <c r="AX299" s="132"/>
      <c r="AY299" s="132"/>
      <c r="AZ299" s="132"/>
      <c r="BA299" s="132"/>
      <c r="BB299" s="132"/>
      <c r="BC299" s="132"/>
      <c r="BD299" s="132"/>
      <c r="BE299" s="132"/>
      <c r="BF299" s="132"/>
    </row>
    <row r="300" customFormat="false" ht="11.25" hidden="false" customHeight="true" outlineLevel="0" collapsed="false">
      <c r="A300" s="113" t="s">
        <v>1026</v>
      </c>
      <c r="E300" s="80"/>
      <c r="F300" s="810"/>
      <c r="G300" s="138"/>
      <c r="H300" s="811" t="s">
        <v>1149</v>
      </c>
      <c r="I300" s="831"/>
      <c r="J300" s="335"/>
      <c r="K300" s="333"/>
      <c r="L300" s="204"/>
      <c r="M300" s="198"/>
      <c r="N300" s="840"/>
      <c r="O300" s="841"/>
      <c r="P300" s="161" t="s">
        <v>1072</v>
      </c>
      <c r="Q300" s="841"/>
      <c r="R300" s="841"/>
      <c r="S300" s="841"/>
      <c r="T300" s="841"/>
      <c r="U300" s="841"/>
      <c r="V300" s="841"/>
      <c r="W300" s="841"/>
      <c r="X300" s="841"/>
      <c r="Y300" s="841"/>
      <c r="Z300" s="841"/>
      <c r="AA300" s="841"/>
      <c r="AB300" s="841"/>
      <c r="AC300" s="841"/>
      <c r="AD300" s="841"/>
      <c r="AE300" s="848"/>
      <c r="AF300" s="835"/>
      <c r="AG300" s="836"/>
      <c r="AH300" s="836"/>
      <c r="AI300" s="835"/>
      <c r="AJ300" s="836"/>
      <c r="AK300" s="836"/>
      <c r="AL300" s="809"/>
      <c r="AM300" s="132"/>
      <c r="AN300" s="132"/>
      <c r="AO300" s="132"/>
      <c r="AP300" s="132"/>
      <c r="AQ300" s="132"/>
      <c r="AR300" s="132"/>
      <c r="AS300" s="132"/>
      <c r="AT300" s="132"/>
      <c r="AU300" s="132"/>
      <c r="AV300" s="132"/>
      <c r="AW300" s="132"/>
      <c r="AX300" s="132"/>
      <c r="AY300" s="132"/>
      <c r="AZ300" s="132"/>
      <c r="BA300" s="132"/>
      <c r="BB300" s="132"/>
      <c r="BC300" s="132"/>
      <c r="BD300" s="132"/>
      <c r="BE300" s="132"/>
      <c r="BF300" s="132"/>
    </row>
    <row r="301" customFormat="false" ht="11.25" hidden="false" customHeight="true" outlineLevel="0" collapsed="false">
      <c r="A301" s="113" t="s">
        <v>1026</v>
      </c>
      <c r="E301" s="80"/>
      <c r="F301" s="810"/>
      <c r="G301" s="138" t="s">
        <v>103</v>
      </c>
      <c r="H301" s="811" t="s">
        <v>1150</v>
      </c>
      <c r="I301" s="831"/>
      <c r="J301" s="335"/>
      <c r="K301" s="333" t="s">
        <v>1139</v>
      </c>
      <c r="L301" s="204" t="s">
        <v>19</v>
      </c>
      <c r="M301" s="198"/>
      <c r="N301" s="832"/>
      <c r="O301" s="833" t="s">
        <v>389</v>
      </c>
      <c r="P301" s="834"/>
      <c r="Q301" s="834"/>
      <c r="R301" s="834"/>
      <c r="S301" s="834"/>
      <c r="T301" s="834"/>
      <c r="U301" s="834"/>
      <c r="V301" s="834"/>
      <c r="W301" s="834"/>
      <c r="X301" s="834"/>
      <c r="Y301" s="834"/>
      <c r="Z301" s="834"/>
      <c r="AA301" s="834"/>
      <c r="AB301" s="834"/>
      <c r="AC301" s="834"/>
      <c r="AD301" s="834"/>
      <c r="AE301" s="834"/>
      <c r="AF301" s="835" t="n">
        <v>2019</v>
      </c>
      <c r="AG301" s="836" t="s">
        <v>1059</v>
      </c>
      <c r="AH301" s="836" t="s">
        <v>1060</v>
      </c>
      <c r="AI301" s="835" t="n">
        <v>2019</v>
      </c>
      <c r="AJ301" s="836" t="s">
        <v>1061</v>
      </c>
      <c r="AK301" s="836" t="s">
        <v>1062</v>
      </c>
      <c r="AL301" s="809"/>
      <c r="AM301" s="132"/>
      <c r="AN301" s="132"/>
      <c r="AO301" s="132"/>
      <c r="AP301" s="132"/>
      <c r="AQ301" s="132"/>
      <c r="AR301" s="132"/>
      <c r="AS301" s="132"/>
      <c r="AT301" s="132"/>
      <c r="AU301" s="132"/>
      <c r="AV301" s="132"/>
      <c r="AW301" s="132"/>
      <c r="AX301" s="132"/>
      <c r="AY301" s="132"/>
      <c r="AZ301" s="132"/>
      <c r="BA301" s="132"/>
      <c r="BB301" s="132"/>
      <c r="BC301" s="132"/>
      <c r="BD301" s="132"/>
      <c r="BE301" s="132"/>
      <c r="BF301" s="132"/>
    </row>
    <row r="302" customFormat="false" ht="11.25" hidden="false" customHeight="true" outlineLevel="0" collapsed="false">
      <c r="A302" s="113" t="s">
        <v>1026</v>
      </c>
      <c r="E302" s="80"/>
      <c r="F302" s="810"/>
      <c r="G302" s="138"/>
      <c r="H302" s="811" t="s">
        <v>1150</v>
      </c>
      <c r="I302" s="831"/>
      <c r="J302" s="335"/>
      <c r="K302" s="333"/>
      <c r="L302" s="204"/>
      <c r="M302" s="198"/>
      <c r="N302" s="837"/>
      <c r="O302" s="838" t="n">
        <v>1</v>
      </c>
      <c r="P302" s="76" t="s">
        <v>61</v>
      </c>
      <c r="Q302" s="335" t="s">
        <v>1118</v>
      </c>
      <c r="R302" s="839" t="s">
        <v>1119</v>
      </c>
      <c r="S302" s="839" t="s">
        <v>111</v>
      </c>
      <c r="T302" s="839" t="s">
        <v>112</v>
      </c>
      <c r="U302" s="839" t="s">
        <v>113</v>
      </c>
      <c r="V302" s="839" t="s">
        <v>1120</v>
      </c>
      <c r="W302" s="839" t="s">
        <v>1121</v>
      </c>
      <c r="X302" s="839" t="s">
        <v>1122</v>
      </c>
      <c r="Y302" s="839" t="s">
        <v>1123</v>
      </c>
      <c r="Z302" s="840"/>
      <c r="AA302" s="841"/>
      <c r="AB302" s="841"/>
      <c r="AC302" s="842"/>
      <c r="AD302" s="842"/>
      <c r="AE302" s="843"/>
      <c r="AF302" s="835"/>
      <c r="AG302" s="836"/>
      <c r="AH302" s="836"/>
      <c r="AI302" s="835"/>
      <c r="AJ302" s="836"/>
      <c r="AK302" s="836"/>
      <c r="AL302" s="809"/>
      <c r="AM302" s="132"/>
      <c r="AN302" s="132"/>
      <c r="AO302" s="132"/>
      <c r="AP302" s="132"/>
      <c r="AQ302" s="132"/>
      <c r="AR302" s="132"/>
      <c r="AS302" s="132"/>
      <c r="AT302" s="132"/>
      <c r="AU302" s="132"/>
      <c r="AV302" s="132"/>
      <c r="AW302" s="132"/>
      <c r="AX302" s="132"/>
      <c r="AY302" s="132"/>
      <c r="AZ302" s="132"/>
      <c r="BA302" s="132"/>
      <c r="BB302" s="132"/>
      <c r="BC302" s="132"/>
      <c r="BD302" s="132"/>
      <c r="BE302" s="132"/>
      <c r="BF302" s="132"/>
    </row>
    <row r="303" customFormat="false" ht="11.25" hidden="false" customHeight="true" outlineLevel="0" collapsed="false">
      <c r="A303" s="113" t="s">
        <v>1026</v>
      </c>
      <c r="E303" s="80"/>
      <c r="F303" s="810"/>
      <c r="G303" s="138"/>
      <c r="H303" s="811" t="s">
        <v>1150</v>
      </c>
      <c r="I303" s="831"/>
      <c r="J303" s="335"/>
      <c r="K303" s="333"/>
      <c r="L303" s="204"/>
      <c r="M303" s="198"/>
      <c r="N303" s="837"/>
      <c r="O303" s="838"/>
      <c r="P303" s="76"/>
      <c r="Q303" s="335"/>
      <c r="R303" s="839"/>
      <c r="S303" s="839"/>
      <c r="T303" s="839"/>
      <c r="U303" s="839"/>
      <c r="V303" s="839"/>
      <c r="W303" s="839"/>
      <c r="X303" s="839"/>
      <c r="Y303" s="839"/>
      <c r="Z303" s="844"/>
      <c r="AA303" s="845" t="n">
        <v>1</v>
      </c>
      <c r="AB303" s="846" t="s">
        <v>1069</v>
      </c>
      <c r="AC303" s="756" t="n">
        <v>162.39</v>
      </c>
      <c r="AD303" s="846" t="str">
        <f aca="false">AB303</f>
        <v>Прочие амортизационные отчисления</v>
      </c>
      <c r="AE303" s="756" t="n">
        <v>0</v>
      </c>
      <c r="AF303" s="835"/>
      <c r="AG303" s="836"/>
      <c r="AH303" s="836"/>
      <c r="AI303" s="835"/>
      <c r="AJ303" s="836"/>
      <c r="AK303" s="836"/>
      <c r="AL303" s="809"/>
      <c r="AM303" s="132"/>
      <c r="AN303" s="132"/>
      <c r="AO303" s="132"/>
      <c r="AP303" s="132"/>
      <c r="AQ303" s="132"/>
      <c r="AR303" s="132"/>
      <c r="AS303" s="132"/>
      <c r="AT303" s="132"/>
      <c r="AU303" s="132"/>
      <c r="AV303" s="132"/>
      <c r="AW303" s="132"/>
      <c r="AX303" s="132"/>
      <c r="AY303" s="132"/>
      <c r="AZ303" s="132"/>
      <c r="BA303" s="132"/>
      <c r="BB303" s="132"/>
      <c r="BC303" s="132"/>
      <c r="BD303" s="132"/>
      <c r="BE303" s="132"/>
      <c r="BF303" s="132"/>
    </row>
    <row r="304" customFormat="false" ht="11.25" hidden="false" customHeight="true" outlineLevel="0" collapsed="false">
      <c r="A304" s="113" t="s">
        <v>1026</v>
      </c>
      <c r="E304" s="80"/>
      <c r="F304" s="810"/>
      <c r="G304" s="138"/>
      <c r="H304" s="811" t="s">
        <v>1150</v>
      </c>
      <c r="I304" s="831"/>
      <c r="J304" s="335"/>
      <c r="K304" s="333"/>
      <c r="L304" s="204"/>
      <c r="M304" s="198"/>
      <c r="N304" s="837"/>
      <c r="O304" s="838"/>
      <c r="P304" s="76"/>
      <c r="Q304" s="335"/>
      <c r="R304" s="839"/>
      <c r="S304" s="839"/>
      <c r="T304" s="839"/>
      <c r="U304" s="839"/>
      <c r="V304" s="839"/>
      <c r="W304" s="839"/>
      <c r="X304" s="839"/>
      <c r="Y304" s="839"/>
      <c r="Z304" s="840"/>
      <c r="AA304" s="841"/>
      <c r="AB304" s="161" t="s">
        <v>1071</v>
      </c>
      <c r="AC304" s="842"/>
      <c r="AD304" s="842"/>
      <c r="AE304" s="847"/>
      <c r="AF304" s="835"/>
      <c r="AG304" s="836"/>
      <c r="AH304" s="836"/>
      <c r="AI304" s="835"/>
      <c r="AJ304" s="836"/>
      <c r="AK304" s="836"/>
      <c r="AL304" s="809"/>
      <c r="AM304" s="132"/>
      <c r="AN304" s="132"/>
      <c r="AO304" s="132"/>
      <c r="AP304" s="132"/>
      <c r="AQ304" s="132"/>
      <c r="AR304" s="132"/>
      <c r="AS304" s="132"/>
      <c r="AT304" s="132"/>
      <c r="AU304" s="132"/>
      <c r="AV304" s="132"/>
      <c r="AW304" s="132"/>
      <c r="AX304" s="132"/>
      <c r="AY304" s="132"/>
      <c r="AZ304" s="132"/>
      <c r="BA304" s="132"/>
      <c r="BB304" s="132"/>
      <c r="BC304" s="132"/>
      <c r="BD304" s="132"/>
      <c r="BE304" s="132"/>
      <c r="BF304" s="132"/>
    </row>
    <row r="305" customFormat="false" ht="11.25" hidden="false" customHeight="true" outlineLevel="0" collapsed="false">
      <c r="A305" s="113" t="s">
        <v>1026</v>
      </c>
      <c r="E305" s="80"/>
      <c r="F305" s="810"/>
      <c r="G305" s="138"/>
      <c r="H305" s="811" t="s">
        <v>1150</v>
      </c>
      <c r="I305" s="831"/>
      <c r="J305" s="335"/>
      <c r="K305" s="333"/>
      <c r="L305" s="204"/>
      <c r="M305" s="198"/>
      <c r="N305" s="840"/>
      <c r="O305" s="841"/>
      <c r="P305" s="161" t="s">
        <v>1072</v>
      </c>
      <c r="Q305" s="841"/>
      <c r="R305" s="841"/>
      <c r="S305" s="841"/>
      <c r="T305" s="841"/>
      <c r="U305" s="841"/>
      <c r="V305" s="841"/>
      <c r="W305" s="841"/>
      <c r="X305" s="841"/>
      <c r="Y305" s="841"/>
      <c r="Z305" s="841"/>
      <c r="AA305" s="841"/>
      <c r="AB305" s="841"/>
      <c r="AC305" s="841"/>
      <c r="AD305" s="841"/>
      <c r="AE305" s="848"/>
      <c r="AF305" s="835"/>
      <c r="AG305" s="836"/>
      <c r="AH305" s="836"/>
      <c r="AI305" s="835"/>
      <c r="AJ305" s="836"/>
      <c r="AK305" s="836"/>
      <c r="AL305" s="809"/>
      <c r="AM305" s="132"/>
      <c r="AN305" s="132"/>
      <c r="AO305" s="132"/>
      <c r="AP305" s="132"/>
      <c r="AQ305" s="132"/>
      <c r="AR305" s="132"/>
      <c r="AS305" s="132"/>
      <c r="AT305" s="132"/>
      <c r="AU305" s="132"/>
      <c r="AV305" s="132"/>
      <c r="AW305" s="132"/>
      <c r="AX305" s="132"/>
      <c r="AY305" s="132"/>
      <c r="AZ305" s="132"/>
      <c r="BA305" s="132"/>
      <c r="BB305" s="132"/>
      <c r="BC305" s="132"/>
      <c r="BD305" s="132"/>
      <c r="BE305" s="132"/>
      <c r="BF305" s="132"/>
    </row>
    <row r="306" customFormat="false" ht="11.25" hidden="false" customHeight="true" outlineLevel="0" collapsed="false">
      <c r="A306" s="113" t="s">
        <v>1026</v>
      </c>
      <c r="E306" s="80"/>
      <c r="F306" s="810"/>
      <c r="G306" s="138" t="s">
        <v>103</v>
      </c>
      <c r="H306" s="811" t="s">
        <v>1151</v>
      </c>
      <c r="I306" s="831"/>
      <c r="J306" s="335"/>
      <c r="K306" s="333" t="s">
        <v>1127</v>
      </c>
      <c r="L306" s="204" t="s">
        <v>19</v>
      </c>
      <c r="M306" s="198"/>
      <c r="N306" s="832"/>
      <c r="O306" s="833" t="s">
        <v>389</v>
      </c>
      <c r="P306" s="834"/>
      <c r="Q306" s="834"/>
      <c r="R306" s="834"/>
      <c r="S306" s="834"/>
      <c r="T306" s="834"/>
      <c r="U306" s="834"/>
      <c r="V306" s="834"/>
      <c r="W306" s="834"/>
      <c r="X306" s="834"/>
      <c r="Y306" s="834"/>
      <c r="Z306" s="834"/>
      <c r="AA306" s="834"/>
      <c r="AB306" s="834"/>
      <c r="AC306" s="834"/>
      <c r="AD306" s="834"/>
      <c r="AE306" s="834"/>
      <c r="AF306" s="835" t="n">
        <v>2019</v>
      </c>
      <c r="AG306" s="836" t="s">
        <v>1059</v>
      </c>
      <c r="AH306" s="836" t="s">
        <v>1060</v>
      </c>
      <c r="AI306" s="835" t="n">
        <v>2019</v>
      </c>
      <c r="AJ306" s="836" t="s">
        <v>1079</v>
      </c>
      <c r="AK306" s="836" t="s">
        <v>1062</v>
      </c>
      <c r="AL306" s="809"/>
      <c r="AM306" s="132"/>
      <c r="AN306" s="132"/>
      <c r="AO306" s="132"/>
      <c r="AP306" s="132"/>
      <c r="AQ306" s="132"/>
      <c r="AR306" s="132"/>
      <c r="AS306" s="132"/>
      <c r="AT306" s="132"/>
      <c r="AU306" s="132"/>
      <c r="AV306" s="132"/>
      <c r="AW306" s="132"/>
      <c r="AX306" s="132"/>
      <c r="AY306" s="132"/>
      <c r="AZ306" s="132"/>
      <c r="BA306" s="132"/>
      <c r="BB306" s="132"/>
      <c r="BC306" s="132"/>
      <c r="BD306" s="132"/>
      <c r="BE306" s="132"/>
      <c r="BF306" s="132"/>
    </row>
    <row r="307" customFormat="false" ht="11.25" hidden="false" customHeight="true" outlineLevel="0" collapsed="false">
      <c r="A307" s="113" t="s">
        <v>1026</v>
      </c>
      <c r="E307" s="80"/>
      <c r="F307" s="810"/>
      <c r="G307" s="138"/>
      <c r="H307" s="811" t="s">
        <v>1151</v>
      </c>
      <c r="I307" s="831"/>
      <c r="J307" s="335"/>
      <c r="K307" s="333"/>
      <c r="L307" s="204"/>
      <c r="M307" s="198"/>
      <c r="N307" s="837"/>
      <c r="O307" s="838" t="n">
        <v>1</v>
      </c>
      <c r="P307" s="76" t="s">
        <v>61</v>
      </c>
      <c r="Q307" s="335" t="s">
        <v>1118</v>
      </c>
      <c r="R307" s="839" t="s">
        <v>1119</v>
      </c>
      <c r="S307" s="839" t="s">
        <v>111</v>
      </c>
      <c r="T307" s="839" t="s">
        <v>112</v>
      </c>
      <c r="U307" s="839" t="s">
        <v>113</v>
      </c>
      <c r="V307" s="839" t="s">
        <v>1120</v>
      </c>
      <c r="W307" s="839" t="s">
        <v>1121</v>
      </c>
      <c r="X307" s="839" t="s">
        <v>1122</v>
      </c>
      <c r="Y307" s="839" t="s">
        <v>1123</v>
      </c>
      <c r="Z307" s="840"/>
      <c r="AA307" s="841"/>
      <c r="AB307" s="841"/>
      <c r="AC307" s="842"/>
      <c r="AD307" s="842"/>
      <c r="AE307" s="843"/>
      <c r="AF307" s="835"/>
      <c r="AG307" s="836"/>
      <c r="AH307" s="836"/>
      <c r="AI307" s="835"/>
      <c r="AJ307" s="836"/>
      <c r="AK307" s="836"/>
      <c r="AL307" s="809"/>
      <c r="AM307" s="132"/>
      <c r="AN307" s="132"/>
      <c r="AO307" s="132"/>
      <c r="AP307" s="132"/>
      <c r="AQ307" s="132"/>
      <c r="AR307" s="132"/>
      <c r="AS307" s="132"/>
      <c r="AT307" s="132"/>
      <c r="AU307" s="132"/>
      <c r="AV307" s="132"/>
      <c r="AW307" s="132"/>
      <c r="AX307" s="132"/>
      <c r="AY307" s="132"/>
      <c r="AZ307" s="132"/>
      <c r="BA307" s="132"/>
      <c r="BB307" s="132"/>
      <c r="BC307" s="132"/>
      <c r="BD307" s="132"/>
      <c r="BE307" s="132"/>
      <c r="BF307" s="132"/>
    </row>
    <row r="308" customFormat="false" ht="11.25" hidden="false" customHeight="true" outlineLevel="0" collapsed="false">
      <c r="A308" s="113" t="s">
        <v>1026</v>
      </c>
      <c r="E308" s="80"/>
      <c r="F308" s="810"/>
      <c r="G308" s="138"/>
      <c r="H308" s="811" t="s">
        <v>1151</v>
      </c>
      <c r="I308" s="831"/>
      <c r="J308" s="335"/>
      <c r="K308" s="333"/>
      <c r="L308" s="204"/>
      <c r="M308" s="198"/>
      <c r="N308" s="837"/>
      <c r="O308" s="838"/>
      <c r="P308" s="76"/>
      <c r="Q308" s="335"/>
      <c r="R308" s="839"/>
      <c r="S308" s="839"/>
      <c r="T308" s="839"/>
      <c r="U308" s="839"/>
      <c r="V308" s="839"/>
      <c r="W308" s="839"/>
      <c r="X308" s="839"/>
      <c r="Y308" s="839"/>
      <c r="Z308" s="844"/>
      <c r="AA308" s="845" t="n">
        <v>1</v>
      </c>
      <c r="AB308" s="846" t="s">
        <v>1069</v>
      </c>
      <c r="AC308" s="756" t="n">
        <v>1306.91</v>
      </c>
      <c r="AD308" s="846" t="str">
        <f aca="false">AB308</f>
        <v>Прочие амортизационные отчисления</v>
      </c>
      <c r="AE308" s="756" t="n">
        <v>0</v>
      </c>
      <c r="AF308" s="835"/>
      <c r="AG308" s="836"/>
      <c r="AH308" s="836"/>
      <c r="AI308" s="835"/>
      <c r="AJ308" s="836"/>
      <c r="AK308" s="836"/>
      <c r="AL308" s="809"/>
      <c r="AM308" s="132"/>
      <c r="AN308" s="132"/>
      <c r="AO308" s="132"/>
      <c r="AP308" s="132"/>
      <c r="AQ308" s="132"/>
      <c r="AR308" s="132"/>
      <c r="AS308" s="132"/>
      <c r="AT308" s="132"/>
      <c r="AU308" s="132"/>
      <c r="AV308" s="132"/>
      <c r="AW308" s="132"/>
      <c r="AX308" s="132"/>
      <c r="AY308" s="132"/>
      <c r="AZ308" s="132"/>
      <c r="BA308" s="132"/>
      <c r="BB308" s="132"/>
      <c r="BC308" s="132"/>
      <c r="BD308" s="132"/>
      <c r="BE308" s="132"/>
      <c r="BF308" s="132"/>
    </row>
    <row r="309" customFormat="false" ht="11.25" hidden="false" customHeight="true" outlineLevel="0" collapsed="false">
      <c r="A309" s="113" t="s">
        <v>1026</v>
      </c>
      <c r="E309" s="80"/>
      <c r="F309" s="810"/>
      <c r="G309" s="138"/>
      <c r="H309" s="811" t="s">
        <v>1151</v>
      </c>
      <c r="I309" s="831"/>
      <c r="J309" s="335"/>
      <c r="K309" s="333"/>
      <c r="L309" s="204"/>
      <c r="M309" s="198"/>
      <c r="N309" s="837"/>
      <c r="O309" s="838"/>
      <c r="P309" s="76"/>
      <c r="Q309" s="335"/>
      <c r="R309" s="839"/>
      <c r="S309" s="839"/>
      <c r="T309" s="839"/>
      <c r="U309" s="839"/>
      <c r="V309" s="839"/>
      <c r="W309" s="839"/>
      <c r="X309" s="839"/>
      <c r="Y309" s="839"/>
      <c r="Z309" s="840"/>
      <c r="AA309" s="841"/>
      <c r="AB309" s="161" t="s">
        <v>1071</v>
      </c>
      <c r="AC309" s="842"/>
      <c r="AD309" s="842"/>
      <c r="AE309" s="847"/>
      <c r="AF309" s="835"/>
      <c r="AG309" s="836"/>
      <c r="AH309" s="836"/>
      <c r="AI309" s="835"/>
      <c r="AJ309" s="836"/>
      <c r="AK309" s="836"/>
      <c r="AL309" s="809"/>
      <c r="AM309" s="132"/>
      <c r="AN309" s="132"/>
      <c r="AO309" s="132"/>
      <c r="AP309" s="132"/>
      <c r="AQ309" s="132"/>
      <c r="AR309" s="132"/>
      <c r="AS309" s="132"/>
      <c r="AT309" s="132"/>
      <c r="AU309" s="132"/>
      <c r="AV309" s="132"/>
      <c r="AW309" s="132"/>
      <c r="AX309" s="132"/>
      <c r="AY309" s="132"/>
      <c r="AZ309" s="132"/>
      <c r="BA309" s="132"/>
      <c r="BB309" s="132"/>
      <c r="BC309" s="132"/>
      <c r="BD309" s="132"/>
      <c r="BE309" s="132"/>
      <c r="BF309" s="132"/>
    </row>
    <row r="310" customFormat="false" ht="11.25" hidden="false" customHeight="true" outlineLevel="0" collapsed="false">
      <c r="A310" s="113" t="s">
        <v>1026</v>
      </c>
      <c r="E310" s="80"/>
      <c r="F310" s="810"/>
      <c r="G310" s="138"/>
      <c r="H310" s="811" t="s">
        <v>1151</v>
      </c>
      <c r="I310" s="831"/>
      <c r="J310" s="335"/>
      <c r="K310" s="333"/>
      <c r="L310" s="204"/>
      <c r="M310" s="198"/>
      <c r="N310" s="840"/>
      <c r="O310" s="841"/>
      <c r="P310" s="161" t="s">
        <v>1072</v>
      </c>
      <c r="Q310" s="841"/>
      <c r="R310" s="841"/>
      <c r="S310" s="841"/>
      <c r="T310" s="841"/>
      <c r="U310" s="841"/>
      <c r="V310" s="841"/>
      <c r="W310" s="841"/>
      <c r="X310" s="841"/>
      <c r="Y310" s="841"/>
      <c r="Z310" s="841"/>
      <c r="AA310" s="841"/>
      <c r="AB310" s="841"/>
      <c r="AC310" s="841"/>
      <c r="AD310" s="841"/>
      <c r="AE310" s="848"/>
      <c r="AF310" s="835"/>
      <c r="AG310" s="836"/>
      <c r="AH310" s="836"/>
      <c r="AI310" s="835"/>
      <c r="AJ310" s="836"/>
      <c r="AK310" s="836"/>
      <c r="AL310" s="809"/>
      <c r="AM310" s="132"/>
      <c r="AN310" s="132"/>
      <c r="AO310" s="132"/>
      <c r="AP310" s="132"/>
      <c r="AQ310" s="132"/>
      <c r="AR310" s="132"/>
      <c r="AS310" s="132"/>
      <c r="AT310" s="132"/>
      <c r="AU310" s="132"/>
      <c r="AV310" s="132"/>
      <c r="AW310" s="132"/>
      <c r="AX310" s="132"/>
      <c r="AY310" s="132"/>
      <c r="AZ310" s="132"/>
      <c r="BA310" s="132"/>
      <c r="BB310" s="132"/>
      <c r="BC310" s="132"/>
      <c r="BD310" s="132"/>
      <c r="BE310" s="132"/>
      <c r="BF310" s="132"/>
    </row>
    <row r="311" customFormat="false" ht="11.25" hidden="false" customHeight="true" outlineLevel="0" collapsed="false">
      <c r="A311" s="113" t="s">
        <v>1026</v>
      </c>
      <c r="E311" s="80"/>
      <c r="F311" s="810"/>
      <c r="G311" s="138" t="s">
        <v>103</v>
      </c>
      <c r="H311" s="811" t="s">
        <v>1152</v>
      </c>
      <c r="I311" s="831"/>
      <c r="J311" s="335"/>
      <c r="K311" s="333" t="s">
        <v>1129</v>
      </c>
      <c r="L311" s="204" t="s">
        <v>19</v>
      </c>
      <c r="M311" s="198"/>
      <c r="N311" s="832"/>
      <c r="O311" s="833" t="s">
        <v>389</v>
      </c>
      <c r="P311" s="834"/>
      <c r="Q311" s="834"/>
      <c r="R311" s="834"/>
      <c r="S311" s="834"/>
      <c r="T311" s="834"/>
      <c r="U311" s="834"/>
      <c r="V311" s="834"/>
      <c r="W311" s="834"/>
      <c r="X311" s="834"/>
      <c r="Y311" s="834"/>
      <c r="Z311" s="834"/>
      <c r="AA311" s="834"/>
      <c r="AB311" s="834"/>
      <c r="AC311" s="834"/>
      <c r="AD311" s="834"/>
      <c r="AE311" s="834"/>
      <c r="AF311" s="835" t="n">
        <v>2019</v>
      </c>
      <c r="AG311" s="836" t="s">
        <v>1059</v>
      </c>
      <c r="AH311" s="836" t="s">
        <v>1060</v>
      </c>
      <c r="AI311" s="835" t="n">
        <v>2019</v>
      </c>
      <c r="AJ311" s="836" t="s">
        <v>1061</v>
      </c>
      <c r="AK311" s="836" t="s">
        <v>1062</v>
      </c>
      <c r="AL311" s="809"/>
      <c r="AM311" s="132"/>
      <c r="AN311" s="132"/>
      <c r="AO311" s="132"/>
      <c r="AP311" s="132"/>
      <c r="AQ311" s="132"/>
      <c r="AR311" s="132"/>
      <c r="AS311" s="132"/>
      <c r="AT311" s="132"/>
      <c r="AU311" s="132"/>
      <c r="AV311" s="132"/>
      <c r="AW311" s="132"/>
      <c r="AX311" s="132"/>
      <c r="AY311" s="132"/>
      <c r="AZ311" s="132"/>
      <c r="BA311" s="132"/>
      <c r="BB311" s="132"/>
      <c r="BC311" s="132"/>
      <c r="BD311" s="132"/>
      <c r="BE311" s="132"/>
      <c r="BF311" s="132"/>
    </row>
    <row r="312" customFormat="false" ht="11.25" hidden="false" customHeight="true" outlineLevel="0" collapsed="false">
      <c r="A312" s="113" t="s">
        <v>1026</v>
      </c>
      <c r="E312" s="80"/>
      <c r="F312" s="810"/>
      <c r="G312" s="138"/>
      <c r="H312" s="811" t="s">
        <v>1152</v>
      </c>
      <c r="I312" s="831"/>
      <c r="J312" s="335"/>
      <c r="K312" s="333"/>
      <c r="L312" s="204"/>
      <c r="M312" s="198"/>
      <c r="N312" s="837"/>
      <c r="O312" s="838" t="n">
        <v>1</v>
      </c>
      <c r="P312" s="76" t="s">
        <v>61</v>
      </c>
      <c r="Q312" s="335" t="s">
        <v>1118</v>
      </c>
      <c r="R312" s="839" t="s">
        <v>1119</v>
      </c>
      <c r="S312" s="839" t="s">
        <v>111</v>
      </c>
      <c r="T312" s="839" t="s">
        <v>112</v>
      </c>
      <c r="U312" s="839" t="s">
        <v>113</v>
      </c>
      <c r="V312" s="839" t="s">
        <v>1120</v>
      </c>
      <c r="W312" s="839" t="s">
        <v>1121</v>
      </c>
      <c r="X312" s="839" t="s">
        <v>1122</v>
      </c>
      <c r="Y312" s="839" t="s">
        <v>1123</v>
      </c>
      <c r="Z312" s="840"/>
      <c r="AA312" s="841"/>
      <c r="AB312" s="841"/>
      <c r="AC312" s="842"/>
      <c r="AD312" s="842"/>
      <c r="AE312" s="843"/>
      <c r="AF312" s="835"/>
      <c r="AG312" s="836"/>
      <c r="AH312" s="836"/>
      <c r="AI312" s="835"/>
      <c r="AJ312" s="836"/>
      <c r="AK312" s="836"/>
      <c r="AL312" s="809"/>
      <c r="AM312" s="132"/>
      <c r="AN312" s="132"/>
      <c r="AO312" s="132"/>
      <c r="AP312" s="132"/>
      <c r="AQ312" s="132"/>
      <c r="AR312" s="132"/>
      <c r="AS312" s="132"/>
      <c r="AT312" s="132"/>
      <c r="AU312" s="132"/>
      <c r="AV312" s="132"/>
      <c r="AW312" s="132"/>
      <c r="AX312" s="132"/>
      <c r="AY312" s="132"/>
      <c r="AZ312" s="132"/>
      <c r="BA312" s="132"/>
      <c r="BB312" s="132"/>
      <c r="BC312" s="132"/>
      <c r="BD312" s="132"/>
      <c r="BE312" s="132"/>
      <c r="BF312" s="132"/>
    </row>
    <row r="313" customFormat="false" ht="11.25" hidden="false" customHeight="true" outlineLevel="0" collapsed="false">
      <c r="A313" s="113" t="s">
        <v>1026</v>
      </c>
      <c r="E313" s="80"/>
      <c r="F313" s="810"/>
      <c r="G313" s="138"/>
      <c r="H313" s="811" t="s">
        <v>1152</v>
      </c>
      <c r="I313" s="831"/>
      <c r="J313" s="335"/>
      <c r="K313" s="333"/>
      <c r="L313" s="204"/>
      <c r="M313" s="198"/>
      <c r="N313" s="837"/>
      <c r="O313" s="838"/>
      <c r="P313" s="76"/>
      <c r="Q313" s="335"/>
      <c r="R313" s="839"/>
      <c r="S313" s="839"/>
      <c r="T313" s="839"/>
      <c r="U313" s="839"/>
      <c r="V313" s="839"/>
      <c r="W313" s="839"/>
      <c r="X313" s="839"/>
      <c r="Y313" s="839"/>
      <c r="Z313" s="844"/>
      <c r="AA313" s="845" t="n">
        <v>1</v>
      </c>
      <c r="AB313" s="846" t="s">
        <v>1069</v>
      </c>
      <c r="AC313" s="756" t="n">
        <v>629.7</v>
      </c>
      <c r="AD313" s="846" t="str">
        <f aca="false">AB313</f>
        <v>Прочие амортизационные отчисления</v>
      </c>
      <c r="AE313" s="756" t="n">
        <v>0</v>
      </c>
      <c r="AF313" s="835"/>
      <c r="AG313" s="836"/>
      <c r="AH313" s="836"/>
      <c r="AI313" s="835"/>
      <c r="AJ313" s="836"/>
      <c r="AK313" s="836"/>
      <c r="AL313" s="809"/>
      <c r="AM313" s="132"/>
      <c r="AN313" s="132"/>
      <c r="AO313" s="132"/>
      <c r="AP313" s="132"/>
      <c r="AQ313" s="132"/>
      <c r="AR313" s="132"/>
      <c r="AS313" s="132"/>
      <c r="AT313" s="132"/>
      <c r="AU313" s="132"/>
      <c r="AV313" s="132"/>
      <c r="AW313" s="132"/>
      <c r="AX313" s="132"/>
      <c r="AY313" s="132"/>
      <c r="AZ313" s="132"/>
      <c r="BA313" s="132"/>
      <c r="BB313" s="132"/>
      <c r="BC313" s="132"/>
      <c r="BD313" s="132"/>
      <c r="BE313" s="132"/>
      <c r="BF313" s="132"/>
    </row>
    <row r="314" customFormat="false" ht="11.25" hidden="false" customHeight="true" outlineLevel="0" collapsed="false">
      <c r="A314" s="113" t="s">
        <v>1026</v>
      </c>
      <c r="E314" s="80"/>
      <c r="F314" s="810"/>
      <c r="G314" s="138"/>
      <c r="H314" s="811" t="s">
        <v>1152</v>
      </c>
      <c r="I314" s="831"/>
      <c r="J314" s="335"/>
      <c r="K314" s="333"/>
      <c r="L314" s="204"/>
      <c r="M314" s="198"/>
      <c r="N314" s="837"/>
      <c r="O314" s="838"/>
      <c r="P314" s="76"/>
      <c r="Q314" s="335"/>
      <c r="R314" s="839"/>
      <c r="S314" s="839"/>
      <c r="T314" s="839"/>
      <c r="U314" s="839"/>
      <c r="V314" s="839"/>
      <c r="W314" s="839"/>
      <c r="X314" s="839"/>
      <c r="Y314" s="839"/>
      <c r="Z314" s="840"/>
      <c r="AA314" s="841"/>
      <c r="AB314" s="161" t="s">
        <v>1071</v>
      </c>
      <c r="AC314" s="842"/>
      <c r="AD314" s="842"/>
      <c r="AE314" s="847"/>
      <c r="AF314" s="835"/>
      <c r="AG314" s="836"/>
      <c r="AH314" s="836"/>
      <c r="AI314" s="835"/>
      <c r="AJ314" s="836"/>
      <c r="AK314" s="836"/>
      <c r="AL314" s="809"/>
      <c r="AM314" s="132"/>
      <c r="AN314" s="132"/>
      <c r="AO314" s="132"/>
      <c r="AP314" s="132"/>
      <c r="AQ314" s="132"/>
      <c r="AR314" s="132"/>
      <c r="AS314" s="132"/>
      <c r="AT314" s="132"/>
      <c r="AU314" s="132"/>
      <c r="AV314" s="132"/>
      <c r="AW314" s="132"/>
      <c r="AX314" s="132"/>
      <c r="AY314" s="132"/>
      <c r="AZ314" s="132"/>
      <c r="BA314" s="132"/>
      <c r="BB314" s="132"/>
      <c r="BC314" s="132"/>
      <c r="BD314" s="132"/>
      <c r="BE314" s="132"/>
      <c r="BF314" s="132"/>
    </row>
    <row r="315" customFormat="false" ht="11.25" hidden="false" customHeight="true" outlineLevel="0" collapsed="false">
      <c r="A315" s="113" t="s">
        <v>1026</v>
      </c>
      <c r="E315" s="80"/>
      <c r="F315" s="810"/>
      <c r="G315" s="138"/>
      <c r="H315" s="811" t="s">
        <v>1152</v>
      </c>
      <c r="I315" s="831"/>
      <c r="J315" s="335"/>
      <c r="K315" s="333"/>
      <c r="L315" s="204"/>
      <c r="M315" s="198"/>
      <c r="N315" s="840"/>
      <c r="O315" s="841"/>
      <c r="P315" s="161" t="s">
        <v>1072</v>
      </c>
      <c r="Q315" s="841"/>
      <c r="R315" s="841"/>
      <c r="S315" s="841"/>
      <c r="T315" s="841"/>
      <c r="U315" s="841"/>
      <c r="V315" s="841"/>
      <c r="W315" s="841"/>
      <c r="X315" s="841"/>
      <c r="Y315" s="841"/>
      <c r="Z315" s="841"/>
      <c r="AA315" s="841"/>
      <c r="AB315" s="841"/>
      <c r="AC315" s="841"/>
      <c r="AD315" s="841"/>
      <c r="AE315" s="848"/>
      <c r="AF315" s="835"/>
      <c r="AG315" s="836"/>
      <c r="AH315" s="836"/>
      <c r="AI315" s="835"/>
      <c r="AJ315" s="836"/>
      <c r="AK315" s="836"/>
      <c r="AL315" s="809"/>
      <c r="AM315" s="132"/>
      <c r="AN315" s="132"/>
      <c r="AO315" s="132"/>
      <c r="AP315" s="132"/>
      <c r="AQ315" s="132"/>
      <c r="AR315" s="132"/>
      <c r="AS315" s="132"/>
      <c r="AT315" s="132"/>
      <c r="AU315" s="132"/>
      <c r="AV315" s="132"/>
      <c r="AW315" s="132"/>
      <c r="AX315" s="132"/>
      <c r="AY315" s="132"/>
      <c r="AZ315" s="132"/>
      <c r="BA315" s="132"/>
      <c r="BB315" s="132"/>
      <c r="BC315" s="132"/>
      <c r="BD315" s="132"/>
      <c r="BE315" s="132"/>
      <c r="BF315" s="132"/>
    </row>
    <row r="316" customFormat="false" ht="11.25" hidden="false" customHeight="true" outlineLevel="0" collapsed="false">
      <c r="A316" s="113" t="s">
        <v>1026</v>
      </c>
      <c r="E316" s="80"/>
      <c r="F316" s="810"/>
      <c r="G316" s="138" t="s">
        <v>103</v>
      </c>
      <c r="H316" s="811" t="s">
        <v>1153</v>
      </c>
      <c r="I316" s="831"/>
      <c r="J316" s="335"/>
      <c r="K316" s="333" t="s">
        <v>1131</v>
      </c>
      <c r="L316" s="204" t="s">
        <v>19</v>
      </c>
      <c r="M316" s="198"/>
      <c r="N316" s="832"/>
      <c r="O316" s="833" t="s">
        <v>389</v>
      </c>
      <c r="P316" s="834"/>
      <c r="Q316" s="834"/>
      <c r="R316" s="834"/>
      <c r="S316" s="834"/>
      <c r="T316" s="834"/>
      <c r="U316" s="834"/>
      <c r="V316" s="834"/>
      <c r="W316" s="834"/>
      <c r="X316" s="834"/>
      <c r="Y316" s="834"/>
      <c r="Z316" s="834"/>
      <c r="AA316" s="834"/>
      <c r="AB316" s="834"/>
      <c r="AC316" s="834"/>
      <c r="AD316" s="834"/>
      <c r="AE316" s="834"/>
      <c r="AF316" s="835" t="n">
        <v>2019</v>
      </c>
      <c r="AG316" s="836" t="s">
        <v>1059</v>
      </c>
      <c r="AH316" s="836" t="s">
        <v>1060</v>
      </c>
      <c r="AI316" s="835" t="n">
        <v>2019</v>
      </c>
      <c r="AJ316" s="836" t="s">
        <v>1061</v>
      </c>
      <c r="AK316" s="836" t="s">
        <v>1062</v>
      </c>
      <c r="AL316" s="809"/>
      <c r="AM316" s="132"/>
      <c r="AN316" s="132"/>
      <c r="AO316" s="132"/>
      <c r="AP316" s="132"/>
      <c r="AQ316" s="132"/>
      <c r="AR316" s="132"/>
      <c r="AS316" s="132"/>
      <c r="AT316" s="132"/>
      <c r="AU316" s="132"/>
      <c r="AV316" s="132"/>
      <c r="AW316" s="132"/>
      <c r="AX316" s="132"/>
      <c r="AY316" s="132"/>
      <c r="AZ316" s="132"/>
      <c r="BA316" s="132"/>
      <c r="BB316" s="132"/>
      <c r="BC316" s="132"/>
      <c r="BD316" s="132"/>
      <c r="BE316" s="132"/>
      <c r="BF316" s="132"/>
    </row>
    <row r="317" customFormat="false" ht="11.25" hidden="false" customHeight="true" outlineLevel="0" collapsed="false">
      <c r="A317" s="113" t="s">
        <v>1026</v>
      </c>
      <c r="E317" s="80"/>
      <c r="F317" s="810"/>
      <c r="G317" s="138"/>
      <c r="H317" s="811" t="s">
        <v>1153</v>
      </c>
      <c r="I317" s="831"/>
      <c r="J317" s="335"/>
      <c r="K317" s="333"/>
      <c r="L317" s="204"/>
      <c r="M317" s="198"/>
      <c r="N317" s="837"/>
      <c r="O317" s="838" t="n">
        <v>1</v>
      </c>
      <c r="P317" s="76" t="s">
        <v>61</v>
      </c>
      <c r="Q317" s="335" t="s">
        <v>1118</v>
      </c>
      <c r="R317" s="839" t="s">
        <v>1119</v>
      </c>
      <c r="S317" s="839" t="s">
        <v>111</v>
      </c>
      <c r="T317" s="839" t="s">
        <v>112</v>
      </c>
      <c r="U317" s="839" t="s">
        <v>113</v>
      </c>
      <c r="V317" s="839" t="s">
        <v>1120</v>
      </c>
      <c r="W317" s="839" t="s">
        <v>1121</v>
      </c>
      <c r="X317" s="839" t="s">
        <v>1122</v>
      </c>
      <c r="Y317" s="839" t="s">
        <v>1123</v>
      </c>
      <c r="Z317" s="840"/>
      <c r="AA317" s="841"/>
      <c r="AB317" s="841"/>
      <c r="AC317" s="842"/>
      <c r="AD317" s="842"/>
      <c r="AE317" s="843"/>
      <c r="AF317" s="835"/>
      <c r="AG317" s="836"/>
      <c r="AH317" s="836"/>
      <c r="AI317" s="835"/>
      <c r="AJ317" s="836"/>
      <c r="AK317" s="836"/>
      <c r="AL317" s="809"/>
      <c r="AM317" s="132"/>
      <c r="AN317" s="132"/>
      <c r="AO317" s="132"/>
      <c r="AP317" s="132"/>
      <c r="AQ317" s="132"/>
      <c r="AR317" s="132"/>
      <c r="AS317" s="132"/>
      <c r="AT317" s="132"/>
      <c r="AU317" s="132"/>
      <c r="AV317" s="132"/>
      <c r="AW317" s="132"/>
      <c r="AX317" s="132"/>
      <c r="AY317" s="132"/>
      <c r="AZ317" s="132"/>
      <c r="BA317" s="132"/>
      <c r="BB317" s="132"/>
      <c r="BC317" s="132"/>
      <c r="BD317" s="132"/>
      <c r="BE317" s="132"/>
      <c r="BF317" s="132"/>
    </row>
    <row r="318" customFormat="false" ht="11.25" hidden="false" customHeight="true" outlineLevel="0" collapsed="false">
      <c r="A318" s="113" t="s">
        <v>1026</v>
      </c>
      <c r="E318" s="80"/>
      <c r="F318" s="810"/>
      <c r="G318" s="138"/>
      <c r="H318" s="811" t="s">
        <v>1153</v>
      </c>
      <c r="I318" s="831"/>
      <c r="J318" s="335"/>
      <c r="K318" s="333"/>
      <c r="L318" s="204"/>
      <c r="M318" s="198"/>
      <c r="N318" s="837"/>
      <c r="O318" s="838"/>
      <c r="P318" s="76"/>
      <c r="Q318" s="335"/>
      <c r="R318" s="839"/>
      <c r="S318" s="839"/>
      <c r="T318" s="839"/>
      <c r="U318" s="839"/>
      <c r="V318" s="839"/>
      <c r="W318" s="839"/>
      <c r="X318" s="839"/>
      <c r="Y318" s="839"/>
      <c r="Z318" s="844"/>
      <c r="AA318" s="845" t="n">
        <v>1</v>
      </c>
      <c r="AB318" s="846" t="s">
        <v>1069</v>
      </c>
      <c r="AC318" s="756" t="n">
        <v>253.54</v>
      </c>
      <c r="AD318" s="846" t="str">
        <f aca="false">AB318</f>
        <v>Прочие амортизационные отчисления</v>
      </c>
      <c r="AE318" s="756" t="n">
        <v>0</v>
      </c>
      <c r="AF318" s="835"/>
      <c r="AG318" s="836"/>
      <c r="AH318" s="836"/>
      <c r="AI318" s="835"/>
      <c r="AJ318" s="836"/>
      <c r="AK318" s="836"/>
      <c r="AL318" s="809"/>
      <c r="AM318" s="132"/>
      <c r="AN318" s="132"/>
      <c r="AO318" s="132"/>
      <c r="AP318" s="132"/>
      <c r="AQ318" s="132"/>
      <c r="AR318" s="132"/>
      <c r="AS318" s="132"/>
      <c r="AT318" s="132"/>
      <c r="AU318" s="132"/>
      <c r="AV318" s="132"/>
      <c r="AW318" s="132"/>
      <c r="AX318" s="132"/>
      <c r="AY318" s="132"/>
      <c r="AZ318" s="132"/>
      <c r="BA318" s="132"/>
      <c r="BB318" s="132"/>
      <c r="BC318" s="132"/>
      <c r="BD318" s="132"/>
      <c r="BE318" s="132"/>
      <c r="BF318" s="132"/>
    </row>
    <row r="319" customFormat="false" ht="11.25" hidden="false" customHeight="true" outlineLevel="0" collapsed="false">
      <c r="A319" s="113" t="s">
        <v>1026</v>
      </c>
      <c r="E319" s="80"/>
      <c r="F319" s="810"/>
      <c r="G319" s="138"/>
      <c r="H319" s="811" t="s">
        <v>1153</v>
      </c>
      <c r="I319" s="831"/>
      <c r="J319" s="335"/>
      <c r="K319" s="333"/>
      <c r="L319" s="204"/>
      <c r="M319" s="198"/>
      <c r="N319" s="837"/>
      <c r="O319" s="838"/>
      <c r="P319" s="76"/>
      <c r="Q319" s="335"/>
      <c r="R319" s="839"/>
      <c r="S319" s="839"/>
      <c r="T319" s="839"/>
      <c r="U319" s="839"/>
      <c r="V319" s="839"/>
      <c r="W319" s="839"/>
      <c r="X319" s="839"/>
      <c r="Y319" s="839"/>
      <c r="Z319" s="840"/>
      <c r="AA319" s="841"/>
      <c r="AB319" s="161" t="s">
        <v>1071</v>
      </c>
      <c r="AC319" s="842"/>
      <c r="AD319" s="842"/>
      <c r="AE319" s="847"/>
      <c r="AF319" s="835"/>
      <c r="AG319" s="836"/>
      <c r="AH319" s="836"/>
      <c r="AI319" s="835"/>
      <c r="AJ319" s="836"/>
      <c r="AK319" s="836"/>
      <c r="AL319" s="809"/>
      <c r="AM319" s="132"/>
      <c r="AN319" s="132"/>
      <c r="AO319" s="132"/>
      <c r="AP319" s="132"/>
      <c r="AQ319" s="132"/>
      <c r="AR319" s="132"/>
      <c r="AS319" s="132"/>
      <c r="AT319" s="132"/>
      <c r="AU319" s="132"/>
      <c r="AV319" s="132"/>
      <c r="AW319" s="132"/>
      <c r="AX319" s="132"/>
      <c r="AY319" s="132"/>
      <c r="AZ319" s="132"/>
      <c r="BA319" s="132"/>
      <c r="BB319" s="132"/>
      <c r="BC319" s="132"/>
      <c r="BD319" s="132"/>
      <c r="BE319" s="132"/>
      <c r="BF319" s="132"/>
    </row>
    <row r="320" customFormat="false" ht="11.25" hidden="false" customHeight="true" outlineLevel="0" collapsed="false">
      <c r="A320" s="113" t="s">
        <v>1026</v>
      </c>
      <c r="E320" s="80"/>
      <c r="F320" s="810"/>
      <c r="G320" s="138"/>
      <c r="H320" s="811" t="s">
        <v>1153</v>
      </c>
      <c r="I320" s="831"/>
      <c r="J320" s="335"/>
      <c r="K320" s="333"/>
      <c r="L320" s="204"/>
      <c r="M320" s="198"/>
      <c r="N320" s="840"/>
      <c r="O320" s="841"/>
      <c r="P320" s="161" t="s">
        <v>1072</v>
      </c>
      <c r="Q320" s="841"/>
      <c r="R320" s="841"/>
      <c r="S320" s="841"/>
      <c r="T320" s="841"/>
      <c r="U320" s="841"/>
      <c r="V320" s="841"/>
      <c r="W320" s="841"/>
      <c r="X320" s="841"/>
      <c r="Y320" s="841"/>
      <c r="Z320" s="841"/>
      <c r="AA320" s="841"/>
      <c r="AB320" s="841"/>
      <c r="AC320" s="841"/>
      <c r="AD320" s="841"/>
      <c r="AE320" s="848"/>
      <c r="AF320" s="835"/>
      <c r="AG320" s="836"/>
      <c r="AH320" s="836"/>
      <c r="AI320" s="835"/>
      <c r="AJ320" s="836"/>
      <c r="AK320" s="836"/>
      <c r="AL320" s="809"/>
      <c r="AM320" s="132"/>
      <c r="AN320" s="132"/>
      <c r="AO320" s="132"/>
      <c r="AP320" s="132"/>
      <c r="AQ320" s="132"/>
      <c r="AR320" s="132"/>
      <c r="AS320" s="132"/>
      <c r="AT320" s="132"/>
      <c r="AU320" s="132"/>
      <c r="AV320" s="132"/>
      <c r="AW320" s="132"/>
      <c r="AX320" s="132"/>
      <c r="AY320" s="132"/>
      <c r="AZ320" s="132"/>
      <c r="BA320" s="132"/>
      <c r="BB320" s="132"/>
      <c r="BC320" s="132"/>
      <c r="BD320" s="132"/>
      <c r="BE320" s="132"/>
      <c r="BF320" s="132"/>
    </row>
    <row r="321" customFormat="false" ht="12" hidden="false" customHeight="true" outlineLevel="0" collapsed="false">
      <c r="A321" s="113" t="s">
        <v>1026</v>
      </c>
      <c r="E321" s="80"/>
      <c r="F321" s="810"/>
      <c r="G321" s="849"/>
      <c r="H321" s="849"/>
      <c r="I321" s="850" t="s">
        <v>1136</v>
      </c>
      <c r="J321" s="850"/>
      <c r="K321" s="850"/>
      <c r="L321" s="851"/>
      <c r="M321" s="851"/>
      <c r="N321" s="852"/>
      <c r="O321" s="852"/>
      <c r="P321" s="852"/>
      <c r="Q321" s="852"/>
      <c r="R321" s="852"/>
      <c r="S321" s="852"/>
      <c r="T321" s="852"/>
      <c r="U321" s="852"/>
      <c r="V321" s="852"/>
      <c r="W321" s="852"/>
      <c r="X321" s="852"/>
      <c r="Y321" s="852"/>
      <c r="Z321" s="852"/>
      <c r="AA321" s="852"/>
      <c r="AB321" s="852"/>
      <c r="AC321" s="852"/>
      <c r="AD321" s="852"/>
      <c r="AE321" s="852"/>
      <c r="AF321" s="852"/>
      <c r="AG321" s="851"/>
      <c r="AH321" s="851"/>
      <c r="AI321" s="852"/>
      <c r="AJ321" s="851"/>
      <c r="AK321" s="852"/>
      <c r="AL321" s="809"/>
      <c r="AM321" s="132"/>
      <c r="AN321" s="132"/>
      <c r="AO321" s="132"/>
      <c r="AP321" s="132"/>
      <c r="AQ321" s="132"/>
      <c r="AR321" s="132"/>
      <c r="AS321" s="132"/>
      <c r="AT321" s="132"/>
      <c r="AU321" s="132"/>
      <c r="AV321" s="132"/>
      <c r="AW321" s="132"/>
      <c r="AX321" s="132"/>
      <c r="AY321" s="132"/>
      <c r="AZ321" s="132"/>
      <c r="BA321" s="132"/>
      <c r="BB321" s="132"/>
      <c r="BC321" s="132"/>
      <c r="BD321" s="132"/>
      <c r="BE321" s="132"/>
      <c r="BF321" s="132"/>
    </row>
    <row r="322" customFormat="false" ht="0.75" hidden="false" customHeight="true" outlineLevel="0" collapsed="false">
      <c r="A322" s="113" t="s">
        <v>1026</v>
      </c>
      <c r="E322" s="80"/>
      <c r="F322" s="810" t="n">
        <v>2021</v>
      </c>
      <c r="G322" s="811"/>
      <c r="H322" s="812" t="s">
        <v>389</v>
      </c>
      <c r="I322" s="813"/>
      <c r="J322" s="149"/>
      <c r="K322" s="149"/>
      <c r="L322" s="814"/>
      <c r="M322" s="461"/>
      <c r="N322" s="815"/>
      <c r="O322" s="816"/>
      <c r="P322" s="815"/>
      <c r="Q322" s="815"/>
      <c r="R322" s="815"/>
      <c r="S322" s="815"/>
      <c r="T322" s="815"/>
      <c r="U322" s="815"/>
      <c r="V322" s="815"/>
      <c r="W322" s="815"/>
      <c r="X322" s="815"/>
      <c r="Y322" s="815"/>
      <c r="Z322" s="815"/>
      <c r="AA322" s="815"/>
      <c r="AB322" s="815"/>
      <c r="AC322" s="815"/>
      <c r="AD322" s="815"/>
      <c r="AE322" s="815"/>
      <c r="AF322" s="817"/>
      <c r="AG322" s="814"/>
      <c r="AH322" s="814"/>
      <c r="AI322" s="817"/>
      <c r="AJ322" s="814"/>
      <c r="AK322" s="814"/>
      <c r="AL322" s="809"/>
      <c r="AM322" s="132"/>
      <c r="AN322" s="132"/>
      <c r="AO322" s="132"/>
      <c r="AP322" s="132"/>
      <c r="AQ322" s="132"/>
      <c r="AR322" s="132"/>
      <c r="AS322" s="132"/>
      <c r="AT322" s="132"/>
      <c r="AU322" s="132"/>
      <c r="AV322" s="132"/>
      <c r="AW322" s="132"/>
      <c r="AX322" s="132"/>
      <c r="AY322" s="132"/>
      <c r="AZ322" s="132"/>
      <c r="BA322" s="132"/>
      <c r="BB322" s="132"/>
      <c r="BC322" s="132"/>
      <c r="BD322" s="132"/>
      <c r="BE322" s="132"/>
      <c r="BF322" s="132"/>
    </row>
    <row r="323" customFormat="false" ht="0.75" hidden="false" customHeight="true" outlineLevel="0" collapsed="false">
      <c r="A323" s="113" t="s">
        <v>1026</v>
      </c>
      <c r="E323" s="80"/>
      <c r="F323" s="810"/>
      <c r="G323" s="811"/>
      <c r="H323" s="812"/>
      <c r="I323" s="813"/>
      <c r="J323" s="149"/>
      <c r="K323" s="149"/>
      <c r="L323" s="814"/>
      <c r="M323" s="461"/>
      <c r="N323" s="818"/>
      <c r="O323" s="819"/>
      <c r="P323" s="820"/>
      <c r="Q323" s="149"/>
      <c r="R323" s="149"/>
      <c r="S323" s="149"/>
      <c r="T323" s="149"/>
      <c r="U323" s="149"/>
      <c r="V323" s="149"/>
      <c r="W323" s="149"/>
      <c r="X323" s="149"/>
      <c r="Y323" s="149"/>
      <c r="Z323" s="821"/>
      <c r="AA323" s="822"/>
      <c r="AB323" s="822"/>
      <c r="AC323" s="823"/>
      <c r="AD323" s="823"/>
      <c r="AE323" s="824"/>
      <c r="AF323" s="817"/>
      <c r="AG323" s="814"/>
      <c r="AH323" s="814"/>
      <c r="AI323" s="817"/>
      <c r="AJ323" s="814"/>
      <c r="AK323" s="814"/>
      <c r="AL323" s="809"/>
      <c r="AM323" s="132"/>
      <c r="AN323" s="132"/>
      <c r="AO323" s="132"/>
      <c r="AP323" s="132"/>
      <c r="AQ323" s="132"/>
      <c r="AR323" s="132"/>
      <c r="AS323" s="132"/>
      <c r="AT323" s="132"/>
      <c r="AU323" s="132"/>
      <c r="AV323" s="132"/>
      <c r="AW323" s="132"/>
      <c r="AX323" s="132"/>
      <c r="AY323" s="132"/>
      <c r="AZ323" s="132"/>
      <c r="BA323" s="132"/>
      <c r="BB323" s="132"/>
      <c r="BC323" s="132"/>
      <c r="BD323" s="132"/>
      <c r="BE323" s="132"/>
      <c r="BF323" s="132"/>
    </row>
    <row r="324" customFormat="false" ht="0.75" hidden="false" customHeight="true" outlineLevel="0" collapsed="false">
      <c r="A324" s="113" t="s">
        <v>1026</v>
      </c>
      <c r="E324" s="80"/>
      <c r="F324" s="810"/>
      <c r="G324" s="811"/>
      <c r="H324" s="812"/>
      <c r="I324" s="813"/>
      <c r="J324" s="149"/>
      <c r="K324" s="149"/>
      <c r="L324" s="814"/>
      <c r="M324" s="461"/>
      <c r="N324" s="818"/>
      <c r="O324" s="819"/>
      <c r="P324" s="820"/>
      <c r="Q324" s="149"/>
      <c r="R324" s="149"/>
      <c r="S324" s="149"/>
      <c r="T324" s="149"/>
      <c r="U324" s="149"/>
      <c r="V324" s="149"/>
      <c r="W324" s="149"/>
      <c r="X324" s="149"/>
      <c r="Y324" s="149"/>
      <c r="Z324" s="825"/>
      <c r="AA324" s="819"/>
      <c r="AB324" s="826"/>
      <c r="AC324" s="827"/>
      <c r="AD324" s="826"/>
      <c r="AE324" s="827"/>
      <c r="AF324" s="817"/>
      <c r="AG324" s="814"/>
      <c r="AH324" s="814"/>
      <c r="AI324" s="817"/>
      <c r="AJ324" s="814"/>
      <c r="AK324" s="814"/>
      <c r="AL324" s="809"/>
      <c r="AM324" s="132"/>
      <c r="AN324" s="132"/>
      <c r="AO324" s="132"/>
      <c r="AP324" s="132"/>
      <c r="AQ324" s="132"/>
      <c r="AR324" s="132"/>
      <c r="AS324" s="132"/>
      <c r="AT324" s="132"/>
      <c r="AU324" s="132"/>
      <c r="AV324" s="132"/>
      <c r="AW324" s="132"/>
      <c r="AX324" s="132"/>
      <c r="AY324" s="132"/>
      <c r="AZ324" s="132"/>
      <c r="BA324" s="132"/>
      <c r="BB324" s="132"/>
      <c r="BC324" s="132"/>
      <c r="BD324" s="132"/>
      <c r="BE324" s="132"/>
      <c r="BF324" s="132"/>
    </row>
    <row r="325" customFormat="false" ht="0.75" hidden="false" customHeight="true" outlineLevel="0" collapsed="false">
      <c r="A325" s="113" t="s">
        <v>1026</v>
      </c>
      <c r="E325" s="80"/>
      <c r="F325" s="810"/>
      <c r="G325" s="811"/>
      <c r="H325" s="812"/>
      <c r="I325" s="813"/>
      <c r="J325" s="149"/>
      <c r="K325" s="149"/>
      <c r="L325" s="814"/>
      <c r="M325" s="461"/>
      <c r="N325" s="818"/>
      <c r="O325" s="819"/>
      <c r="P325" s="820"/>
      <c r="Q325" s="149"/>
      <c r="R325" s="149"/>
      <c r="S325" s="149"/>
      <c r="T325" s="149"/>
      <c r="U325" s="149"/>
      <c r="V325" s="149"/>
      <c r="W325" s="149"/>
      <c r="X325" s="149"/>
      <c r="Y325" s="149"/>
      <c r="Z325" s="821"/>
      <c r="AA325" s="822"/>
      <c r="AB325" s="828"/>
      <c r="AC325" s="823"/>
      <c r="AD325" s="823"/>
      <c r="AE325" s="829"/>
      <c r="AF325" s="817"/>
      <c r="AG325" s="814"/>
      <c r="AH325" s="814"/>
      <c r="AI325" s="817"/>
      <c r="AJ325" s="814"/>
      <c r="AK325" s="814"/>
      <c r="AL325" s="809"/>
      <c r="AM325" s="132"/>
      <c r="AN325" s="132"/>
      <c r="AO325" s="132"/>
      <c r="AP325" s="132"/>
      <c r="AQ325" s="132"/>
      <c r="AR325" s="132"/>
      <c r="AS325" s="132"/>
      <c r="AT325" s="132"/>
      <c r="AU325" s="132"/>
      <c r="AV325" s="132"/>
      <c r="AW325" s="132"/>
      <c r="AX325" s="132"/>
      <c r="AY325" s="132"/>
      <c r="AZ325" s="132"/>
      <c r="BA325" s="132"/>
      <c r="BB325" s="132"/>
      <c r="BC325" s="132"/>
      <c r="BD325" s="132"/>
      <c r="BE325" s="132"/>
      <c r="BF325" s="132"/>
    </row>
    <row r="326" customFormat="false" ht="0.75" hidden="false" customHeight="true" outlineLevel="0" collapsed="false">
      <c r="A326" s="113" t="s">
        <v>1026</v>
      </c>
      <c r="E326" s="80"/>
      <c r="F326" s="810"/>
      <c r="G326" s="811"/>
      <c r="H326" s="812"/>
      <c r="I326" s="813"/>
      <c r="J326" s="149"/>
      <c r="K326" s="149"/>
      <c r="L326" s="814"/>
      <c r="M326" s="461"/>
      <c r="N326" s="822"/>
      <c r="O326" s="822"/>
      <c r="P326" s="828"/>
      <c r="Q326" s="822"/>
      <c r="R326" s="822"/>
      <c r="S326" s="822"/>
      <c r="T326" s="822"/>
      <c r="U326" s="822"/>
      <c r="V326" s="822"/>
      <c r="W326" s="822"/>
      <c r="X326" s="822"/>
      <c r="Y326" s="822"/>
      <c r="Z326" s="822"/>
      <c r="AA326" s="822"/>
      <c r="AB326" s="822"/>
      <c r="AC326" s="822"/>
      <c r="AD326" s="822"/>
      <c r="AE326" s="830"/>
      <c r="AF326" s="817"/>
      <c r="AG326" s="814"/>
      <c r="AH326" s="814"/>
      <c r="AI326" s="817"/>
      <c r="AJ326" s="814"/>
      <c r="AK326" s="814"/>
      <c r="AL326" s="809"/>
      <c r="AM326" s="132"/>
      <c r="AN326" s="132"/>
      <c r="AO326" s="132"/>
      <c r="AP326" s="132"/>
      <c r="AQ326" s="132"/>
      <c r="AR326" s="132"/>
      <c r="AS326" s="132"/>
      <c r="AT326" s="132"/>
      <c r="AU326" s="132"/>
      <c r="AV326" s="132"/>
      <c r="AW326" s="132"/>
      <c r="AX326" s="132"/>
      <c r="AY326" s="132"/>
      <c r="AZ326" s="132"/>
      <c r="BA326" s="132"/>
      <c r="BB326" s="132"/>
      <c r="BC326" s="132"/>
      <c r="BD326" s="132"/>
      <c r="BE326" s="132"/>
      <c r="BF326" s="132"/>
    </row>
    <row r="327" customFormat="false" ht="11.25" hidden="false" customHeight="true" outlineLevel="0" collapsed="false">
      <c r="A327" s="113" t="s">
        <v>1026</v>
      </c>
      <c r="E327" s="80"/>
      <c r="F327" s="810"/>
      <c r="G327" s="138" t="s">
        <v>103</v>
      </c>
      <c r="H327" s="811" t="s">
        <v>120</v>
      </c>
      <c r="I327" s="831"/>
      <c r="J327" s="335"/>
      <c r="K327" s="333" t="s">
        <v>1137</v>
      </c>
      <c r="L327" s="204" t="s">
        <v>19</v>
      </c>
      <c r="M327" s="198"/>
      <c r="N327" s="832"/>
      <c r="O327" s="833" t="s">
        <v>389</v>
      </c>
      <c r="P327" s="834"/>
      <c r="Q327" s="834"/>
      <c r="R327" s="834"/>
      <c r="S327" s="834"/>
      <c r="T327" s="834"/>
      <c r="U327" s="834"/>
      <c r="V327" s="834"/>
      <c r="W327" s="834"/>
      <c r="X327" s="834"/>
      <c r="Y327" s="834"/>
      <c r="Z327" s="834"/>
      <c r="AA327" s="834"/>
      <c r="AB327" s="834"/>
      <c r="AC327" s="834"/>
      <c r="AD327" s="834"/>
      <c r="AE327" s="834"/>
      <c r="AF327" s="835" t="n">
        <v>2020</v>
      </c>
      <c r="AG327" s="836" t="s">
        <v>1059</v>
      </c>
      <c r="AH327" s="836" t="s">
        <v>1075</v>
      </c>
      <c r="AI327" s="835" t="n">
        <v>2022</v>
      </c>
      <c r="AJ327" s="836" t="s">
        <v>1059</v>
      </c>
      <c r="AK327" s="836" t="s">
        <v>1096</v>
      </c>
      <c r="AL327" s="809"/>
      <c r="AM327" s="132"/>
      <c r="AN327" s="132"/>
      <c r="AO327" s="132"/>
      <c r="AP327" s="132"/>
      <c r="AQ327" s="132"/>
      <c r="AR327" s="132"/>
      <c r="AS327" s="132"/>
      <c r="AT327" s="132"/>
      <c r="AU327" s="132"/>
      <c r="AV327" s="132"/>
      <c r="AW327" s="132"/>
      <c r="AX327" s="132"/>
      <c r="AY327" s="132"/>
      <c r="AZ327" s="132"/>
      <c r="BA327" s="132"/>
      <c r="BB327" s="132"/>
      <c r="BC327" s="132"/>
      <c r="BD327" s="132"/>
      <c r="BE327" s="132"/>
      <c r="BF327" s="132"/>
    </row>
    <row r="328" customFormat="false" ht="11.25" hidden="false" customHeight="true" outlineLevel="0" collapsed="false">
      <c r="A328" s="113" t="s">
        <v>1026</v>
      </c>
      <c r="E328" s="80"/>
      <c r="F328" s="810"/>
      <c r="G328" s="138"/>
      <c r="H328" s="811" t="s">
        <v>389</v>
      </c>
      <c r="I328" s="831"/>
      <c r="J328" s="335"/>
      <c r="K328" s="333"/>
      <c r="L328" s="204"/>
      <c r="M328" s="198"/>
      <c r="N328" s="837"/>
      <c r="O328" s="838" t="n">
        <v>1</v>
      </c>
      <c r="P328" s="76" t="s">
        <v>61</v>
      </c>
      <c r="Q328" s="335" t="s">
        <v>1063</v>
      </c>
      <c r="R328" s="839" t="s">
        <v>1064</v>
      </c>
      <c r="S328" s="839" t="s">
        <v>99</v>
      </c>
      <c r="T328" s="839" t="s">
        <v>99</v>
      </c>
      <c r="U328" s="839" t="s">
        <v>100</v>
      </c>
      <c r="V328" s="839" t="s">
        <v>1065</v>
      </c>
      <c r="W328" s="839" t="s">
        <v>1066</v>
      </c>
      <c r="X328" s="839" t="s">
        <v>1067</v>
      </c>
      <c r="Y328" s="839" t="s">
        <v>1068</v>
      </c>
      <c r="Z328" s="840"/>
      <c r="AA328" s="841"/>
      <c r="AB328" s="841"/>
      <c r="AC328" s="842"/>
      <c r="AD328" s="842"/>
      <c r="AE328" s="843"/>
      <c r="AF328" s="835"/>
      <c r="AG328" s="836"/>
      <c r="AH328" s="836"/>
      <c r="AI328" s="835"/>
      <c r="AJ328" s="836"/>
      <c r="AK328" s="836"/>
      <c r="AL328" s="809"/>
      <c r="AM328" s="132"/>
      <c r="AN328" s="132"/>
      <c r="AO328" s="132"/>
      <c r="AP328" s="132"/>
      <c r="AQ328" s="132"/>
      <c r="AR328" s="132"/>
      <c r="AS328" s="132"/>
      <c r="AT328" s="132"/>
      <c r="AU328" s="132"/>
      <c r="AV328" s="132"/>
      <c r="AW328" s="132"/>
      <c r="AX328" s="132"/>
      <c r="AY328" s="132"/>
      <c r="AZ328" s="132"/>
      <c r="BA328" s="132"/>
      <c r="BB328" s="132"/>
      <c r="BC328" s="132"/>
      <c r="BD328" s="132"/>
      <c r="BE328" s="132"/>
      <c r="BF328" s="132"/>
    </row>
    <row r="329" customFormat="false" ht="11.25" hidden="false" customHeight="true" outlineLevel="0" collapsed="false">
      <c r="A329" s="113" t="s">
        <v>1026</v>
      </c>
      <c r="E329" s="80"/>
      <c r="F329" s="810"/>
      <c r="G329" s="138"/>
      <c r="H329" s="811" t="s">
        <v>389</v>
      </c>
      <c r="I329" s="831"/>
      <c r="J329" s="335"/>
      <c r="K329" s="333"/>
      <c r="L329" s="204"/>
      <c r="M329" s="198"/>
      <c r="N329" s="837"/>
      <c r="O329" s="838"/>
      <c r="P329" s="76"/>
      <c r="Q329" s="335"/>
      <c r="R329" s="839"/>
      <c r="S329" s="839"/>
      <c r="T329" s="839"/>
      <c r="U329" s="839"/>
      <c r="V329" s="839"/>
      <c r="W329" s="839"/>
      <c r="X329" s="839"/>
      <c r="Y329" s="839"/>
      <c r="Z329" s="844"/>
      <c r="AA329" s="845" t="n">
        <v>1</v>
      </c>
      <c r="AB329" s="846" t="s">
        <v>1069</v>
      </c>
      <c r="AC329" s="756" t="n">
        <v>2917.35</v>
      </c>
      <c r="AD329" s="846" t="str">
        <f aca="false">AB329</f>
        <v>Прочие амортизационные отчисления</v>
      </c>
      <c r="AE329" s="756" t="n">
        <v>0</v>
      </c>
      <c r="AF329" s="835"/>
      <c r="AG329" s="836"/>
      <c r="AH329" s="836"/>
      <c r="AI329" s="835"/>
      <c r="AJ329" s="836"/>
      <c r="AK329" s="836"/>
      <c r="AL329" s="809"/>
      <c r="AM329" s="132"/>
      <c r="AN329" s="132"/>
      <c r="AO329" s="132"/>
      <c r="AP329" s="132"/>
      <c r="AQ329" s="132"/>
      <c r="AR329" s="132"/>
      <c r="AS329" s="132"/>
      <c r="AT329" s="132"/>
      <c r="AU329" s="132"/>
      <c r="AV329" s="132"/>
      <c r="AW329" s="132"/>
      <c r="AX329" s="132"/>
      <c r="AY329" s="132"/>
      <c r="AZ329" s="132"/>
      <c r="BA329" s="132"/>
      <c r="BB329" s="132"/>
      <c r="BC329" s="132"/>
      <c r="BD329" s="132"/>
      <c r="BE329" s="132"/>
      <c r="BF329" s="132"/>
    </row>
    <row r="330" customFormat="false" ht="11.25" hidden="false" customHeight="true" outlineLevel="0" collapsed="false">
      <c r="A330" s="113" t="s">
        <v>1026</v>
      </c>
      <c r="E330" s="80"/>
      <c r="F330" s="810"/>
      <c r="G330" s="138"/>
      <c r="H330" s="811" t="s">
        <v>389</v>
      </c>
      <c r="I330" s="831"/>
      <c r="J330" s="335"/>
      <c r="K330" s="333"/>
      <c r="L330" s="204"/>
      <c r="M330" s="198"/>
      <c r="N330" s="837"/>
      <c r="O330" s="838"/>
      <c r="P330" s="76"/>
      <c r="Q330" s="335"/>
      <c r="R330" s="839"/>
      <c r="S330" s="839"/>
      <c r="T330" s="839"/>
      <c r="U330" s="839"/>
      <c r="V330" s="839"/>
      <c r="W330" s="839"/>
      <c r="X330" s="839"/>
      <c r="Y330" s="839"/>
      <c r="Z330" s="840"/>
      <c r="AA330" s="841"/>
      <c r="AB330" s="161" t="s">
        <v>1071</v>
      </c>
      <c r="AC330" s="842"/>
      <c r="AD330" s="842"/>
      <c r="AE330" s="847"/>
      <c r="AF330" s="835"/>
      <c r="AG330" s="836"/>
      <c r="AH330" s="836"/>
      <c r="AI330" s="835"/>
      <c r="AJ330" s="836"/>
      <c r="AK330" s="836"/>
      <c r="AL330" s="809"/>
      <c r="AM330" s="132"/>
      <c r="AN330" s="132"/>
      <c r="AO330" s="132"/>
      <c r="AP330" s="132"/>
      <c r="AQ330" s="132"/>
      <c r="AR330" s="132"/>
      <c r="AS330" s="132"/>
      <c r="AT330" s="132"/>
      <c r="AU330" s="132"/>
      <c r="AV330" s="132"/>
      <c r="AW330" s="132"/>
      <c r="AX330" s="132"/>
      <c r="AY330" s="132"/>
      <c r="AZ330" s="132"/>
      <c r="BA330" s="132"/>
      <c r="BB330" s="132"/>
      <c r="BC330" s="132"/>
      <c r="BD330" s="132"/>
      <c r="BE330" s="132"/>
      <c r="BF330" s="132"/>
    </row>
    <row r="331" customFormat="false" ht="11.25" hidden="false" customHeight="true" outlineLevel="0" collapsed="false">
      <c r="A331" s="113" t="s">
        <v>1026</v>
      </c>
      <c r="E331" s="80"/>
      <c r="F331" s="810"/>
      <c r="G331" s="138"/>
      <c r="H331" s="811" t="s">
        <v>389</v>
      </c>
      <c r="I331" s="831"/>
      <c r="J331" s="335"/>
      <c r="K331" s="333"/>
      <c r="L331" s="204"/>
      <c r="M331" s="198"/>
      <c r="N331" s="840"/>
      <c r="O331" s="841"/>
      <c r="P331" s="161" t="s">
        <v>1072</v>
      </c>
      <c r="Q331" s="841"/>
      <c r="R331" s="841"/>
      <c r="S331" s="841"/>
      <c r="T331" s="841"/>
      <c r="U331" s="841"/>
      <c r="V331" s="841"/>
      <c r="W331" s="841"/>
      <c r="X331" s="841"/>
      <c r="Y331" s="841"/>
      <c r="Z331" s="841"/>
      <c r="AA331" s="841"/>
      <c r="AB331" s="841"/>
      <c r="AC331" s="841"/>
      <c r="AD331" s="841"/>
      <c r="AE331" s="848"/>
      <c r="AF331" s="835"/>
      <c r="AG331" s="836"/>
      <c r="AH331" s="836"/>
      <c r="AI331" s="835"/>
      <c r="AJ331" s="836"/>
      <c r="AK331" s="836"/>
      <c r="AL331" s="809"/>
      <c r="AM331" s="132"/>
      <c r="AN331" s="132"/>
      <c r="AO331" s="132"/>
      <c r="AP331" s="132"/>
      <c r="AQ331" s="132"/>
      <c r="AR331" s="132"/>
      <c r="AS331" s="132"/>
      <c r="AT331" s="132"/>
      <c r="AU331" s="132"/>
      <c r="AV331" s="132"/>
      <c r="AW331" s="132"/>
      <c r="AX331" s="132"/>
      <c r="AY331" s="132"/>
      <c r="AZ331" s="132"/>
      <c r="BA331" s="132"/>
      <c r="BB331" s="132"/>
      <c r="BC331" s="132"/>
      <c r="BD331" s="132"/>
      <c r="BE331" s="132"/>
      <c r="BF331" s="132"/>
    </row>
    <row r="332" customFormat="false" ht="11.25" hidden="false" customHeight="true" outlineLevel="0" collapsed="false">
      <c r="A332" s="113" t="s">
        <v>1026</v>
      </c>
      <c r="E332" s="80"/>
      <c r="F332" s="810"/>
      <c r="G332" s="138" t="s">
        <v>103</v>
      </c>
      <c r="H332" s="811" t="s">
        <v>102</v>
      </c>
      <c r="I332" s="831"/>
      <c r="J332" s="335"/>
      <c r="K332" s="333" t="s">
        <v>1154</v>
      </c>
      <c r="L332" s="204" t="s">
        <v>19</v>
      </c>
      <c r="M332" s="198"/>
      <c r="N332" s="832"/>
      <c r="O332" s="833" t="s">
        <v>389</v>
      </c>
      <c r="P332" s="834"/>
      <c r="Q332" s="834"/>
      <c r="R332" s="834"/>
      <c r="S332" s="834"/>
      <c r="T332" s="834"/>
      <c r="U332" s="834"/>
      <c r="V332" s="834"/>
      <c r="W332" s="834"/>
      <c r="X332" s="834"/>
      <c r="Y332" s="834"/>
      <c r="Z332" s="834"/>
      <c r="AA332" s="834"/>
      <c r="AB332" s="834"/>
      <c r="AC332" s="834"/>
      <c r="AD332" s="834"/>
      <c r="AE332" s="834"/>
      <c r="AF332" s="835" t="n">
        <v>2021</v>
      </c>
      <c r="AG332" s="836" t="s">
        <v>1059</v>
      </c>
      <c r="AH332" s="836" t="s">
        <v>1075</v>
      </c>
      <c r="AI332" s="835" t="n">
        <v>2022</v>
      </c>
      <c r="AJ332" s="836" t="s">
        <v>1059</v>
      </c>
      <c r="AK332" s="836" t="s">
        <v>1096</v>
      </c>
      <c r="AL332" s="809"/>
      <c r="AM332" s="132"/>
      <c r="AN332" s="132"/>
      <c r="AO332" s="132"/>
      <c r="AP332" s="132"/>
      <c r="AQ332" s="132"/>
      <c r="AR332" s="132"/>
      <c r="AS332" s="132"/>
      <c r="AT332" s="132"/>
      <c r="AU332" s="132"/>
      <c r="AV332" s="132"/>
      <c r="AW332" s="132"/>
      <c r="AX332" s="132"/>
      <c r="AY332" s="132"/>
      <c r="AZ332" s="132"/>
      <c r="BA332" s="132"/>
      <c r="BB332" s="132"/>
      <c r="BC332" s="132"/>
      <c r="BD332" s="132"/>
      <c r="BE332" s="132"/>
      <c r="BF332" s="132"/>
    </row>
    <row r="333" customFormat="false" ht="11.25" hidden="false" customHeight="true" outlineLevel="0" collapsed="false">
      <c r="A333" s="113" t="s">
        <v>1026</v>
      </c>
      <c r="E333" s="80"/>
      <c r="F333" s="810"/>
      <c r="G333" s="138"/>
      <c r="H333" s="811" t="s">
        <v>120</v>
      </c>
      <c r="I333" s="831"/>
      <c r="J333" s="335"/>
      <c r="K333" s="333"/>
      <c r="L333" s="204"/>
      <c r="M333" s="198"/>
      <c r="N333" s="837"/>
      <c r="O333" s="838" t="n">
        <v>1</v>
      </c>
      <c r="P333" s="76" t="s">
        <v>61</v>
      </c>
      <c r="Q333" s="335" t="s">
        <v>1063</v>
      </c>
      <c r="R333" s="839" t="s">
        <v>1064</v>
      </c>
      <c r="S333" s="839" t="s">
        <v>99</v>
      </c>
      <c r="T333" s="839" t="s">
        <v>99</v>
      </c>
      <c r="U333" s="839" t="s">
        <v>100</v>
      </c>
      <c r="V333" s="839" t="s">
        <v>1065</v>
      </c>
      <c r="W333" s="839" t="s">
        <v>1066</v>
      </c>
      <c r="X333" s="839" t="s">
        <v>1067</v>
      </c>
      <c r="Y333" s="839" t="s">
        <v>1068</v>
      </c>
      <c r="Z333" s="840"/>
      <c r="AA333" s="841"/>
      <c r="AB333" s="841"/>
      <c r="AC333" s="842"/>
      <c r="AD333" s="842"/>
      <c r="AE333" s="843"/>
      <c r="AF333" s="835"/>
      <c r="AG333" s="836"/>
      <c r="AH333" s="836"/>
      <c r="AI333" s="835"/>
      <c r="AJ333" s="836"/>
      <c r="AK333" s="836"/>
      <c r="AL333" s="809"/>
      <c r="AM333" s="132"/>
      <c r="AN333" s="132"/>
      <c r="AO333" s="132"/>
      <c r="AP333" s="132"/>
      <c r="AQ333" s="132"/>
      <c r="AR333" s="132"/>
      <c r="AS333" s="132"/>
      <c r="AT333" s="132"/>
      <c r="AU333" s="132"/>
      <c r="AV333" s="132"/>
      <c r="AW333" s="132"/>
      <c r="AX333" s="132"/>
      <c r="AY333" s="132"/>
      <c r="AZ333" s="132"/>
      <c r="BA333" s="132"/>
      <c r="BB333" s="132"/>
      <c r="BC333" s="132"/>
      <c r="BD333" s="132"/>
      <c r="BE333" s="132"/>
      <c r="BF333" s="132"/>
    </row>
    <row r="334" customFormat="false" ht="11.25" hidden="false" customHeight="true" outlineLevel="0" collapsed="false">
      <c r="A334" s="113" t="s">
        <v>1026</v>
      </c>
      <c r="E334" s="80"/>
      <c r="F334" s="810"/>
      <c r="G334" s="138"/>
      <c r="H334" s="811" t="s">
        <v>120</v>
      </c>
      <c r="I334" s="831"/>
      <c r="J334" s="335"/>
      <c r="K334" s="333"/>
      <c r="L334" s="204"/>
      <c r="M334" s="198"/>
      <c r="N334" s="837"/>
      <c r="O334" s="838"/>
      <c r="P334" s="76"/>
      <c r="Q334" s="335"/>
      <c r="R334" s="839"/>
      <c r="S334" s="839"/>
      <c r="T334" s="839"/>
      <c r="U334" s="839"/>
      <c r="V334" s="839"/>
      <c r="W334" s="839"/>
      <c r="X334" s="839"/>
      <c r="Y334" s="839"/>
      <c r="Z334" s="844"/>
      <c r="AA334" s="845" t="n">
        <v>1</v>
      </c>
      <c r="AB334" s="846" t="s">
        <v>1069</v>
      </c>
      <c r="AC334" s="756" t="n">
        <v>273.495</v>
      </c>
      <c r="AD334" s="846" t="str">
        <f aca="false">AB334</f>
        <v>Прочие амортизационные отчисления</v>
      </c>
      <c r="AE334" s="756" t="n">
        <v>0</v>
      </c>
      <c r="AF334" s="835"/>
      <c r="AG334" s="836"/>
      <c r="AH334" s="836"/>
      <c r="AI334" s="835"/>
      <c r="AJ334" s="836"/>
      <c r="AK334" s="836"/>
      <c r="AL334" s="809"/>
      <c r="AM334" s="132"/>
      <c r="AN334" s="132"/>
      <c r="AO334" s="132"/>
      <c r="AP334" s="132"/>
      <c r="AQ334" s="132"/>
      <c r="AR334" s="132"/>
      <c r="AS334" s="132"/>
      <c r="AT334" s="132"/>
      <c r="AU334" s="132"/>
      <c r="AV334" s="132"/>
      <c r="AW334" s="132"/>
      <c r="AX334" s="132"/>
      <c r="AY334" s="132"/>
      <c r="AZ334" s="132"/>
      <c r="BA334" s="132"/>
      <c r="BB334" s="132"/>
      <c r="BC334" s="132"/>
      <c r="BD334" s="132"/>
      <c r="BE334" s="132"/>
      <c r="BF334" s="132"/>
    </row>
    <row r="335" customFormat="false" ht="11.25" hidden="false" customHeight="true" outlineLevel="0" collapsed="false">
      <c r="A335" s="113" t="s">
        <v>1026</v>
      </c>
      <c r="E335" s="80"/>
      <c r="F335" s="810"/>
      <c r="G335" s="138"/>
      <c r="H335" s="811" t="s">
        <v>120</v>
      </c>
      <c r="I335" s="831"/>
      <c r="J335" s="335"/>
      <c r="K335" s="333"/>
      <c r="L335" s="204"/>
      <c r="M335" s="198"/>
      <c r="N335" s="837"/>
      <c r="O335" s="838"/>
      <c r="P335" s="76"/>
      <c r="Q335" s="335"/>
      <c r="R335" s="839"/>
      <c r="S335" s="839"/>
      <c r="T335" s="839"/>
      <c r="U335" s="839"/>
      <c r="V335" s="839"/>
      <c r="W335" s="839"/>
      <c r="X335" s="839"/>
      <c r="Y335" s="839"/>
      <c r="Z335" s="840"/>
      <c r="AA335" s="841"/>
      <c r="AB335" s="161" t="s">
        <v>1071</v>
      </c>
      <c r="AC335" s="842"/>
      <c r="AD335" s="842"/>
      <c r="AE335" s="847"/>
      <c r="AF335" s="835"/>
      <c r="AG335" s="836"/>
      <c r="AH335" s="836"/>
      <c r="AI335" s="835"/>
      <c r="AJ335" s="836"/>
      <c r="AK335" s="836"/>
      <c r="AL335" s="809"/>
      <c r="AM335" s="132"/>
      <c r="AN335" s="132"/>
      <c r="AO335" s="132"/>
      <c r="AP335" s="132"/>
      <c r="AQ335" s="132"/>
      <c r="AR335" s="132"/>
      <c r="AS335" s="132"/>
      <c r="AT335" s="132"/>
      <c r="AU335" s="132"/>
      <c r="AV335" s="132"/>
      <c r="AW335" s="132"/>
      <c r="AX335" s="132"/>
      <c r="AY335" s="132"/>
      <c r="AZ335" s="132"/>
      <c r="BA335" s="132"/>
      <c r="BB335" s="132"/>
      <c r="BC335" s="132"/>
      <c r="BD335" s="132"/>
      <c r="BE335" s="132"/>
      <c r="BF335" s="132"/>
    </row>
    <row r="336" customFormat="false" ht="11.25" hidden="false" customHeight="true" outlineLevel="0" collapsed="false">
      <c r="A336" s="113" t="s">
        <v>1026</v>
      </c>
      <c r="E336" s="80"/>
      <c r="F336" s="810"/>
      <c r="G336" s="138"/>
      <c r="H336" s="811" t="s">
        <v>120</v>
      </c>
      <c r="I336" s="831"/>
      <c r="J336" s="335"/>
      <c r="K336" s="333"/>
      <c r="L336" s="204"/>
      <c r="M336" s="198"/>
      <c r="N336" s="840"/>
      <c r="O336" s="841"/>
      <c r="P336" s="161" t="s">
        <v>1072</v>
      </c>
      <c r="Q336" s="841"/>
      <c r="R336" s="841"/>
      <c r="S336" s="841"/>
      <c r="T336" s="841"/>
      <c r="U336" s="841"/>
      <c r="V336" s="841"/>
      <c r="W336" s="841"/>
      <c r="X336" s="841"/>
      <c r="Y336" s="841"/>
      <c r="Z336" s="841"/>
      <c r="AA336" s="841"/>
      <c r="AB336" s="841"/>
      <c r="AC336" s="841"/>
      <c r="AD336" s="841"/>
      <c r="AE336" s="848"/>
      <c r="AF336" s="835"/>
      <c r="AG336" s="836"/>
      <c r="AH336" s="836"/>
      <c r="AI336" s="835"/>
      <c r="AJ336" s="836"/>
      <c r="AK336" s="836"/>
      <c r="AL336" s="809"/>
      <c r="AM336" s="132"/>
      <c r="AN336" s="132"/>
      <c r="AO336" s="132"/>
      <c r="AP336" s="132"/>
      <c r="AQ336" s="132"/>
      <c r="AR336" s="132"/>
      <c r="AS336" s="132"/>
      <c r="AT336" s="132"/>
      <c r="AU336" s="132"/>
      <c r="AV336" s="132"/>
      <c r="AW336" s="132"/>
      <c r="AX336" s="132"/>
      <c r="AY336" s="132"/>
      <c r="AZ336" s="132"/>
      <c r="BA336" s="132"/>
      <c r="BB336" s="132"/>
      <c r="BC336" s="132"/>
      <c r="BD336" s="132"/>
      <c r="BE336" s="132"/>
      <c r="BF336" s="132"/>
    </row>
    <row r="337" customFormat="false" ht="11.25" hidden="false" customHeight="true" outlineLevel="0" collapsed="false">
      <c r="A337" s="113" t="s">
        <v>1026</v>
      </c>
      <c r="E337" s="80"/>
      <c r="F337" s="810"/>
      <c r="G337" s="138" t="s">
        <v>103</v>
      </c>
      <c r="H337" s="811" t="s">
        <v>89</v>
      </c>
      <c r="I337" s="831"/>
      <c r="J337" s="335"/>
      <c r="K337" s="333" t="s">
        <v>1155</v>
      </c>
      <c r="L337" s="204" t="s">
        <v>19</v>
      </c>
      <c r="M337" s="198"/>
      <c r="N337" s="832"/>
      <c r="O337" s="833" t="s">
        <v>389</v>
      </c>
      <c r="P337" s="834"/>
      <c r="Q337" s="834"/>
      <c r="R337" s="834"/>
      <c r="S337" s="834"/>
      <c r="T337" s="834"/>
      <c r="U337" s="834"/>
      <c r="V337" s="834"/>
      <c r="W337" s="834"/>
      <c r="X337" s="834"/>
      <c r="Y337" s="834"/>
      <c r="Z337" s="834"/>
      <c r="AA337" s="834"/>
      <c r="AB337" s="834"/>
      <c r="AC337" s="834"/>
      <c r="AD337" s="834"/>
      <c r="AE337" s="834"/>
      <c r="AF337" s="835" t="n">
        <v>2021</v>
      </c>
      <c r="AG337" s="836" t="s">
        <v>1059</v>
      </c>
      <c r="AH337" s="836" t="s">
        <v>1096</v>
      </c>
      <c r="AI337" s="835" t="n">
        <v>2022</v>
      </c>
      <c r="AJ337" s="836" t="s">
        <v>1059</v>
      </c>
      <c r="AK337" s="836" t="s">
        <v>1096</v>
      </c>
      <c r="AL337" s="809"/>
      <c r="AM337" s="132"/>
      <c r="AN337" s="132"/>
      <c r="AO337" s="132"/>
      <c r="AP337" s="132"/>
      <c r="AQ337" s="132"/>
      <c r="AR337" s="132"/>
      <c r="AS337" s="132"/>
      <c r="AT337" s="132"/>
      <c r="AU337" s="132"/>
      <c r="AV337" s="132"/>
      <c r="AW337" s="132"/>
      <c r="AX337" s="132"/>
      <c r="AY337" s="132"/>
      <c r="AZ337" s="132"/>
      <c r="BA337" s="132"/>
      <c r="BB337" s="132"/>
      <c r="BC337" s="132"/>
      <c r="BD337" s="132"/>
      <c r="BE337" s="132"/>
      <c r="BF337" s="132"/>
    </row>
    <row r="338" customFormat="false" ht="11.25" hidden="false" customHeight="true" outlineLevel="0" collapsed="false">
      <c r="A338" s="113" t="s">
        <v>1026</v>
      </c>
      <c r="E338" s="80"/>
      <c r="F338" s="810"/>
      <c r="G338" s="138"/>
      <c r="H338" s="811" t="s">
        <v>102</v>
      </c>
      <c r="I338" s="831"/>
      <c r="J338" s="335"/>
      <c r="K338" s="333"/>
      <c r="L338" s="204"/>
      <c r="M338" s="198"/>
      <c r="N338" s="837"/>
      <c r="O338" s="838" t="n">
        <v>1</v>
      </c>
      <c r="P338" s="76" t="s">
        <v>61</v>
      </c>
      <c r="Q338" s="335" t="s">
        <v>1063</v>
      </c>
      <c r="R338" s="839" t="s">
        <v>1064</v>
      </c>
      <c r="S338" s="839" t="s">
        <v>99</v>
      </c>
      <c r="T338" s="839" t="s">
        <v>99</v>
      </c>
      <c r="U338" s="839" t="s">
        <v>100</v>
      </c>
      <c r="V338" s="839" t="s">
        <v>1065</v>
      </c>
      <c r="W338" s="839" t="s">
        <v>1066</v>
      </c>
      <c r="X338" s="839" t="s">
        <v>1067</v>
      </c>
      <c r="Y338" s="839" t="s">
        <v>1068</v>
      </c>
      <c r="Z338" s="840"/>
      <c r="AA338" s="841"/>
      <c r="AB338" s="841"/>
      <c r="AC338" s="842"/>
      <c r="AD338" s="842"/>
      <c r="AE338" s="843"/>
      <c r="AF338" s="835"/>
      <c r="AG338" s="836"/>
      <c r="AH338" s="836"/>
      <c r="AI338" s="835"/>
      <c r="AJ338" s="836"/>
      <c r="AK338" s="836"/>
      <c r="AL338" s="809"/>
      <c r="AM338" s="132"/>
      <c r="AN338" s="132"/>
      <c r="AO338" s="132"/>
      <c r="AP338" s="132"/>
      <c r="AQ338" s="132"/>
      <c r="AR338" s="132"/>
      <c r="AS338" s="132"/>
      <c r="AT338" s="132"/>
      <c r="AU338" s="132"/>
      <c r="AV338" s="132"/>
      <c r="AW338" s="132"/>
      <c r="AX338" s="132"/>
      <c r="AY338" s="132"/>
      <c r="AZ338" s="132"/>
      <c r="BA338" s="132"/>
      <c r="BB338" s="132"/>
      <c r="BC338" s="132"/>
      <c r="BD338" s="132"/>
      <c r="BE338" s="132"/>
      <c r="BF338" s="132"/>
    </row>
    <row r="339" customFormat="false" ht="11.25" hidden="false" customHeight="true" outlineLevel="0" collapsed="false">
      <c r="A339" s="113" t="s">
        <v>1026</v>
      </c>
      <c r="E339" s="80"/>
      <c r="F339" s="810"/>
      <c r="G339" s="138"/>
      <c r="H339" s="811" t="s">
        <v>102</v>
      </c>
      <c r="I339" s="831"/>
      <c r="J339" s="335"/>
      <c r="K339" s="333"/>
      <c r="L339" s="204"/>
      <c r="M339" s="198"/>
      <c r="N339" s="837"/>
      <c r="O339" s="838"/>
      <c r="P339" s="76"/>
      <c r="Q339" s="335"/>
      <c r="R339" s="839"/>
      <c r="S339" s="839"/>
      <c r="T339" s="839"/>
      <c r="U339" s="839"/>
      <c r="V339" s="839"/>
      <c r="W339" s="839"/>
      <c r="X339" s="839"/>
      <c r="Y339" s="839"/>
      <c r="Z339" s="844"/>
      <c r="AA339" s="845" t="n">
        <v>1</v>
      </c>
      <c r="AB339" s="846" t="s">
        <v>1069</v>
      </c>
      <c r="AC339" s="756" t="n">
        <v>694.005</v>
      </c>
      <c r="AD339" s="846" t="str">
        <f aca="false">AB339</f>
        <v>Прочие амортизационные отчисления</v>
      </c>
      <c r="AE339" s="756" t="n">
        <v>0</v>
      </c>
      <c r="AF339" s="835"/>
      <c r="AG339" s="836"/>
      <c r="AH339" s="836"/>
      <c r="AI339" s="835"/>
      <c r="AJ339" s="836"/>
      <c r="AK339" s="836"/>
      <c r="AL339" s="809"/>
      <c r="AM339" s="132"/>
      <c r="AN339" s="132"/>
      <c r="AO339" s="132"/>
      <c r="AP339" s="132"/>
      <c r="AQ339" s="132"/>
      <c r="AR339" s="132"/>
      <c r="AS339" s="132"/>
      <c r="AT339" s="132"/>
      <c r="AU339" s="132"/>
      <c r="AV339" s="132"/>
      <c r="AW339" s="132"/>
      <c r="AX339" s="132"/>
      <c r="AY339" s="132"/>
      <c r="AZ339" s="132"/>
      <c r="BA339" s="132"/>
      <c r="BB339" s="132"/>
      <c r="BC339" s="132"/>
      <c r="BD339" s="132"/>
      <c r="BE339" s="132"/>
      <c r="BF339" s="132"/>
    </row>
    <row r="340" customFormat="false" ht="11.25" hidden="false" customHeight="true" outlineLevel="0" collapsed="false">
      <c r="A340" s="113" t="s">
        <v>1026</v>
      </c>
      <c r="E340" s="80"/>
      <c r="F340" s="810"/>
      <c r="G340" s="138"/>
      <c r="H340" s="811" t="s">
        <v>102</v>
      </c>
      <c r="I340" s="831"/>
      <c r="J340" s="335"/>
      <c r="K340" s="333"/>
      <c r="L340" s="204"/>
      <c r="M340" s="198"/>
      <c r="N340" s="837"/>
      <c r="O340" s="838"/>
      <c r="P340" s="76"/>
      <c r="Q340" s="335"/>
      <c r="R340" s="839"/>
      <c r="S340" s="839"/>
      <c r="T340" s="839"/>
      <c r="U340" s="839"/>
      <c r="V340" s="839"/>
      <c r="W340" s="839"/>
      <c r="X340" s="839"/>
      <c r="Y340" s="839"/>
      <c r="Z340" s="840"/>
      <c r="AA340" s="841"/>
      <c r="AB340" s="161" t="s">
        <v>1071</v>
      </c>
      <c r="AC340" s="842"/>
      <c r="AD340" s="842"/>
      <c r="AE340" s="847"/>
      <c r="AF340" s="835"/>
      <c r="AG340" s="836"/>
      <c r="AH340" s="836"/>
      <c r="AI340" s="835"/>
      <c r="AJ340" s="836"/>
      <c r="AK340" s="836"/>
      <c r="AL340" s="809"/>
      <c r="AM340" s="132"/>
      <c r="AN340" s="132"/>
      <c r="AO340" s="132"/>
      <c r="AP340" s="132"/>
      <c r="AQ340" s="132"/>
      <c r="AR340" s="132"/>
      <c r="AS340" s="132"/>
      <c r="AT340" s="132"/>
      <c r="AU340" s="132"/>
      <c r="AV340" s="132"/>
      <c r="AW340" s="132"/>
      <c r="AX340" s="132"/>
      <c r="AY340" s="132"/>
      <c r="AZ340" s="132"/>
      <c r="BA340" s="132"/>
      <c r="BB340" s="132"/>
      <c r="BC340" s="132"/>
      <c r="BD340" s="132"/>
      <c r="BE340" s="132"/>
      <c r="BF340" s="132"/>
    </row>
    <row r="341" customFormat="false" ht="11.25" hidden="false" customHeight="true" outlineLevel="0" collapsed="false">
      <c r="A341" s="113" t="s">
        <v>1026</v>
      </c>
      <c r="E341" s="80"/>
      <c r="F341" s="810"/>
      <c r="G341" s="138"/>
      <c r="H341" s="811" t="s">
        <v>102</v>
      </c>
      <c r="I341" s="831"/>
      <c r="J341" s="335"/>
      <c r="K341" s="333"/>
      <c r="L341" s="204"/>
      <c r="M341" s="198"/>
      <c r="N341" s="840"/>
      <c r="O341" s="841"/>
      <c r="P341" s="161" t="s">
        <v>1072</v>
      </c>
      <c r="Q341" s="841"/>
      <c r="R341" s="841"/>
      <c r="S341" s="841"/>
      <c r="T341" s="841"/>
      <c r="U341" s="841"/>
      <c r="V341" s="841"/>
      <c r="W341" s="841"/>
      <c r="X341" s="841"/>
      <c r="Y341" s="841"/>
      <c r="Z341" s="841"/>
      <c r="AA341" s="841"/>
      <c r="AB341" s="841"/>
      <c r="AC341" s="841"/>
      <c r="AD341" s="841"/>
      <c r="AE341" s="848"/>
      <c r="AF341" s="835"/>
      <c r="AG341" s="836"/>
      <c r="AH341" s="836"/>
      <c r="AI341" s="835"/>
      <c r="AJ341" s="836"/>
      <c r="AK341" s="836"/>
      <c r="AL341" s="809"/>
      <c r="AM341" s="132"/>
      <c r="AN341" s="132"/>
      <c r="AO341" s="132"/>
      <c r="AP341" s="132"/>
      <c r="AQ341" s="132"/>
      <c r="AR341" s="132"/>
      <c r="AS341" s="132"/>
      <c r="AT341" s="132"/>
      <c r="AU341" s="132"/>
      <c r="AV341" s="132"/>
      <c r="AW341" s="132"/>
      <c r="AX341" s="132"/>
      <c r="AY341" s="132"/>
      <c r="AZ341" s="132"/>
      <c r="BA341" s="132"/>
      <c r="BB341" s="132"/>
      <c r="BC341" s="132"/>
      <c r="BD341" s="132"/>
      <c r="BE341" s="132"/>
      <c r="BF341" s="132"/>
    </row>
    <row r="342" customFormat="false" ht="11.25" hidden="false" customHeight="true" outlineLevel="0" collapsed="false">
      <c r="A342" s="113" t="s">
        <v>1026</v>
      </c>
      <c r="E342" s="80"/>
      <c r="F342" s="810"/>
      <c r="G342" s="138" t="s">
        <v>103</v>
      </c>
      <c r="H342" s="811" t="s">
        <v>90</v>
      </c>
      <c r="I342" s="831"/>
      <c r="J342" s="335"/>
      <c r="K342" s="333" t="s">
        <v>1156</v>
      </c>
      <c r="L342" s="204" t="s">
        <v>19</v>
      </c>
      <c r="M342" s="198"/>
      <c r="N342" s="832"/>
      <c r="O342" s="833" t="s">
        <v>389</v>
      </c>
      <c r="P342" s="834"/>
      <c r="Q342" s="834"/>
      <c r="R342" s="834"/>
      <c r="S342" s="834"/>
      <c r="T342" s="834"/>
      <c r="U342" s="834"/>
      <c r="V342" s="834"/>
      <c r="W342" s="834"/>
      <c r="X342" s="834"/>
      <c r="Y342" s="834"/>
      <c r="Z342" s="834"/>
      <c r="AA342" s="834"/>
      <c r="AB342" s="834"/>
      <c r="AC342" s="834"/>
      <c r="AD342" s="834"/>
      <c r="AE342" s="834"/>
      <c r="AF342" s="835" t="n">
        <v>2021</v>
      </c>
      <c r="AG342" s="836" t="s">
        <v>1059</v>
      </c>
      <c r="AH342" s="836" t="s">
        <v>1075</v>
      </c>
      <c r="AI342" s="835" t="n">
        <v>2021</v>
      </c>
      <c r="AJ342" s="836" t="s">
        <v>1113</v>
      </c>
      <c r="AK342" s="836" t="s">
        <v>1075</v>
      </c>
      <c r="AL342" s="809"/>
      <c r="AM342" s="132"/>
      <c r="AN342" s="132"/>
      <c r="AO342" s="132"/>
      <c r="AP342" s="132"/>
      <c r="AQ342" s="132"/>
      <c r="AR342" s="132"/>
      <c r="AS342" s="132"/>
      <c r="AT342" s="132"/>
      <c r="AU342" s="132"/>
      <c r="AV342" s="132"/>
      <c r="AW342" s="132"/>
      <c r="AX342" s="132"/>
      <c r="AY342" s="132"/>
      <c r="AZ342" s="132"/>
      <c r="BA342" s="132"/>
      <c r="BB342" s="132"/>
      <c r="BC342" s="132"/>
      <c r="BD342" s="132"/>
      <c r="BE342" s="132"/>
      <c r="BF342" s="132"/>
    </row>
    <row r="343" customFormat="false" ht="11.25" hidden="false" customHeight="true" outlineLevel="0" collapsed="false">
      <c r="A343" s="113" t="s">
        <v>1026</v>
      </c>
      <c r="E343" s="80"/>
      <c r="F343" s="810"/>
      <c r="G343" s="138"/>
      <c r="H343" s="811" t="s">
        <v>89</v>
      </c>
      <c r="I343" s="831"/>
      <c r="J343" s="335"/>
      <c r="K343" s="333"/>
      <c r="L343" s="204"/>
      <c r="M343" s="198"/>
      <c r="N343" s="837"/>
      <c r="O343" s="838" t="n">
        <v>1</v>
      </c>
      <c r="P343" s="76" t="s">
        <v>61</v>
      </c>
      <c r="Q343" s="335" t="s">
        <v>1063</v>
      </c>
      <c r="R343" s="839" t="s">
        <v>1064</v>
      </c>
      <c r="S343" s="839" t="s">
        <v>99</v>
      </c>
      <c r="T343" s="839" t="s">
        <v>99</v>
      </c>
      <c r="U343" s="839" t="s">
        <v>100</v>
      </c>
      <c r="V343" s="839" t="s">
        <v>1065</v>
      </c>
      <c r="W343" s="839" t="s">
        <v>1066</v>
      </c>
      <c r="X343" s="839" t="s">
        <v>1067</v>
      </c>
      <c r="Y343" s="839" t="s">
        <v>1068</v>
      </c>
      <c r="Z343" s="840"/>
      <c r="AA343" s="841"/>
      <c r="AB343" s="841"/>
      <c r="AC343" s="842"/>
      <c r="AD343" s="842"/>
      <c r="AE343" s="843"/>
      <c r="AF343" s="835"/>
      <c r="AG343" s="836"/>
      <c r="AH343" s="836"/>
      <c r="AI343" s="835"/>
      <c r="AJ343" s="836"/>
      <c r="AK343" s="836"/>
      <c r="AL343" s="809"/>
      <c r="AM343" s="132"/>
      <c r="AN343" s="132"/>
      <c r="AO343" s="132"/>
      <c r="AP343" s="132"/>
      <c r="AQ343" s="132"/>
      <c r="AR343" s="132"/>
      <c r="AS343" s="132"/>
      <c r="AT343" s="132"/>
      <c r="AU343" s="132"/>
      <c r="AV343" s="132"/>
      <c r="AW343" s="132"/>
      <c r="AX343" s="132"/>
      <c r="AY343" s="132"/>
      <c r="AZ343" s="132"/>
      <c r="BA343" s="132"/>
      <c r="BB343" s="132"/>
      <c r="BC343" s="132"/>
      <c r="BD343" s="132"/>
      <c r="BE343" s="132"/>
      <c r="BF343" s="132"/>
    </row>
    <row r="344" customFormat="false" ht="11.25" hidden="false" customHeight="true" outlineLevel="0" collapsed="false">
      <c r="A344" s="113" t="s">
        <v>1026</v>
      </c>
      <c r="E344" s="80"/>
      <c r="F344" s="810"/>
      <c r="G344" s="138"/>
      <c r="H344" s="811" t="s">
        <v>89</v>
      </c>
      <c r="I344" s="831"/>
      <c r="J344" s="335"/>
      <c r="K344" s="333"/>
      <c r="L344" s="204"/>
      <c r="M344" s="198"/>
      <c r="N344" s="837"/>
      <c r="O344" s="838"/>
      <c r="P344" s="76"/>
      <c r="Q344" s="335"/>
      <c r="R344" s="839"/>
      <c r="S344" s="839"/>
      <c r="T344" s="839"/>
      <c r="U344" s="839"/>
      <c r="V344" s="839"/>
      <c r="W344" s="839"/>
      <c r="X344" s="839"/>
      <c r="Y344" s="839"/>
      <c r="Z344" s="844"/>
      <c r="AA344" s="845" t="n">
        <v>1</v>
      </c>
      <c r="AB344" s="846" t="s">
        <v>1069</v>
      </c>
      <c r="AC344" s="756" t="n">
        <v>158.462</v>
      </c>
      <c r="AD344" s="846" t="str">
        <f aca="false">AB344</f>
        <v>Прочие амортизационные отчисления</v>
      </c>
      <c r="AE344" s="756" t="n">
        <v>158.462</v>
      </c>
      <c r="AF344" s="835"/>
      <c r="AG344" s="836"/>
      <c r="AH344" s="836"/>
      <c r="AI344" s="835"/>
      <c r="AJ344" s="836"/>
      <c r="AK344" s="836"/>
      <c r="AL344" s="809"/>
      <c r="AM344" s="132"/>
      <c r="AN344" s="132"/>
      <c r="AO344" s="132"/>
      <c r="AP344" s="132"/>
      <c r="AQ344" s="132"/>
      <c r="AR344" s="132"/>
      <c r="AS344" s="132"/>
      <c r="AT344" s="132"/>
      <c r="AU344" s="132"/>
      <c r="AV344" s="132"/>
      <c r="AW344" s="132"/>
      <c r="AX344" s="132"/>
      <c r="AY344" s="132"/>
      <c r="AZ344" s="132"/>
      <c r="BA344" s="132"/>
      <c r="BB344" s="132"/>
      <c r="BC344" s="132"/>
      <c r="BD344" s="132"/>
      <c r="BE344" s="132"/>
      <c r="BF344" s="132"/>
    </row>
    <row r="345" customFormat="false" ht="11.25" hidden="false" customHeight="true" outlineLevel="0" collapsed="false">
      <c r="A345" s="113" t="s">
        <v>1026</v>
      </c>
      <c r="E345" s="80"/>
      <c r="F345" s="810"/>
      <c r="G345" s="138"/>
      <c r="H345" s="811" t="s">
        <v>89</v>
      </c>
      <c r="I345" s="831"/>
      <c r="J345" s="335"/>
      <c r="K345" s="333"/>
      <c r="L345" s="204"/>
      <c r="M345" s="198"/>
      <c r="N345" s="837"/>
      <c r="O345" s="838"/>
      <c r="P345" s="76"/>
      <c r="Q345" s="335"/>
      <c r="R345" s="839"/>
      <c r="S345" s="839"/>
      <c r="T345" s="839"/>
      <c r="U345" s="839"/>
      <c r="V345" s="839"/>
      <c r="W345" s="839"/>
      <c r="X345" s="839"/>
      <c r="Y345" s="839"/>
      <c r="Z345" s="840"/>
      <c r="AA345" s="841"/>
      <c r="AB345" s="161" t="s">
        <v>1071</v>
      </c>
      <c r="AC345" s="842"/>
      <c r="AD345" s="842"/>
      <c r="AE345" s="847"/>
      <c r="AF345" s="835"/>
      <c r="AG345" s="836"/>
      <c r="AH345" s="836"/>
      <c r="AI345" s="835"/>
      <c r="AJ345" s="836"/>
      <c r="AK345" s="836"/>
      <c r="AL345" s="809"/>
      <c r="AM345" s="132"/>
      <c r="AN345" s="132"/>
      <c r="AO345" s="132"/>
      <c r="AP345" s="132"/>
      <c r="AQ345" s="132"/>
      <c r="AR345" s="132"/>
      <c r="AS345" s="132"/>
      <c r="AT345" s="132"/>
      <c r="AU345" s="132"/>
      <c r="AV345" s="132"/>
      <c r="AW345" s="132"/>
      <c r="AX345" s="132"/>
      <c r="AY345" s="132"/>
      <c r="AZ345" s="132"/>
      <c r="BA345" s="132"/>
      <c r="BB345" s="132"/>
      <c r="BC345" s="132"/>
      <c r="BD345" s="132"/>
      <c r="BE345" s="132"/>
      <c r="BF345" s="132"/>
    </row>
    <row r="346" customFormat="false" ht="11.25" hidden="false" customHeight="true" outlineLevel="0" collapsed="false">
      <c r="A346" s="113" t="s">
        <v>1026</v>
      </c>
      <c r="E346" s="80"/>
      <c r="F346" s="810"/>
      <c r="G346" s="138"/>
      <c r="H346" s="811" t="s">
        <v>89</v>
      </c>
      <c r="I346" s="831"/>
      <c r="J346" s="335"/>
      <c r="K346" s="333"/>
      <c r="L346" s="204"/>
      <c r="M346" s="198"/>
      <c r="N346" s="840"/>
      <c r="O346" s="841"/>
      <c r="P346" s="161" t="s">
        <v>1072</v>
      </c>
      <c r="Q346" s="841"/>
      <c r="R346" s="841"/>
      <c r="S346" s="841"/>
      <c r="T346" s="841"/>
      <c r="U346" s="841"/>
      <c r="V346" s="841"/>
      <c r="W346" s="841"/>
      <c r="X346" s="841"/>
      <c r="Y346" s="841"/>
      <c r="Z346" s="841"/>
      <c r="AA346" s="841"/>
      <c r="AB346" s="841"/>
      <c r="AC346" s="841"/>
      <c r="AD346" s="841"/>
      <c r="AE346" s="848"/>
      <c r="AF346" s="835"/>
      <c r="AG346" s="836"/>
      <c r="AH346" s="836"/>
      <c r="AI346" s="835"/>
      <c r="AJ346" s="836"/>
      <c r="AK346" s="836"/>
      <c r="AL346" s="809"/>
      <c r="AM346" s="132"/>
      <c r="AN346" s="132"/>
      <c r="AO346" s="132"/>
      <c r="AP346" s="132"/>
      <c r="AQ346" s="132"/>
      <c r="AR346" s="132"/>
      <c r="AS346" s="132"/>
      <c r="AT346" s="132"/>
      <c r="AU346" s="132"/>
      <c r="AV346" s="132"/>
      <c r="AW346" s="132"/>
      <c r="AX346" s="132"/>
      <c r="AY346" s="132"/>
      <c r="AZ346" s="132"/>
      <c r="BA346" s="132"/>
      <c r="BB346" s="132"/>
      <c r="BC346" s="132"/>
      <c r="BD346" s="132"/>
      <c r="BE346" s="132"/>
      <c r="BF346" s="132"/>
    </row>
    <row r="347" customFormat="false" ht="11.25" hidden="false" customHeight="true" outlineLevel="0" collapsed="false">
      <c r="A347" s="113" t="s">
        <v>1026</v>
      </c>
      <c r="E347" s="80"/>
      <c r="F347" s="810"/>
      <c r="G347" s="138" t="s">
        <v>103</v>
      </c>
      <c r="H347" s="811" t="s">
        <v>121</v>
      </c>
      <c r="I347" s="831"/>
      <c r="J347" s="335"/>
      <c r="K347" s="333" t="s">
        <v>1074</v>
      </c>
      <c r="L347" s="204" t="s">
        <v>19</v>
      </c>
      <c r="M347" s="198"/>
      <c r="N347" s="832"/>
      <c r="O347" s="833" t="s">
        <v>389</v>
      </c>
      <c r="P347" s="834"/>
      <c r="Q347" s="834"/>
      <c r="R347" s="834"/>
      <c r="S347" s="834"/>
      <c r="T347" s="834"/>
      <c r="U347" s="834"/>
      <c r="V347" s="834"/>
      <c r="W347" s="834"/>
      <c r="X347" s="834"/>
      <c r="Y347" s="834"/>
      <c r="Z347" s="834"/>
      <c r="AA347" s="834"/>
      <c r="AB347" s="834"/>
      <c r="AC347" s="834"/>
      <c r="AD347" s="834"/>
      <c r="AE347" s="834"/>
      <c r="AF347" s="835" t="n">
        <v>2019</v>
      </c>
      <c r="AG347" s="836" t="s">
        <v>1059</v>
      </c>
      <c r="AH347" s="836" t="s">
        <v>1075</v>
      </c>
      <c r="AI347" s="835" t="n">
        <v>2019</v>
      </c>
      <c r="AJ347" s="836" t="s">
        <v>1076</v>
      </c>
      <c r="AK347" s="836" t="s">
        <v>1062</v>
      </c>
      <c r="AL347" s="809"/>
      <c r="AM347" s="132"/>
      <c r="AN347" s="132"/>
      <c r="AO347" s="132"/>
      <c r="AP347" s="132"/>
      <c r="AQ347" s="132"/>
      <c r="AR347" s="132"/>
      <c r="AS347" s="132"/>
      <c r="AT347" s="132"/>
      <c r="AU347" s="132"/>
      <c r="AV347" s="132"/>
      <c r="AW347" s="132"/>
      <c r="AX347" s="132"/>
      <c r="AY347" s="132"/>
      <c r="AZ347" s="132"/>
      <c r="BA347" s="132"/>
      <c r="BB347" s="132"/>
      <c r="BC347" s="132"/>
      <c r="BD347" s="132"/>
      <c r="BE347" s="132"/>
      <c r="BF347" s="132"/>
    </row>
    <row r="348" customFormat="false" ht="11.25" hidden="false" customHeight="true" outlineLevel="0" collapsed="false">
      <c r="A348" s="113" t="s">
        <v>1026</v>
      </c>
      <c r="E348" s="80"/>
      <c r="F348" s="810"/>
      <c r="G348" s="138"/>
      <c r="H348" s="811" t="s">
        <v>90</v>
      </c>
      <c r="I348" s="831"/>
      <c r="J348" s="335"/>
      <c r="K348" s="333"/>
      <c r="L348" s="204"/>
      <c r="M348" s="198"/>
      <c r="N348" s="837"/>
      <c r="O348" s="838" t="n">
        <v>1</v>
      </c>
      <c r="P348" s="76" t="s">
        <v>61</v>
      </c>
      <c r="Q348" s="335" t="s">
        <v>1063</v>
      </c>
      <c r="R348" s="839" t="s">
        <v>1064</v>
      </c>
      <c r="S348" s="839" t="s">
        <v>99</v>
      </c>
      <c r="T348" s="839" t="s">
        <v>99</v>
      </c>
      <c r="U348" s="839" t="s">
        <v>100</v>
      </c>
      <c r="V348" s="839" t="s">
        <v>1065</v>
      </c>
      <c r="W348" s="839" t="s">
        <v>1066</v>
      </c>
      <c r="X348" s="839" t="s">
        <v>1067</v>
      </c>
      <c r="Y348" s="839" t="s">
        <v>1068</v>
      </c>
      <c r="Z348" s="840"/>
      <c r="AA348" s="841"/>
      <c r="AB348" s="841"/>
      <c r="AC348" s="842"/>
      <c r="AD348" s="842"/>
      <c r="AE348" s="843"/>
      <c r="AF348" s="835"/>
      <c r="AG348" s="836"/>
      <c r="AH348" s="836"/>
      <c r="AI348" s="835"/>
      <c r="AJ348" s="836"/>
      <c r="AK348" s="836"/>
      <c r="AL348" s="809"/>
      <c r="AM348" s="132"/>
      <c r="AN348" s="132"/>
      <c r="AO348" s="132"/>
      <c r="AP348" s="132"/>
      <c r="AQ348" s="132"/>
      <c r="AR348" s="132"/>
      <c r="AS348" s="132"/>
      <c r="AT348" s="132"/>
      <c r="AU348" s="132"/>
      <c r="AV348" s="132"/>
      <c r="AW348" s="132"/>
      <c r="AX348" s="132"/>
      <c r="AY348" s="132"/>
      <c r="AZ348" s="132"/>
      <c r="BA348" s="132"/>
      <c r="BB348" s="132"/>
      <c r="BC348" s="132"/>
      <c r="BD348" s="132"/>
      <c r="BE348" s="132"/>
      <c r="BF348" s="132"/>
    </row>
    <row r="349" customFormat="false" ht="11.25" hidden="false" customHeight="true" outlineLevel="0" collapsed="false">
      <c r="A349" s="113" t="s">
        <v>1026</v>
      </c>
      <c r="E349" s="80"/>
      <c r="F349" s="810"/>
      <c r="G349" s="138"/>
      <c r="H349" s="811" t="s">
        <v>90</v>
      </c>
      <c r="I349" s="831"/>
      <c r="J349" s="335"/>
      <c r="K349" s="333"/>
      <c r="L349" s="204"/>
      <c r="M349" s="198"/>
      <c r="N349" s="837"/>
      <c r="O349" s="838"/>
      <c r="P349" s="76"/>
      <c r="Q349" s="335"/>
      <c r="R349" s="839"/>
      <c r="S349" s="839"/>
      <c r="T349" s="839"/>
      <c r="U349" s="839"/>
      <c r="V349" s="839"/>
      <c r="W349" s="839"/>
      <c r="X349" s="839"/>
      <c r="Y349" s="839"/>
      <c r="Z349" s="844"/>
      <c r="AA349" s="845" t="n">
        <v>1</v>
      </c>
      <c r="AB349" s="846" t="s">
        <v>1069</v>
      </c>
      <c r="AC349" s="756" t="n">
        <v>150.92</v>
      </c>
      <c r="AD349" s="846" t="str">
        <f aca="false">AB349</f>
        <v>Прочие амортизационные отчисления</v>
      </c>
      <c r="AE349" s="756" t="n">
        <v>0</v>
      </c>
      <c r="AF349" s="835"/>
      <c r="AG349" s="836"/>
      <c r="AH349" s="836"/>
      <c r="AI349" s="835"/>
      <c r="AJ349" s="836"/>
      <c r="AK349" s="836"/>
      <c r="AL349" s="809"/>
      <c r="AM349" s="132"/>
      <c r="AN349" s="132"/>
      <c r="AO349" s="132"/>
      <c r="AP349" s="132"/>
      <c r="AQ349" s="132"/>
      <c r="AR349" s="132"/>
      <c r="AS349" s="132"/>
      <c r="AT349" s="132"/>
      <c r="AU349" s="132"/>
      <c r="AV349" s="132"/>
      <c r="AW349" s="132"/>
      <c r="AX349" s="132"/>
      <c r="AY349" s="132"/>
      <c r="AZ349" s="132"/>
      <c r="BA349" s="132"/>
      <c r="BB349" s="132"/>
      <c r="BC349" s="132"/>
      <c r="BD349" s="132"/>
      <c r="BE349" s="132"/>
      <c r="BF349" s="132"/>
    </row>
    <row r="350" customFormat="false" ht="11.25" hidden="false" customHeight="true" outlineLevel="0" collapsed="false">
      <c r="A350" s="113" t="s">
        <v>1026</v>
      </c>
      <c r="E350" s="80"/>
      <c r="F350" s="810"/>
      <c r="G350" s="138"/>
      <c r="H350" s="811" t="s">
        <v>90</v>
      </c>
      <c r="I350" s="831"/>
      <c r="J350" s="335"/>
      <c r="K350" s="333"/>
      <c r="L350" s="204"/>
      <c r="M350" s="198"/>
      <c r="N350" s="837"/>
      <c r="O350" s="838"/>
      <c r="P350" s="76"/>
      <c r="Q350" s="335"/>
      <c r="R350" s="839"/>
      <c r="S350" s="839"/>
      <c r="T350" s="839"/>
      <c r="U350" s="839"/>
      <c r="V350" s="839"/>
      <c r="W350" s="839"/>
      <c r="X350" s="839"/>
      <c r="Y350" s="839"/>
      <c r="Z350" s="840"/>
      <c r="AA350" s="841"/>
      <c r="AB350" s="161" t="s">
        <v>1071</v>
      </c>
      <c r="AC350" s="842"/>
      <c r="AD350" s="842"/>
      <c r="AE350" s="847"/>
      <c r="AF350" s="835"/>
      <c r="AG350" s="836"/>
      <c r="AH350" s="836"/>
      <c r="AI350" s="835"/>
      <c r="AJ350" s="836"/>
      <c r="AK350" s="836"/>
      <c r="AL350" s="809"/>
      <c r="AM350" s="132"/>
      <c r="AN350" s="132"/>
      <c r="AO350" s="132"/>
      <c r="AP350" s="132"/>
      <c r="AQ350" s="132"/>
      <c r="AR350" s="132"/>
      <c r="AS350" s="132"/>
      <c r="AT350" s="132"/>
      <c r="AU350" s="132"/>
      <c r="AV350" s="132"/>
      <c r="AW350" s="132"/>
      <c r="AX350" s="132"/>
      <c r="AY350" s="132"/>
      <c r="AZ350" s="132"/>
      <c r="BA350" s="132"/>
      <c r="BB350" s="132"/>
      <c r="BC350" s="132"/>
      <c r="BD350" s="132"/>
      <c r="BE350" s="132"/>
      <c r="BF350" s="132"/>
    </row>
    <row r="351" customFormat="false" ht="11.25" hidden="false" customHeight="true" outlineLevel="0" collapsed="false">
      <c r="A351" s="113" t="s">
        <v>1026</v>
      </c>
      <c r="E351" s="80"/>
      <c r="F351" s="810"/>
      <c r="G351" s="138"/>
      <c r="H351" s="811" t="s">
        <v>90</v>
      </c>
      <c r="I351" s="831"/>
      <c r="J351" s="335"/>
      <c r="K351" s="333"/>
      <c r="L351" s="204"/>
      <c r="M351" s="198"/>
      <c r="N351" s="840"/>
      <c r="O351" s="841"/>
      <c r="P351" s="161" t="s">
        <v>1072</v>
      </c>
      <c r="Q351" s="841"/>
      <c r="R351" s="841"/>
      <c r="S351" s="841"/>
      <c r="T351" s="841"/>
      <c r="U351" s="841"/>
      <c r="V351" s="841"/>
      <c r="W351" s="841"/>
      <c r="X351" s="841"/>
      <c r="Y351" s="841"/>
      <c r="Z351" s="841"/>
      <c r="AA351" s="841"/>
      <c r="AB351" s="841"/>
      <c r="AC351" s="841"/>
      <c r="AD351" s="841"/>
      <c r="AE351" s="848"/>
      <c r="AF351" s="835"/>
      <c r="AG351" s="836"/>
      <c r="AH351" s="836"/>
      <c r="AI351" s="835"/>
      <c r="AJ351" s="836"/>
      <c r="AK351" s="836"/>
      <c r="AL351" s="809"/>
      <c r="AM351" s="132"/>
      <c r="AN351" s="132"/>
      <c r="AO351" s="132"/>
      <c r="AP351" s="132"/>
      <c r="AQ351" s="132"/>
      <c r="AR351" s="132"/>
      <c r="AS351" s="132"/>
      <c r="AT351" s="132"/>
      <c r="AU351" s="132"/>
      <c r="AV351" s="132"/>
      <c r="AW351" s="132"/>
      <c r="AX351" s="132"/>
      <c r="AY351" s="132"/>
      <c r="AZ351" s="132"/>
      <c r="BA351" s="132"/>
      <c r="BB351" s="132"/>
      <c r="BC351" s="132"/>
      <c r="BD351" s="132"/>
      <c r="BE351" s="132"/>
      <c r="BF351" s="132"/>
    </row>
    <row r="352" customFormat="false" ht="11.25" hidden="false" customHeight="true" outlineLevel="0" collapsed="false">
      <c r="A352" s="113" t="s">
        <v>1026</v>
      </c>
      <c r="E352" s="80"/>
      <c r="F352" s="810"/>
      <c r="G352" s="138" t="s">
        <v>103</v>
      </c>
      <c r="H352" s="811" t="s">
        <v>91</v>
      </c>
      <c r="I352" s="831"/>
      <c r="J352" s="335"/>
      <c r="K352" s="333" t="s">
        <v>1077</v>
      </c>
      <c r="L352" s="204" t="s">
        <v>19</v>
      </c>
      <c r="M352" s="198"/>
      <c r="N352" s="832"/>
      <c r="O352" s="833" t="s">
        <v>389</v>
      </c>
      <c r="P352" s="834"/>
      <c r="Q352" s="834"/>
      <c r="R352" s="834"/>
      <c r="S352" s="834"/>
      <c r="T352" s="834"/>
      <c r="U352" s="834"/>
      <c r="V352" s="834"/>
      <c r="W352" s="834"/>
      <c r="X352" s="834"/>
      <c r="Y352" s="834"/>
      <c r="Z352" s="834"/>
      <c r="AA352" s="834"/>
      <c r="AB352" s="834"/>
      <c r="AC352" s="834"/>
      <c r="AD352" s="834"/>
      <c r="AE352" s="834"/>
      <c r="AF352" s="835" t="n">
        <v>2019</v>
      </c>
      <c r="AG352" s="836" t="s">
        <v>1059</v>
      </c>
      <c r="AH352" s="836" t="s">
        <v>1075</v>
      </c>
      <c r="AI352" s="835" t="n">
        <v>2020</v>
      </c>
      <c r="AJ352" s="836" t="s">
        <v>1061</v>
      </c>
      <c r="AK352" s="836" t="s">
        <v>1060</v>
      </c>
      <c r="AL352" s="809"/>
      <c r="AM352" s="132"/>
      <c r="AN352" s="132"/>
      <c r="AO352" s="132"/>
      <c r="AP352" s="132"/>
      <c r="AQ352" s="132"/>
      <c r="AR352" s="132"/>
      <c r="AS352" s="132"/>
      <c r="AT352" s="132"/>
      <c r="AU352" s="132"/>
      <c r="AV352" s="132"/>
      <c r="AW352" s="132"/>
      <c r="AX352" s="132"/>
      <c r="AY352" s="132"/>
      <c r="AZ352" s="132"/>
      <c r="BA352" s="132"/>
      <c r="BB352" s="132"/>
      <c r="BC352" s="132"/>
      <c r="BD352" s="132"/>
      <c r="BE352" s="132"/>
      <c r="BF352" s="132"/>
    </row>
    <row r="353" customFormat="false" ht="11.25" hidden="false" customHeight="true" outlineLevel="0" collapsed="false">
      <c r="A353" s="113" t="s">
        <v>1026</v>
      </c>
      <c r="E353" s="80"/>
      <c r="F353" s="810"/>
      <c r="G353" s="138"/>
      <c r="H353" s="811" t="s">
        <v>121</v>
      </c>
      <c r="I353" s="831"/>
      <c r="J353" s="335"/>
      <c r="K353" s="333"/>
      <c r="L353" s="204"/>
      <c r="M353" s="198"/>
      <c r="N353" s="837"/>
      <c r="O353" s="838" t="n">
        <v>1</v>
      </c>
      <c r="P353" s="76" t="s">
        <v>61</v>
      </c>
      <c r="Q353" s="335" t="s">
        <v>1063</v>
      </c>
      <c r="R353" s="839" t="s">
        <v>1064</v>
      </c>
      <c r="S353" s="839" t="s">
        <v>99</v>
      </c>
      <c r="T353" s="839" t="s">
        <v>99</v>
      </c>
      <c r="U353" s="839" t="s">
        <v>100</v>
      </c>
      <c r="V353" s="839" t="s">
        <v>1065</v>
      </c>
      <c r="W353" s="839" t="s">
        <v>1066</v>
      </c>
      <c r="X353" s="839" t="s">
        <v>1067</v>
      </c>
      <c r="Y353" s="839" t="s">
        <v>1068</v>
      </c>
      <c r="Z353" s="840"/>
      <c r="AA353" s="841"/>
      <c r="AB353" s="841"/>
      <c r="AC353" s="842"/>
      <c r="AD353" s="842"/>
      <c r="AE353" s="843"/>
      <c r="AF353" s="835"/>
      <c r="AG353" s="836"/>
      <c r="AH353" s="836"/>
      <c r="AI353" s="835"/>
      <c r="AJ353" s="836"/>
      <c r="AK353" s="836"/>
      <c r="AL353" s="809"/>
      <c r="AM353" s="132"/>
      <c r="AN353" s="132"/>
      <c r="AO353" s="132"/>
      <c r="AP353" s="132"/>
      <c r="AQ353" s="132"/>
      <c r="AR353" s="132"/>
      <c r="AS353" s="132"/>
      <c r="AT353" s="132"/>
      <c r="AU353" s="132"/>
      <c r="AV353" s="132"/>
      <c r="AW353" s="132"/>
      <c r="AX353" s="132"/>
      <c r="AY353" s="132"/>
      <c r="AZ353" s="132"/>
      <c r="BA353" s="132"/>
      <c r="BB353" s="132"/>
      <c r="BC353" s="132"/>
      <c r="BD353" s="132"/>
      <c r="BE353" s="132"/>
      <c r="BF353" s="132"/>
    </row>
    <row r="354" customFormat="false" ht="11.25" hidden="false" customHeight="true" outlineLevel="0" collapsed="false">
      <c r="A354" s="113" t="s">
        <v>1026</v>
      </c>
      <c r="E354" s="80"/>
      <c r="F354" s="810"/>
      <c r="G354" s="138"/>
      <c r="H354" s="811" t="s">
        <v>121</v>
      </c>
      <c r="I354" s="831"/>
      <c r="J354" s="335"/>
      <c r="K354" s="333"/>
      <c r="L354" s="204"/>
      <c r="M354" s="198"/>
      <c r="N354" s="837"/>
      <c r="O354" s="838"/>
      <c r="P354" s="76"/>
      <c r="Q354" s="335"/>
      <c r="R354" s="839"/>
      <c r="S354" s="839"/>
      <c r="T354" s="839"/>
      <c r="U354" s="839"/>
      <c r="V354" s="839"/>
      <c r="W354" s="839"/>
      <c r="X354" s="839"/>
      <c r="Y354" s="839"/>
      <c r="Z354" s="844"/>
      <c r="AA354" s="845" t="n">
        <v>1</v>
      </c>
      <c r="AB354" s="846" t="s">
        <v>1069</v>
      </c>
      <c r="AC354" s="756" t="n">
        <v>1207.05</v>
      </c>
      <c r="AD354" s="846" t="str">
        <f aca="false">AB354</f>
        <v>Прочие амортизационные отчисления</v>
      </c>
      <c r="AE354" s="756" t="n">
        <v>0</v>
      </c>
      <c r="AF354" s="835"/>
      <c r="AG354" s="836"/>
      <c r="AH354" s="836"/>
      <c r="AI354" s="835"/>
      <c r="AJ354" s="836"/>
      <c r="AK354" s="836"/>
      <c r="AL354" s="809"/>
      <c r="AM354" s="132"/>
      <c r="AN354" s="132"/>
      <c r="AO354" s="132"/>
      <c r="AP354" s="132"/>
      <c r="AQ354" s="132"/>
      <c r="AR354" s="132"/>
      <c r="AS354" s="132"/>
      <c r="AT354" s="132"/>
      <c r="AU354" s="132"/>
      <c r="AV354" s="132"/>
      <c r="AW354" s="132"/>
      <c r="AX354" s="132"/>
      <c r="AY354" s="132"/>
      <c r="AZ354" s="132"/>
      <c r="BA354" s="132"/>
      <c r="BB354" s="132"/>
      <c r="BC354" s="132"/>
      <c r="BD354" s="132"/>
      <c r="BE354" s="132"/>
      <c r="BF354" s="132"/>
    </row>
    <row r="355" customFormat="false" ht="11.25" hidden="false" customHeight="true" outlineLevel="0" collapsed="false">
      <c r="A355" s="113" t="s">
        <v>1026</v>
      </c>
      <c r="E355" s="80"/>
      <c r="F355" s="810"/>
      <c r="G355" s="138"/>
      <c r="H355" s="811" t="s">
        <v>121</v>
      </c>
      <c r="I355" s="831"/>
      <c r="J355" s="335"/>
      <c r="K355" s="333"/>
      <c r="L355" s="204"/>
      <c r="M355" s="198"/>
      <c r="N355" s="837"/>
      <c r="O355" s="838"/>
      <c r="P355" s="76"/>
      <c r="Q355" s="335"/>
      <c r="R355" s="839"/>
      <c r="S355" s="839"/>
      <c r="T355" s="839"/>
      <c r="U355" s="839"/>
      <c r="V355" s="839"/>
      <c r="W355" s="839"/>
      <c r="X355" s="839"/>
      <c r="Y355" s="839"/>
      <c r="Z355" s="840"/>
      <c r="AA355" s="841"/>
      <c r="AB355" s="161" t="s">
        <v>1071</v>
      </c>
      <c r="AC355" s="842"/>
      <c r="AD355" s="842"/>
      <c r="AE355" s="847"/>
      <c r="AF355" s="835"/>
      <c r="AG355" s="836"/>
      <c r="AH355" s="836"/>
      <c r="AI355" s="835"/>
      <c r="AJ355" s="836"/>
      <c r="AK355" s="836"/>
      <c r="AL355" s="809"/>
      <c r="AM355" s="132"/>
      <c r="AN355" s="132"/>
      <c r="AO355" s="132"/>
      <c r="AP355" s="132"/>
      <c r="AQ355" s="132"/>
      <c r="AR355" s="132"/>
      <c r="AS355" s="132"/>
      <c r="AT355" s="132"/>
      <c r="AU355" s="132"/>
      <c r="AV355" s="132"/>
      <c r="AW355" s="132"/>
      <c r="AX355" s="132"/>
      <c r="AY355" s="132"/>
      <c r="AZ355" s="132"/>
      <c r="BA355" s="132"/>
      <c r="BB355" s="132"/>
      <c r="BC355" s="132"/>
      <c r="BD355" s="132"/>
      <c r="BE355" s="132"/>
      <c r="BF355" s="132"/>
    </row>
    <row r="356" customFormat="false" ht="11.25" hidden="false" customHeight="true" outlineLevel="0" collapsed="false">
      <c r="A356" s="113" t="s">
        <v>1026</v>
      </c>
      <c r="E356" s="80"/>
      <c r="F356" s="810"/>
      <c r="G356" s="138"/>
      <c r="H356" s="811" t="s">
        <v>121</v>
      </c>
      <c r="I356" s="831"/>
      <c r="J356" s="335"/>
      <c r="K356" s="333"/>
      <c r="L356" s="204"/>
      <c r="M356" s="198"/>
      <c r="N356" s="840"/>
      <c r="O356" s="841"/>
      <c r="P356" s="161" t="s">
        <v>1072</v>
      </c>
      <c r="Q356" s="841"/>
      <c r="R356" s="841"/>
      <c r="S356" s="841"/>
      <c r="T356" s="841"/>
      <c r="U356" s="841"/>
      <c r="V356" s="841"/>
      <c r="W356" s="841"/>
      <c r="X356" s="841"/>
      <c r="Y356" s="841"/>
      <c r="Z356" s="841"/>
      <c r="AA356" s="841"/>
      <c r="AB356" s="841"/>
      <c r="AC356" s="841"/>
      <c r="AD356" s="841"/>
      <c r="AE356" s="848"/>
      <c r="AF356" s="835"/>
      <c r="AG356" s="836"/>
      <c r="AH356" s="836"/>
      <c r="AI356" s="835"/>
      <c r="AJ356" s="836"/>
      <c r="AK356" s="836"/>
      <c r="AL356" s="809"/>
      <c r="AM356" s="132"/>
      <c r="AN356" s="132"/>
      <c r="AO356" s="132"/>
      <c r="AP356" s="132"/>
      <c r="AQ356" s="132"/>
      <c r="AR356" s="132"/>
      <c r="AS356" s="132"/>
      <c r="AT356" s="132"/>
      <c r="AU356" s="132"/>
      <c r="AV356" s="132"/>
      <c r="AW356" s="132"/>
      <c r="AX356" s="132"/>
      <c r="AY356" s="132"/>
      <c r="AZ356" s="132"/>
      <c r="BA356" s="132"/>
      <c r="BB356" s="132"/>
      <c r="BC356" s="132"/>
      <c r="BD356" s="132"/>
      <c r="BE356" s="132"/>
      <c r="BF356" s="132"/>
    </row>
    <row r="357" customFormat="false" ht="11.25" hidden="false" customHeight="true" outlineLevel="0" collapsed="false">
      <c r="A357" s="113" t="s">
        <v>1026</v>
      </c>
      <c r="E357" s="80"/>
      <c r="F357" s="810"/>
      <c r="G357" s="138" t="s">
        <v>103</v>
      </c>
      <c r="H357" s="811" t="s">
        <v>92</v>
      </c>
      <c r="I357" s="831"/>
      <c r="J357" s="335"/>
      <c r="K357" s="333" t="s">
        <v>1140</v>
      </c>
      <c r="L357" s="204" t="s">
        <v>19</v>
      </c>
      <c r="M357" s="198"/>
      <c r="N357" s="832"/>
      <c r="O357" s="833" t="s">
        <v>389</v>
      </c>
      <c r="P357" s="834"/>
      <c r="Q357" s="834"/>
      <c r="R357" s="834"/>
      <c r="S357" s="834"/>
      <c r="T357" s="834"/>
      <c r="U357" s="834"/>
      <c r="V357" s="834"/>
      <c r="W357" s="834"/>
      <c r="X357" s="834"/>
      <c r="Y357" s="834"/>
      <c r="Z357" s="834"/>
      <c r="AA357" s="834"/>
      <c r="AB357" s="834"/>
      <c r="AC357" s="834"/>
      <c r="AD357" s="834"/>
      <c r="AE357" s="834"/>
      <c r="AF357" s="835" t="n">
        <v>2020</v>
      </c>
      <c r="AG357" s="836" t="s">
        <v>1059</v>
      </c>
      <c r="AH357" s="836" t="s">
        <v>1075</v>
      </c>
      <c r="AI357" s="835" t="n">
        <v>2022</v>
      </c>
      <c r="AJ357" s="836" t="s">
        <v>1059</v>
      </c>
      <c r="AK357" s="836" t="s">
        <v>1096</v>
      </c>
      <c r="AL357" s="809"/>
      <c r="AM357" s="132"/>
      <c r="AN357" s="132"/>
      <c r="AO357" s="132"/>
      <c r="AP357" s="132"/>
      <c r="AQ357" s="132"/>
      <c r="AR357" s="132"/>
      <c r="AS357" s="132"/>
      <c r="AT357" s="132"/>
      <c r="AU357" s="132"/>
      <c r="AV357" s="132"/>
      <c r="AW357" s="132"/>
      <c r="AX357" s="132"/>
      <c r="AY357" s="132"/>
      <c r="AZ357" s="132"/>
      <c r="BA357" s="132"/>
      <c r="BB357" s="132"/>
      <c r="BC357" s="132"/>
      <c r="BD357" s="132"/>
      <c r="BE357" s="132"/>
      <c r="BF357" s="132"/>
    </row>
    <row r="358" customFormat="false" ht="11.25" hidden="false" customHeight="true" outlineLevel="0" collapsed="false">
      <c r="A358" s="113" t="s">
        <v>1026</v>
      </c>
      <c r="E358" s="80"/>
      <c r="F358" s="810"/>
      <c r="G358" s="138"/>
      <c r="H358" s="811" t="s">
        <v>91</v>
      </c>
      <c r="I358" s="831"/>
      <c r="J358" s="335"/>
      <c r="K358" s="333"/>
      <c r="L358" s="204"/>
      <c r="M358" s="198"/>
      <c r="N358" s="837"/>
      <c r="O358" s="838" t="n">
        <v>1</v>
      </c>
      <c r="P358" s="76" t="s">
        <v>61</v>
      </c>
      <c r="Q358" s="335" t="s">
        <v>1080</v>
      </c>
      <c r="R358" s="839" t="s">
        <v>1064</v>
      </c>
      <c r="S358" s="839" t="s">
        <v>99</v>
      </c>
      <c r="T358" s="839" t="s">
        <v>99</v>
      </c>
      <c r="U358" s="839" t="s">
        <v>100</v>
      </c>
      <c r="V358" s="839" t="s">
        <v>1065</v>
      </c>
      <c r="W358" s="839" t="s">
        <v>1066</v>
      </c>
      <c r="X358" s="839" t="s">
        <v>1081</v>
      </c>
      <c r="Y358" s="839" t="s">
        <v>1082</v>
      </c>
      <c r="Z358" s="840"/>
      <c r="AA358" s="841"/>
      <c r="AB358" s="841"/>
      <c r="AC358" s="842"/>
      <c r="AD358" s="842"/>
      <c r="AE358" s="843"/>
      <c r="AF358" s="835"/>
      <c r="AG358" s="836"/>
      <c r="AH358" s="836"/>
      <c r="AI358" s="835"/>
      <c r="AJ358" s="836"/>
      <c r="AK358" s="836"/>
      <c r="AL358" s="809"/>
      <c r="AM358" s="132"/>
      <c r="AN358" s="132"/>
      <c r="AO358" s="132"/>
      <c r="AP358" s="132"/>
      <c r="AQ358" s="132"/>
      <c r="AR358" s="132"/>
      <c r="AS358" s="132"/>
      <c r="AT358" s="132"/>
      <c r="AU358" s="132"/>
      <c r="AV358" s="132"/>
      <c r="AW358" s="132"/>
      <c r="AX358" s="132"/>
      <c r="AY358" s="132"/>
      <c r="AZ358" s="132"/>
      <c r="BA358" s="132"/>
      <c r="BB358" s="132"/>
      <c r="BC358" s="132"/>
      <c r="BD358" s="132"/>
      <c r="BE358" s="132"/>
      <c r="BF358" s="132"/>
    </row>
    <row r="359" customFormat="false" ht="11.25" hidden="false" customHeight="true" outlineLevel="0" collapsed="false">
      <c r="A359" s="113" t="s">
        <v>1026</v>
      </c>
      <c r="E359" s="80"/>
      <c r="F359" s="810"/>
      <c r="G359" s="138"/>
      <c r="H359" s="811" t="s">
        <v>91</v>
      </c>
      <c r="I359" s="831"/>
      <c r="J359" s="335"/>
      <c r="K359" s="333"/>
      <c r="L359" s="204"/>
      <c r="M359" s="198"/>
      <c r="N359" s="837"/>
      <c r="O359" s="838"/>
      <c r="P359" s="76"/>
      <c r="Q359" s="335"/>
      <c r="R359" s="839"/>
      <c r="S359" s="839"/>
      <c r="T359" s="839"/>
      <c r="U359" s="839"/>
      <c r="V359" s="839"/>
      <c r="W359" s="839"/>
      <c r="X359" s="839"/>
      <c r="Y359" s="839"/>
      <c r="Z359" s="844"/>
      <c r="AA359" s="845" t="n">
        <v>1</v>
      </c>
      <c r="AB359" s="846" t="s">
        <v>1069</v>
      </c>
      <c r="AC359" s="756" t="n">
        <v>1787.93</v>
      </c>
      <c r="AD359" s="846" t="str">
        <f aca="false">AB359</f>
        <v>Прочие амортизационные отчисления</v>
      </c>
      <c r="AE359" s="756" t="n">
        <v>18.26</v>
      </c>
      <c r="AF359" s="835"/>
      <c r="AG359" s="836"/>
      <c r="AH359" s="836"/>
      <c r="AI359" s="835"/>
      <c r="AJ359" s="836"/>
      <c r="AK359" s="836"/>
      <c r="AL359" s="809"/>
      <c r="AM359" s="132"/>
      <c r="AN359" s="132"/>
      <c r="AO359" s="132"/>
      <c r="AP359" s="132"/>
      <c r="AQ359" s="132"/>
      <c r="AR359" s="132"/>
      <c r="AS359" s="132"/>
      <c r="AT359" s="132"/>
      <c r="AU359" s="132"/>
      <c r="AV359" s="132"/>
      <c r="AW359" s="132"/>
      <c r="AX359" s="132"/>
      <c r="AY359" s="132"/>
      <c r="AZ359" s="132"/>
      <c r="BA359" s="132"/>
      <c r="BB359" s="132"/>
      <c r="BC359" s="132"/>
      <c r="BD359" s="132"/>
      <c r="BE359" s="132"/>
      <c r="BF359" s="132"/>
    </row>
    <row r="360" customFormat="false" ht="11.25" hidden="false" customHeight="true" outlineLevel="0" collapsed="false">
      <c r="A360" s="113" t="s">
        <v>1026</v>
      </c>
      <c r="E360" s="80"/>
      <c r="F360" s="810"/>
      <c r="G360" s="138"/>
      <c r="H360" s="811" t="s">
        <v>91</v>
      </c>
      <c r="I360" s="831"/>
      <c r="J360" s="335"/>
      <c r="K360" s="333"/>
      <c r="L360" s="204"/>
      <c r="M360" s="198"/>
      <c r="N360" s="837"/>
      <c r="O360" s="838"/>
      <c r="P360" s="76"/>
      <c r="Q360" s="335"/>
      <c r="R360" s="839"/>
      <c r="S360" s="839"/>
      <c r="T360" s="839"/>
      <c r="U360" s="839"/>
      <c r="V360" s="839"/>
      <c r="W360" s="839"/>
      <c r="X360" s="839"/>
      <c r="Y360" s="839"/>
      <c r="Z360" s="840"/>
      <c r="AA360" s="841"/>
      <c r="AB360" s="161" t="s">
        <v>1071</v>
      </c>
      <c r="AC360" s="842"/>
      <c r="AD360" s="842"/>
      <c r="AE360" s="847"/>
      <c r="AF360" s="835"/>
      <c r="AG360" s="836"/>
      <c r="AH360" s="836"/>
      <c r="AI360" s="835"/>
      <c r="AJ360" s="836"/>
      <c r="AK360" s="836"/>
      <c r="AL360" s="809"/>
      <c r="AM360" s="132"/>
      <c r="AN360" s="132"/>
      <c r="AO360" s="132"/>
      <c r="AP360" s="132"/>
      <c r="AQ360" s="132"/>
      <c r="AR360" s="132"/>
      <c r="AS360" s="132"/>
      <c r="AT360" s="132"/>
      <c r="AU360" s="132"/>
      <c r="AV360" s="132"/>
      <c r="AW360" s="132"/>
      <c r="AX360" s="132"/>
      <c r="AY360" s="132"/>
      <c r="AZ360" s="132"/>
      <c r="BA360" s="132"/>
      <c r="BB360" s="132"/>
      <c r="BC360" s="132"/>
      <c r="BD360" s="132"/>
      <c r="BE360" s="132"/>
      <c r="BF360" s="132"/>
    </row>
    <row r="361" customFormat="false" ht="11.25" hidden="false" customHeight="true" outlineLevel="0" collapsed="false">
      <c r="A361" s="113" t="s">
        <v>1026</v>
      </c>
      <c r="E361" s="80"/>
      <c r="F361" s="810"/>
      <c r="G361" s="138"/>
      <c r="H361" s="811" t="s">
        <v>91</v>
      </c>
      <c r="I361" s="831"/>
      <c r="J361" s="335"/>
      <c r="K361" s="333"/>
      <c r="L361" s="204"/>
      <c r="M361" s="198"/>
      <c r="N361" s="840"/>
      <c r="O361" s="841"/>
      <c r="P361" s="161" t="s">
        <v>1072</v>
      </c>
      <c r="Q361" s="841"/>
      <c r="R361" s="841"/>
      <c r="S361" s="841"/>
      <c r="T361" s="841"/>
      <c r="U361" s="841"/>
      <c r="V361" s="841"/>
      <c r="W361" s="841"/>
      <c r="X361" s="841"/>
      <c r="Y361" s="841"/>
      <c r="Z361" s="841"/>
      <c r="AA361" s="841"/>
      <c r="AB361" s="841"/>
      <c r="AC361" s="841"/>
      <c r="AD361" s="841"/>
      <c r="AE361" s="848"/>
      <c r="AF361" s="835"/>
      <c r="AG361" s="836"/>
      <c r="AH361" s="836"/>
      <c r="AI361" s="835"/>
      <c r="AJ361" s="836"/>
      <c r="AK361" s="836"/>
      <c r="AL361" s="809"/>
      <c r="AM361" s="132"/>
      <c r="AN361" s="132"/>
      <c r="AO361" s="132"/>
      <c r="AP361" s="132"/>
      <c r="AQ361" s="132"/>
      <c r="AR361" s="132"/>
      <c r="AS361" s="132"/>
      <c r="AT361" s="132"/>
      <c r="AU361" s="132"/>
      <c r="AV361" s="132"/>
      <c r="AW361" s="132"/>
      <c r="AX361" s="132"/>
      <c r="AY361" s="132"/>
      <c r="AZ361" s="132"/>
      <c r="BA361" s="132"/>
      <c r="BB361" s="132"/>
      <c r="BC361" s="132"/>
      <c r="BD361" s="132"/>
      <c r="BE361" s="132"/>
      <c r="BF361" s="132"/>
    </row>
    <row r="362" customFormat="false" ht="11.25" hidden="false" customHeight="true" outlineLevel="0" collapsed="false">
      <c r="A362" s="113" t="s">
        <v>1026</v>
      </c>
      <c r="E362" s="80"/>
      <c r="F362" s="810"/>
      <c r="G362" s="138" t="s">
        <v>103</v>
      </c>
      <c r="H362" s="811" t="s">
        <v>122</v>
      </c>
      <c r="I362" s="831"/>
      <c r="J362" s="335"/>
      <c r="K362" s="333" t="s">
        <v>1157</v>
      </c>
      <c r="L362" s="204" t="s">
        <v>19</v>
      </c>
      <c r="M362" s="198"/>
      <c r="N362" s="832"/>
      <c r="O362" s="833" t="s">
        <v>389</v>
      </c>
      <c r="P362" s="834"/>
      <c r="Q362" s="834"/>
      <c r="R362" s="834"/>
      <c r="S362" s="834"/>
      <c r="T362" s="834"/>
      <c r="U362" s="834"/>
      <c r="V362" s="834"/>
      <c r="W362" s="834"/>
      <c r="X362" s="834"/>
      <c r="Y362" s="834"/>
      <c r="Z362" s="834"/>
      <c r="AA362" s="834"/>
      <c r="AB362" s="834"/>
      <c r="AC362" s="834"/>
      <c r="AD362" s="834"/>
      <c r="AE362" s="834"/>
      <c r="AF362" s="835" t="n">
        <v>2021</v>
      </c>
      <c r="AG362" s="836" t="s">
        <v>1059</v>
      </c>
      <c r="AH362" s="836" t="s">
        <v>1075</v>
      </c>
      <c r="AI362" s="835" t="n">
        <v>2021</v>
      </c>
      <c r="AJ362" s="836" t="s">
        <v>1113</v>
      </c>
      <c r="AK362" s="836" t="s">
        <v>1075</v>
      </c>
      <c r="AL362" s="809"/>
      <c r="AM362" s="132"/>
      <c r="AN362" s="132"/>
      <c r="AO362" s="132"/>
      <c r="AP362" s="132"/>
      <c r="AQ362" s="132"/>
      <c r="AR362" s="132"/>
      <c r="AS362" s="132"/>
      <c r="AT362" s="132"/>
      <c r="AU362" s="132"/>
      <c r="AV362" s="132"/>
      <c r="AW362" s="132"/>
      <c r="AX362" s="132"/>
      <c r="AY362" s="132"/>
      <c r="AZ362" s="132"/>
      <c r="BA362" s="132"/>
      <c r="BB362" s="132"/>
      <c r="BC362" s="132"/>
      <c r="BD362" s="132"/>
      <c r="BE362" s="132"/>
      <c r="BF362" s="132"/>
    </row>
    <row r="363" customFormat="false" ht="11.25" hidden="false" customHeight="true" outlineLevel="0" collapsed="false">
      <c r="A363" s="113" t="s">
        <v>1026</v>
      </c>
      <c r="E363" s="80"/>
      <c r="F363" s="810"/>
      <c r="G363" s="138"/>
      <c r="H363" s="811" t="s">
        <v>92</v>
      </c>
      <c r="I363" s="831"/>
      <c r="J363" s="335"/>
      <c r="K363" s="333"/>
      <c r="L363" s="204"/>
      <c r="M363" s="198"/>
      <c r="N363" s="837"/>
      <c r="O363" s="838" t="n">
        <v>1</v>
      </c>
      <c r="P363" s="76" t="s">
        <v>61</v>
      </c>
      <c r="Q363" s="335" t="s">
        <v>1080</v>
      </c>
      <c r="R363" s="839" t="s">
        <v>1064</v>
      </c>
      <c r="S363" s="839" t="s">
        <v>99</v>
      </c>
      <c r="T363" s="839" t="s">
        <v>99</v>
      </c>
      <c r="U363" s="839" t="s">
        <v>100</v>
      </c>
      <c r="V363" s="839" t="s">
        <v>1065</v>
      </c>
      <c r="W363" s="839" t="s">
        <v>1066</v>
      </c>
      <c r="X363" s="839" t="s">
        <v>1081</v>
      </c>
      <c r="Y363" s="839" t="s">
        <v>1082</v>
      </c>
      <c r="Z363" s="840"/>
      <c r="AA363" s="841"/>
      <c r="AB363" s="841"/>
      <c r="AC363" s="842"/>
      <c r="AD363" s="842"/>
      <c r="AE363" s="843"/>
      <c r="AF363" s="835"/>
      <c r="AG363" s="836"/>
      <c r="AH363" s="836"/>
      <c r="AI363" s="835"/>
      <c r="AJ363" s="836"/>
      <c r="AK363" s="836"/>
      <c r="AL363" s="809"/>
      <c r="AM363" s="132"/>
      <c r="AN363" s="132"/>
      <c r="AO363" s="132"/>
      <c r="AP363" s="132"/>
      <c r="AQ363" s="132"/>
      <c r="AR363" s="132"/>
      <c r="AS363" s="132"/>
      <c r="AT363" s="132"/>
      <c r="AU363" s="132"/>
      <c r="AV363" s="132"/>
      <c r="AW363" s="132"/>
      <c r="AX363" s="132"/>
      <c r="AY363" s="132"/>
      <c r="AZ363" s="132"/>
      <c r="BA363" s="132"/>
      <c r="BB363" s="132"/>
      <c r="BC363" s="132"/>
      <c r="BD363" s="132"/>
      <c r="BE363" s="132"/>
      <c r="BF363" s="132"/>
    </row>
    <row r="364" customFormat="false" ht="11.25" hidden="false" customHeight="true" outlineLevel="0" collapsed="false">
      <c r="A364" s="113" t="s">
        <v>1026</v>
      </c>
      <c r="E364" s="80"/>
      <c r="F364" s="810"/>
      <c r="G364" s="138"/>
      <c r="H364" s="811" t="s">
        <v>92</v>
      </c>
      <c r="I364" s="831"/>
      <c r="J364" s="335"/>
      <c r="K364" s="333"/>
      <c r="L364" s="204"/>
      <c r="M364" s="198"/>
      <c r="N364" s="837"/>
      <c r="O364" s="838"/>
      <c r="P364" s="76"/>
      <c r="Q364" s="335"/>
      <c r="R364" s="839"/>
      <c r="S364" s="839"/>
      <c r="T364" s="839"/>
      <c r="U364" s="839"/>
      <c r="V364" s="839"/>
      <c r="W364" s="839"/>
      <c r="X364" s="839"/>
      <c r="Y364" s="839"/>
      <c r="Z364" s="844"/>
      <c r="AA364" s="845" t="n">
        <v>1</v>
      </c>
      <c r="AB364" s="846" t="s">
        <v>1069</v>
      </c>
      <c r="AC364" s="756" t="n">
        <v>16.01459</v>
      </c>
      <c r="AD364" s="846" t="str">
        <f aca="false">AB364</f>
        <v>Прочие амортизационные отчисления</v>
      </c>
      <c r="AE364" s="756" t="n">
        <v>16.01459</v>
      </c>
      <c r="AF364" s="835"/>
      <c r="AG364" s="836"/>
      <c r="AH364" s="836"/>
      <c r="AI364" s="835"/>
      <c r="AJ364" s="836"/>
      <c r="AK364" s="836"/>
      <c r="AL364" s="809"/>
      <c r="AM364" s="132"/>
      <c r="AN364" s="132"/>
      <c r="AO364" s="132"/>
      <c r="AP364" s="132"/>
      <c r="AQ364" s="132"/>
      <c r="AR364" s="132"/>
      <c r="AS364" s="132"/>
      <c r="AT364" s="132"/>
      <c r="AU364" s="132"/>
      <c r="AV364" s="132"/>
      <c r="AW364" s="132"/>
      <c r="AX364" s="132"/>
      <c r="AY364" s="132"/>
      <c r="AZ364" s="132"/>
      <c r="BA364" s="132"/>
      <c r="BB364" s="132"/>
      <c r="BC364" s="132"/>
      <c r="BD364" s="132"/>
      <c r="BE364" s="132"/>
      <c r="BF364" s="132"/>
    </row>
    <row r="365" customFormat="false" ht="11.25" hidden="false" customHeight="true" outlineLevel="0" collapsed="false">
      <c r="A365" s="113" t="s">
        <v>1026</v>
      </c>
      <c r="E365" s="80"/>
      <c r="F365" s="810"/>
      <c r="G365" s="138"/>
      <c r="H365" s="811" t="s">
        <v>92</v>
      </c>
      <c r="I365" s="831"/>
      <c r="J365" s="335"/>
      <c r="K365" s="333"/>
      <c r="L365" s="204"/>
      <c r="M365" s="198"/>
      <c r="N365" s="837"/>
      <c r="O365" s="838"/>
      <c r="P365" s="76"/>
      <c r="Q365" s="335"/>
      <c r="R365" s="839"/>
      <c r="S365" s="839"/>
      <c r="T365" s="839"/>
      <c r="U365" s="839"/>
      <c r="V365" s="839"/>
      <c r="W365" s="839"/>
      <c r="X365" s="839"/>
      <c r="Y365" s="839"/>
      <c r="Z365" s="840"/>
      <c r="AA365" s="841"/>
      <c r="AB365" s="161" t="s">
        <v>1071</v>
      </c>
      <c r="AC365" s="842"/>
      <c r="AD365" s="842"/>
      <c r="AE365" s="847"/>
      <c r="AF365" s="835"/>
      <c r="AG365" s="836"/>
      <c r="AH365" s="836"/>
      <c r="AI365" s="835"/>
      <c r="AJ365" s="836"/>
      <c r="AK365" s="836"/>
      <c r="AL365" s="809"/>
      <c r="AM365" s="132"/>
      <c r="AN365" s="132"/>
      <c r="AO365" s="132"/>
      <c r="AP365" s="132"/>
      <c r="AQ365" s="132"/>
      <c r="AR365" s="132"/>
      <c r="AS365" s="132"/>
      <c r="AT365" s="132"/>
      <c r="AU365" s="132"/>
      <c r="AV365" s="132"/>
      <c r="AW365" s="132"/>
      <c r="AX365" s="132"/>
      <c r="AY365" s="132"/>
      <c r="AZ365" s="132"/>
      <c r="BA365" s="132"/>
      <c r="BB365" s="132"/>
      <c r="BC365" s="132"/>
      <c r="BD365" s="132"/>
      <c r="BE365" s="132"/>
      <c r="BF365" s="132"/>
    </row>
    <row r="366" customFormat="false" ht="11.25" hidden="false" customHeight="true" outlineLevel="0" collapsed="false">
      <c r="A366" s="113" t="s">
        <v>1026</v>
      </c>
      <c r="E366" s="80"/>
      <c r="F366" s="810"/>
      <c r="G366" s="138"/>
      <c r="H366" s="811" t="s">
        <v>92</v>
      </c>
      <c r="I366" s="831"/>
      <c r="J366" s="335"/>
      <c r="K366" s="333"/>
      <c r="L366" s="204"/>
      <c r="M366" s="198"/>
      <c r="N366" s="840"/>
      <c r="O366" s="841"/>
      <c r="P366" s="161" t="s">
        <v>1072</v>
      </c>
      <c r="Q366" s="841"/>
      <c r="R366" s="841"/>
      <c r="S366" s="841"/>
      <c r="T366" s="841"/>
      <c r="U366" s="841"/>
      <c r="V366" s="841"/>
      <c r="W366" s="841"/>
      <c r="X366" s="841"/>
      <c r="Y366" s="841"/>
      <c r="Z366" s="841"/>
      <c r="AA366" s="841"/>
      <c r="AB366" s="841"/>
      <c r="AC366" s="841"/>
      <c r="AD366" s="841"/>
      <c r="AE366" s="848"/>
      <c r="AF366" s="835"/>
      <c r="AG366" s="836"/>
      <c r="AH366" s="836"/>
      <c r="AI366" s="835"/>
      <c r="AJ366" s="836"/>
      <c r="AK366" s="836"/>
      <c r="AL366" s="809"/>
      <c r="AM366" s="132"/>
      <c r="AN366" s="132"/>
      <c r="AO366" s="132"/>
      <c r="AP366" s="132"/>
      <c r="AQ366" s="132"/>
      <c r="AR366" s="132"/>
      <c r="AS366" s="132"/>
      <c r="AT366" s="132"/>
      <c r="AU366" s="132"/>
      <c r="AV366" s="132"/>
      <c r="AW366" s="132"/>
      <c r="AX366" s="132"/>
      <c r="AY366" s="132"/>
      <c r="AZ366" s="132"/>
      <c r="BA366" s="132"/>
      <c r="BB366" s="132"/>
      <c r="BC366" s="132"/>
      <c r="BD366" s="132"/>
      <c r="BE366" s="132"/>
      <c r="BF366" s="132"/>
    </row>
    <row r="367" customFormat="false" ht="11.25" hidden="false" customHeight="true" outlineLevel="0" collapsed="false">
      <c r="A367" s="113" t="s">
        <v>1026</v>
      </c>
      <c r="E367" s="80"/>
      <c r="F367" s="810"/>
      <c r="G367" s="138" t="s">
        <v>103</v>
      </c>
      <c r="H367" s="811" t="s">
        <v>163</v>
      </c>
      <c r="I367" s="831"/>
      <c r="J367" s="335"/>
      <c r="K367" s="333" t="s">
        <v>1158</v>
      </c>
      <c r="L367" s="204" t="s">
        <v>19</v>
      </c>
      <c r="M367" s="198"/>
      <c r="N367" s="832"/>
      <c r="O367" s="833" t="s">
        <v>389</v>
      </c>
      <c r="P367" s="834"/>
      <c r="Q367" s="834"/>
      <c r="R367" s="834"/>
      <c r="S367" s="834"/>
      <c r="T367" s="834"/>
      <c r="U367" s="834"/>
      <c r="V367" s="834"/>
      <c r="W367" s="834"/>
      <c r="X367" s="834"/>
      <c r="Y367" s="834"/>
      <c r="Z367" s="834"/>
      <c r="AA367" s="834"/>
      <c r="AB367" s="834"/>
      <c r="AC367" s="834"/>
      <c r="AD367" s="834"/>
      <c r="AE367" s="834"/>
      <c r="AF367" s="835" t="n">
        <v>2021</v>
      </c>
      <c r="AG367" s="836" t="s">
        <v>1059</v>
      </c>
      <c r="AH367" s="836" t="s">
        <v>1075</v>
      </c>
      <c r="AI367" s="835" t="n">
        <v>2022</v>
      </c>
      <c r="AJ367" s="836" t="s">
        <v>1059</v>
      </c>
      <c r="AK367" s="836" t="s">
        <v>1096</v>
      </c>
      <c r="AL367" s="809"/>
      <c r="AM367" s="132"/>
      <c r="AN367" s="132"/>
      <c r="AO367" s="132"/>
      <c r="AP367" s="132"/>
      <c r="AQ367" s="132"/>
      <c r="AR367" s="132"/>
      <c r="AS367" s="132"/>
      <c r="AT367" s="132"/>
      <c r="AU367" s="132"/>
      <c r="AV367" s="132"/>
      <c r="AW367" s="132"/>
      <c r="AX367" s="132"/>
      <c r="AY367" s="132"/>
      <c r="AZ367" s="132"/>
      <c r="BA367" s="132"/>
      <c r="BB367" s="132"/>
      <c r="BC367" s="132"/>
      <c r="BD367" s="132"/>
      <c r="BE367" s="132"/>
      <c r="BF367" s="132"/>
    </row>
    <row r="368" customFormat="false" ht="11.25" hidden="false" customHeight="true" outlineLevel="0" collapsed="false">
      <c r="A368" s="113" t="s">
        <v>1026</v>
      </c>
      <c r="E368" s="80"/>
      <c r="F368" s="810"/>
      <c r="G368" s="138"/>
      <c r="H368" s="811" t="s">
        <v>122</v>
      </c>
      <c r="I368" s="831"/>
      <c r="J368" s="335"/>
      <c r="K368" s="333"/>
      <c r="L368" s="204"/>
      <c r="M368" s="198"/>
      <c r="N368" s="837"/>
      <c r="O368" s="838" t="n">
        <v>1</v>
      </c>
      <c r="P368" s="76" t="s">
        <v>61</v>
      </c>
      <c r="Q368" s="335" t="s">
        <v>1080</v>
      </c>
      <c r="R368" s="839" t="s">
        <v>1064</v>
      </c>
      <c r="S368" s="839" t="s">
        <v>99</v>
      </c>
      <c r="T368" s="839" t="s">
        <v>99</v>
      </c>
      <c r="U368" s="839" t="s">
        <v>100</v>
      </c>
      <c r="V368" s="839" t="s">
        <v>1065</v>
      </c>
      <c r="W368" s="839" t="s">
        <v>1066</v>
      </c>
      <c r="X368" s="839" t="s">
        <v>1081</v>
      </c>
      <c r="Y368" s="839" t="s">
        <v>1082</v>
      </c>
      <c r="Z368" s="840"/>
      <c r="AA368" s="841"/>
      <c r="AB368" s="841"/>
      <c r="AC368" s="842"/>
      <c r="AD368" s="842"/>
      <c r="AE368" s="843"/>
      <c r="AF368" s="835"/>
      <c r="AG368" s="836"/>
      <c r="AH368" s="836"/>
      <c r="AI368" s="835"/>
      <c r="AJ368" s="836"/>
      <c r="AK368" s="836"/>
      <c r="AL368" s="809"/>
      <c r="AM368" s="132"/>
      <c r="AN368" s="132"/>
      <c r="AO368" s="132"/>
      <c r="AP368" s="132"/>
      <c r="AQ368" s="132"/>
      <c r="AR368" s="132"/>
      <c r="AS368" s="132"/>
      <c r="AT368" s="132"/>
      <c r="AU368" s="132"/>
      <c r="AV368" s="132"/>
      <c r="AW368" s="132"/>
      <c r="AX368" s="132"/>
      <c r="AY368" s="132"/>
      <c r="AZ368" s="132"/>
      <c r="BA368" s="132"/>
      <c r="BB368" s="132"/>
      <c r="BC368" s="132"/>
      <c r="BD368" s="132"/>
      <c r="BE368" s="132"/>
      <c r="BF368" s="132"/>
    </row>
    <row r="369" customFormat="false" ht="11.25" hidden="false" customHeight="true" outlineLevel="0" collapsed="false">
      <c r="A369" s="113" t="s">
        <v>1026</v>
      </c>
      <c r="E369" s="80"/>
      <c r="F369" s="810"/>
      <c r="G369" s="138"/>
      <c r="H369" s="811" t="s">
        <v>122</v>
      </c>
      <c r="I369" s="831"/>
      <c r="J369" s="335"/>
      <c r="K369" s="333"/>
      <c r="L369" s="204"/>
      <c r="M369" s="198"/>
      <c r="N369" s="837"/>
      <c r="O369" s="838"/>
      <c r="P369" s="76"/>
      <c r="Q369" s="335"/>
      <c r="R369" s="839"/>
      <c r="S369" s="839"/>
      <c r="T369" s="839"/>
      <c r="U369" s="839"/>
      <c r="V369" s="839"/>
      <c r="W369" s="839"/>
      <c r="X369" s="839"/>
      <c r="Y369" s="839"/>
      <c r="Z369" s="844"/>
      <c r="AA369" s="845" t="n">
        <v>1</v>
      </c>
      <c r="AB369" s="846" t="s">
        <v>1069</v>
      </c>
      <c r="AC369" s="756" t="n">
        <v>261.497</v>
      </c>
      <c r="AD369" s="846" t="str">
        <f aca="false">AB369</f>
        <v>Прочие амортизационные отчисления</v>
      </c>
      <c r="AE369" s="756" t="n">
        <v>0</v>
      </c>
      <c r="AF369" s="835"/>
      <c r="AG369" s="836"/>
      <c r="AH369" s="836"/>
      <c r="AI369" s="835"/>
      <c r="AJ369" s="836"/>
      <c r="AK369" s="836"/>
      <c r="AL369" s="809"/>
      <c r="AM369" s="132"/>
      <c r="AN369" s="132"/>
      <c r="AO369" s="132"/>
      <c r="AP369" s="132"/>
      <c r="AQ369" s="132"/>
      <c r="AR369" s="132"/>
      <c r="AS369" s="132"/>
      <c r="AT369" s="132"/>
      <c r="AU369" s="132"/>
      <c r="AV369" s="132"/>
      <c r="AW369" s="132"/>
      <c r="AX369" s="132"/>
      <c r="AY369" s="132"/>
      <c r="AZ369" s="132"/>
      <c r="BA369" s="132"/>
      <c r="BB369" s="132"/>
      <c r="BC369" s="132"/>
      <c r="BD369" s="132"/>
      <c r="BE369" s="132"/>
      <c r="BF369" s="132"/>
    </row>
    <row r="370" customFormat="false" ht="11.25" hidden="false" customHeight="true" outlineLevel="0" collapsed="false">
      <c r="A370" s="113" t="s">
        <v>1026</v>
      </c>
      <c r="E370" s="80"/>
      <c r="F370" s="810"/>
      <c r="G370" s="138"/>
      <c r="H370" s="811" t="s">
        <v>122</v>
      </c>
      <c r="I370" s="831"/>
      <c r="J370" s="335"/>
      <c r="K370" s="333"/>
      <c r="L370" s="204"/>
      <c r="M370" s="198"/>
      <c r="N370" s="837"/>
      <c r="O370" s="838"/>
      <c r="P370" s="76"/>
      <c r="Q370" s="335"/>
      <c r="R370" s="839"/>
      <c r="S370" s="839"/>
      <c r="T370" s="839"/>
      <c r="U370" s="839"/>
      <c r="V370" s="839"/>
      <c r="W370" s="839"/>
      <c r="X370" s="839"/>
      <c r="Y370" s="839"/>
      <c r="Z370" s="840"/>
      <c r="AA370" s="841"/>
      <c r="AB370" s="161" t="s">
        <v>1071</v>
      </c>
      <c r="AC370" s="842"/>
      <c r="AD370" s="842"/>
      <c r="AE370" s="847"/>
      <c r="AF370" s="835"/>
      <c r="AG370" s="836"/>
      <c r="AH370" s="836"/>
      <c r="AI370" s="835"/>
      <c r="AJ370" s="836"/>
      <c r="AK370" s="836"/>
      <c r="AL370" s="809"/>
      <c r="AM370" s="132"/>
      <c r="AN370" s="132"/>
      <c r="AO370" s="132"/>
      <c r="AP370" s="132"/>
      <c r="AQ370" s="132"/>
      <c r="AR370" s="132"/>
      <c r="AS370" s="132"/>
      <c r="AT370" s="132"/>
      <c r="AU370" s="132"/>
      <c r="AV370" s="132"/>
      <c r="AW370" s="132"/>
      <c r="AX370" s="132"/>
      <c r="AY370" s="132"/>
      <c r="AZ370" s="132"/>
      <c r="BA370" s="132"/>
      <c r="BB370" s="132"/>
      <c r="BC370" s="132"/>
      <c r="BD370" s="132"/>
      <c r="BE370" s="132"/>
      <c r="BF370" s="132"/>
    </row>
    <row r="371" customFormat="false" ht="11.25" hidden="false" customHeight="true" outlineLevel="0" collapsed="false">
      <c r="A371" s="113" t="s">
        <v>1026</v>
      </c>
      <c r="E371" s="80"/>
      <c r="F371" s="810"/>
      <c r="G371" s="138"/>
      <c r="H371" s="811" t="s">
        <v>122</v>
      </c>
      <c r="I371" s="831"/>
      <c r="J371" s="335"/>
      <c r="K371" s="333"/>
      <c r="L371" s="204"/>
      <c r="M371" s="198"/>
      <c r="N371" s="840"/>
      <c r="O371" s="841"/>
      <c r="P371" s="161" t="s">
        <v>1072</v>
      </c>
      <c r="Q371" s="841"/>
      <c r="R371" s="841"/>
      <c r="S371" s="841"/>
      <c r="T371" s="841"/>
      <c r="U371" s="841"/>
      <c r="V371" s="841"/>
      <c r="W371" s="841"/>
      <c r="X371" s="841"/>
      <c r="Y371" s="841"/>
      <c r="Z371" s="841"/>
      <c r="AA371" s="841"/>
      <c r="AB371" s="841"/>
      <c r="AC371" s="841"/>
      <c r="AD371" s="841"/>
      <c r="AE371" s="848"/>
      <c r="AF371" s="835"/>
      <c r="AG371" s="836"/>
      <c r="AH371" s="836"/>
      <c r="AI371" s="835"/>
      <c r="AJ371" s="836"/>
      <c r="AK371" s="836"/>
      <c r="AL371" s="809"/>
      <c r="AM371" s="132"/>
      <c r="AN371" s="132"/>
      <c r="AO371" s="132"/>
      <c r="AP371" s="132"/>
      <c r="AQ371" s="132"/>
      <c r="AR371" s="132"/>
      <c r="AS371" s="132"/>
      <c r="AT371" s="132"/>
      <c r="AU371" s="132"/>
      <c r="AV371" s="132"/>
      <c r="AW371" s="132"/>
      <c r="AX371" s="132"/>
      <c r="AY371" s="132"/>
      <c r="AZ371" s="132"/>
      <c r="BA371" s="132"/>
      <c r="BB371" s="132"/>
      <c r="BC371" s="132"/>
      <c r="BD371" s="132"/>
      <c r="BE371" s="132"/>
      <c r="BF371" s="132"/>
    </row>
    <row r="372" customFormat="false" ht="11.25" hidden="false" customHeight="true" outlineLevel="0" collapsed="false">
      <c r="A372" s="113" t="s">
        <v>1026</v>
      </c>
      <c r="E372" s="80"/>
      <c r="F372" s="810"/>
      <c r="G372" s="138" t="s">
        <v>103</v>
      </c>
      <c r="H372" s="811" t="s">
        <v>164</v>
      </c>
      <c r="I372" s="831"/>
      <c r="J372" s="335"/>
      <c r="K372" s="333" t="s">
        <v>1159</v>
      </c>
      <c r="L372" s="204" t="s">
        <v>19</v>
      </c>
      <c r="M372" s="198"/>
      <c r="N372" s="832"/>
      <c r="O372" s="833" t="s">
        <v>389</v>
      </c>
      <c r="P372" s="834"/>
      <c r="Q372" s="834"/>
      <c r="R372" s="834"/>
      <c r="S372" s="834"/>
      <c r="T372" s="834"/>
      <c r="U372" s="834"/>
      <c r="V372" s="834"/>
      <c r="W372" s="834"/>
      <c r="X372" s="834"/>
      <c r="Y372" s="834"/>
      <c r="Z372" s="834"/>
      <c r="AA372" s="834"/>
      <c r="AB372" s="834"/>
      <c r="AC372" s="834"/>
      <c r="AD372" s="834"/>
      <c r="AE372" s="834"/>
      <c r="AF372" s="835" t="n">
        <v>2021</v>
      </c>
      <c r="AG372" s="836" t="s">
        <v>1059</v>
      </c>
      <c r="AH372" s="836" t="s">
        <v>1075</v>
      </c>
      <c r="AI372" s="835" t="n">
        <v>2022</v>
      </c>
      <c r="AJ372" s="836" t="s">
        <v>1059</v>
      </c>
      <c r="AK372" s="836" t="s">
        <v>1096</v>
      </c>
      <c r="AL372" s="809"/>
      <c r="AM372" s="132"/>
      <c r="AN372" s="132"/>
      <c r="AO372" s="132"/>
      <c r="AP372" s="132"/>
      <c r="AQ372" s="132"/>
      <c r="AR372" s="132"/>
      <c r="AS372" s="132"/>
      <c r="AT372" s="132"/>
      <c r="AU372" s="132"/>
      <c r="AV372" s="132"/>
      <c r="AW372" s="132"/>
      <c r="AX372" s="132"/>
      <c r="AY372" s="132"/>
      <c r="AZ372" s="132"/>
      <c r="BA372" s="132"/>
      <c r="BB372" s="132"/>
      <c r="BC372" s="132"/>
      <c r="BD372" s="132"/>
      <c r="BE372" s="132"/>
      <c r="BF372" s="132"/>
    </row>
    <row r="373" customFormat="false" ht="11.25" hidden="false" customHeight="true" outlineLevel="0" collapsed="false">
      <c r="A373" s="113" t="s">
        <v>1026</v>
      </c>
      <c r="E373" s="80"/>
      <c r="F373" s="810"/>
      <c r="G373" s="138"/>
      <c r="H373" s="811" t="s">
        <v>163</v>
      </c>
      <c r="I373" s="831"/>
      <c r="J373" s="335"/>
      <c r="K373" s="333"/>
      <c r="L373" s="204"/>
      <c r="M373" s="198"/>
      <c r="N373" s="837"/>
      <c r="O373" s="838" t="n">
        <v>1</v>
      </c>
      <c r="P373" s="76" t="s">
        <v>61</v>
      </c>
      <c r="Q373" s="335" t="s">
        <v>1080</v>
      </c>
      <c r="R373" s="839" t="s">
        <v>1064</v>
      </c>
      <c r="S373" s="839" t="s">
        <v>99</v>
      </c>
      <c r="T373" s="839" t="s">
        <v>99</v>
      </c>
      <c r="U373" s="839" t="s">
        <v>100</v>
      </c>
      <c r="V373" s="839" t="s">
        <v>1065</v>
      </c>
      <c r="W373" s="839" t="s">
        <v>1066</v>
      </c>
      <c r="X373" s="839" t="s">
        <v>1081</v>
      </c>
      <c r="Y373" s="839" t="s">
        <v>1082</v>
      </c>
      <c r="Z373" s="840"/>
      <c r="AA373" s="841"/>
      <c r="AB373" s="841"/>
      <c r="AC373" s="842"/>
      <c r="AD373" s="842"/>
      <c r="AE373" s="843"/>
      <c r="AF373" s="835"/>
      <c r="AG373" s="836"/>
      <c r="AH373" s="836"/>
      <c r="AI373" s="835"/>
      <c r="AJ373" s="836"/>
      <c r="AK373" s="836"/>
      <c r="AL373" s="809"/>
      <c r="AM373" s="132"/>
      <c r="AN373" s="132"/>
      <c r="AO373" s="132"/>
      <c r="AP373" s="132"/>
      <c r="AQ373" s="132"/>
      <c r="AR373" s="132"/>
      <c r="AS373" s="132"/>
      <c r="AT373" s="132"/>
      <c r="AU373" s="132"/>
      <c r="AV373" s="132"/>
      <c r="AW373" s="132"/>
      <c r="AX373" s="132"/>
      <c r="AY373" s="132"/>
      <c r="AZ373" s="132"/>
      <c r="BA373" s="132"/>
      <c r="BB373" s="132"/>
      <c r="BC373" s="132"/>
      <c r="BD373" s="132"/>
      <c r="BE373" s="132"/>
      <c r="BF373" s="132"/>
    </row>
    <row r="374" customFormat="false" ht="11.25" hidden="false" customHeight="true" outlineLevel="0" collapsed="false">
      <c r="A374" s="113" t="s">
        <v>1026</v>
      </c>
      <c r="E374" s="80"/>
      <c r="F374" s="810"/>
      <c r="G374" s="138"/>
      <c r="H374" s="811" t="s">
        <v>163</v>
      </c>
      <c r="I374" s="831"/>
      <c r="J374" s="335"/>
      <c r="K374" s="333"/>
      <c r="L374" s="204"/>
      <c r="M374" s="198"/>
      <c r="N374" s="837"/>
      <c r="O374" s="838"/>
      <c r="P374" s="76"/>
      <c r="Q374" s="335"/>
      <c r="R374" s="839"/>
      <c r="S374" s="839"/>
      <c r="T374" s="839"/>
      <c r="U374" s="839"/>
      <c r="V374" s="839"/>
      <c r="W374" s="839"/>
      <c r="X374" s="839"/>
      <c r="Y374" s="839"/>
      <c r="Z374" s="844"/>
      <c r="AA374" s="845" t="n">
        <v>1</v>
      </c>
      <c r="AB374" s="846" t="s">
        <v>1069</v>
      </c>
      <c r="AC374" s="756" t="n">
        <v>196.81301</v>
      </c>
      <c r="AD374" s="846" t="str">
        <f aca="false">AB374</f>
        <v>Прочие амортизационные отчисления</v>
      </c>
      <c r="AE374" s="756" t="n">
        <v>7.46101</v>
      </c>
      <c r="AF374" s="835"/>
      <c r="AG374" s="836"/>
      <c r="AH374" s="836"/>
      <c r="AI374" s="835"/>
      <c r="AJ374" s="836"/>
      <c r="AK374" s="836"/>
      <c r="AL374" s="809"/>
      <c r="AM374" s="132"/>
      <c r="AN374" s="132"/>
      <c r="AO374" s="132"/>
      <c r="AP374" s="132"/>
      <c r="AQ374" s="132"/>
      <c r="AR374" s="132"/>
      <c r="AS374" s="132"/>
      <c r="AT374" s="132"/>
      <c r="AU374" s="132"/>
      <c r="AV374" s="132"/>
      <c r="AW374" s="132"/>
      <c r="AX374" s="132"/>
      <c r="AY374" s="132"/>
      <c r="AZ374" s="132"/>
      <c r="BA374" s="132"/>
      <c r="BB374" s="132"/>
      <c r="BC374" s="132"/>
      <c r="BD374" s="132"/>
      <c r="BE374" s="132"/>
      <c r="BF374" s="132"/>
    </row>
    <row r="375" customFormat="false" ht="11.25" hidden="false" customHeight="true" outlineLevel="0" collapsed="false">
      <c r="A375" s="113" t="s">
        <v>1026</v>
      </c>
      <c r="E375" s="80"/>
      <c r="F375" s="810"/>
      <c r="G375" s="138"/>
      <c r="H375" s="811" t="s">
        <v>163</v>
      </c>
      <c r="I375" s="831"/>
      <c r="J375" s="335"/>
      <c r="K375" s="333"/>
      <c r="L375" s="204"/>
      <c r="M375" s="198"/>
      <c r="N375" s="837"/>
      <c r="O375" s="838"/>
      <c r="P375" s="76"/>
      <c r="Q375" s="335"/>
      <c r="R375" s="839"/>
      <c r="S375" s="839"/>
      <c r="T375" s="839"/>
      <c r="U375" s="839"/>
      <c r="V375" s="839"/>
      <c r="W375" s="839"/>
      <c r="X375" s="839"/>
      <c r="Y375" s="839"/>
      <c r="Z375" s="840"/>
      <c r="AA375" s="841"/>
      <c r="AB375" s="161" t="s">
        <v>1071</v>
      </c>
      <c r="AC375" s="842"/>
      <c r="AD375" s="842"/>
      <c r="AE375" s="847"/>
      <c r="AF375" s="835"/>
      <c r="AG375" s="836"/>
      <c r="AH375" s="836"/>
      <c r="AI375" s="835"/>
      <c r="AJ375" s="836"/>
      <c r="AK375" s="836"/>
      <c r="AL375" s="809"/>
      <c r="AM375" s="132"/>
      <c r="AN375" s="132"/>
      <c r="AO375" s="132"/>
      <c r="AP375" s="132"/>
      <c r="AQ375" s="132"/>
      <c r="AR375" s="132"/>
      <c r="AS375" s="132"/>
      <c r="AT375" s="132"/>
      <c r="AU375" s="132"/>
      <c r="AV375" s="132"/>
      <c r="AW375" s="132"/>
      <c r="AX375" s="132"/>
      <c r="AY375" s="132"/>
      <c r="AZ375" s="132"/>
      <c r="BA375" s="132"/>
      <c r="BB375" s="132"/>
      <c r="BC375" s="132"/>
      <c r="BD375" s="132"/>
      <c r="BE375" s="132"/>
      <c r="BF375" s="132"/>
    </row>
    <row r="376" customFormat="false" ht="11.25" hidden="false" customHeight="true" outlineLevel="0" collapsed="false">
      <c r="A376" s="113" t="s">
        <v>1026</v>
      </c>
      <c r="E376" s="80"/>
      <c r="F376" s="810"/>
      <c r="G376" s="138"/>
      <c r="H376" s="811" t="s">
        <v>163</v>
      </c>
      <c r="I376" s="831"/>
      <c r="J376" s="335"/>
      <c r="K376" s="333"/>
      <c r="L376" s="204"/>
      <c r="M376" s="198"/>
      <c r="N376" s="840"/>
      <c r="O376" s="841"/>
      <c r="P376" s="161" t="s">
        <v>1072</v>
      </c>
      <c r="Q376" s="841"/>
      <c r="R376" s="841"/>
      <c r="S376" s="841"/>
      <c r="T376" s="841"/>
      <c r="U376" s="841"/>
      <c r="V376" s="841"/>
      <c r="W376" s="841"/>
      <c r="X376" s="841"/>
      <c r="Y376" s="841"/>
      <c r="Z376" s="841"/>
      <c r="AA376" s="841"/>
      <c r="AB376" s="841"/>
      <c r="AC376" s="841"/>
      <c r="AD376" s="841"/>
      <c r="AE376" s="848"/>
      <c r="AF376" s="835"/>
      <c r="AG376" s="836"/>
      <c r="AH376" s="836"/>
      <c r="AI376" s="835"/>
      <c r="AJ376" s="836"/>
      <c r="AK376" s="836"/>
      <c r="AL376" s="809"/>
      <c r="AM376" s="132"/>
      <c r="AN376" s="132"/>
      <c r="AO376" s="132"/>
      <c r="AP376" s="132"/>
      <c r="AQ376" s="132"/>
      <c r="AR376" s="132"/>
      <c r="AS376" s="132"/>
      <c r="AT376" s="132"/>
      <c r="AU376" s="132"/>
      <c r="AV376" s="132"/>
      <c r="AW376" s="132"/>
      <c r="AX376" s="132"/>
      <c r="AY376" s="132"/>
      <c r="AZ376" s="132"/>
      <c r="BA376" s="132"/>
      <c r="BB376" s="132"/>
      <c r="BC376" s="132"/>
      <c r="BD376" s="132"/>
      <c r="BE376" s="132"/>
      <c r="BF376" s="132"/>
    </row>
    <row r="377" customFormat="false" ht="11.25" hidden="false" customHeight="true" outlineLevel="0" collapsed="false">
      <c r="A377" s="113" t="s">
        <v>1026</v>
      </c>
      <c r="E377" s="80"/>
      <c r="F377" s="810"/>
      <c r="G377" s="138" t="s">
        <v>103</v>
      </c>
      <c r="H377" s="811" t="s">
        <v>165</v>
      </c>
      <c r="I377" s="831"/>
      <c r="J377" s="335"/>
      <c r="K377" s="333" t="s">
        <v>1160</v>
      </c>
      <c r="L377" s="204" t="s">
        <v>19</v>
      </c>
      <c r="M377" s="198"/>
      <c r="N377" s="832"/>
      <c r="O377" s="833" t="s">
        <v>389</v>
      </c>
      <c r="P377" s="834"/>
      <c r="Q377" s="834"/>
      <c r="R377" s="834"/>
      <c r="S377" s="834"/>
      <c r="T377" s="834"/>
      <c r="U377" s="834"/>
      <c r="V377" s="834"/>
      <c r="W377" s="834"/>
      <c r="X377" s="834"/>
      <c r="Y377" s="834"/>
      <c r="Z377" s="834"/>
      <c r="AA377" s="834"/>
      <c r="AB377" s="834"/>
      <c r="AC377" s="834"/>
      <c r="AD377" s="834"/>
      <c r="AE377" s="834"/>
      <c r="AF377" s="835" t="n">
        <v>2021</v>
      </c>
      <c r="AG377" s="836" t="s">
        <v>1059</v>
      </c>
      <c r="AH377" s="836" t="s">
        <v>1075</v>
      </c>
      <c r="AI377" s="835" t="n">
        <v>2022</v>
      </c>
      <c r="AJ377" s="836" t="s">
        <v>1105</v>
      </c>
      <c r="AK377" s="836" t="s">
        <v>1096</v>
      </c>
      <c r="AL377" s="809"/>
      <c r="AM377" s="132"/>
      <c r="AN377" s="132"/>
      <c r="AO377" s="132"/>
      <c r="AP377" s="132"/>
      <c r="AQ377" s="132"/>
      <c r="AR377" s="132"/>
      <c r="AS377" s="132"/>
      <c r="AT377" s="132"/>
      <c r="AU377" s="132"/>
      <c r="AV377" s="132"/>
      <c r="AW377" s="132"/>
      <c r="AX377" s="132"/>
      <c r="AY377" s="132"/>
      <c r="AZ377" s="132"/>
      <c r="BA377" s="132"/>
      <c r="BB377" s="132"/>
      <c r="BC377" s="132"/>
      <c r="BD377" s="132"/>
      <c r="BE377" s="132"/>
      <c r="BF377" s="132"/>
    </row>
    <row r="378" customFormat="false" ht="11.25" hidden="false" customHeight="true" outlineLevel="0" collapsed="false">
      <c r="A378" s="113" t="s">
        <v>1026</v>
      </c>
      <c r="E378" s="80"/>
      <c r="F378" s="810"/>
      <c r="G378" s="138"/>
      <c r="H378" s="811" t="s">
        <v>164</v>
      </c>
      <c r="I378" s="831"/>
      <c r="J378" s="335"/>
      <c r="K378" s="333"/>
      <c r="L378" s="204"/>
      <c r="M378" s="198"/>
      <c r="N378" s="837"/>
      <c r="O378" s="838" t="n">
        <v>1</v>
      </c>
      <c r="P378" s="76" t="s">
        <v>61</v>
      </c>
      <c r="Q378" s="335" t="s">
        <v>1080</v>
      </c>
      <c r="R378" s="839" t="s">
        <v>1064</v>
      </c>
      <c r="S378" s="839" t="s">
        <v>99</v>
      </c>
      <c r="T378" s="839" t="s">
        <v>99</v>
      </c>
      <c r="U378" s="839" t="s">
        <v>100</v>
      </c>
      <c r="V378" s="839" t="s">
        <v>1065</v>
      </c>
      <c r="W378" s="839" t="s">
        <v>1066</v>
      </c>
      <c r="X378" s="839" t="s">
        <v>1081</v>
      </c>
      <c r="Y378" s="839" t="s">
        <v>1082</v>
      </c>
      <c r="Z378" s="840"/>
      <c r="AA378" s="841"/>
      <c r="AB378" s="841"/>
      <c r="AC378" s="842"/>
      <c r="AD378" s="842"/>
      <c r="AE378" s="843"/>
      <c r="AF378" s="835"/>
      <c r="AG378" s="836"/>
      <c r="AH378" s="836"/>
      <c r="AI378" s="835"/>
      <c r="AJ378" s="836"/>
      <c r="AK378" s="836"/>
      <c r="AL378" s="809"/>
      <c r="AM378" s="132"/>
      <c r="AN378" s="132"/>
      <c r="AO378" s="132"/>
      <c r="AP378" s="132"/>
      <c r="AQ378" s="132"/>
      <c r="AR378" s="132"/>
      <c r="AS378" s="132"/>
      <c r="AT378" s="132"/>
      <c r="AU378" s="132"/>
      <c r="AV378" s="132"/>
      <c r="AW378" s="132"/>
      <c r="AX378" s="132"/>
      <c r="AY378" s="132"/>
      <c r="AZ378" s="132"/>
      <c r="BA378" s="132"/>
      <c r="BB378" s="132"/>
      <c r="BC378" s="132"/>
      <c r="BD378" s="132"/>
      <c r="BE378" s="132"/>
      <c r="BF378" s="132"/>
    </row>
    <row r="379" customFormat="false" ht="11.25" hidden="false" customHeight="true" outlineLevel="0" collapsed="false">
      <c r="A379" s="113" t="s">
        <v>1026</v>
      </c>
      <c r="E379" s="80"/>
      <c r="F379" s="810"/>
      <c r="G379" s="138"/>
      <c r="H379" s="811" t="s">
        <v>164</v>
      </c>
      <c r="I379" s="831"/>
      <c r="J379" s="335"/>
      <c r="K379" s="333"/>
      <c r="L379" s="204"/>
      <c r="M379" s="198"/>
      <c r="N379" s="837"/>
      <c r="O379" s="838"/>
      <c r="P379" s="76"/>
      <c r="Q379" s="335"/>
      <c r="R379" s="839"/>
      <c r="S379" s="839"/>
      <c r="T379" s="839"/>
      <c r="U379" s="839"/>
      <c r="V379" s="839"/>
      <c r="W379" s="839"/>
      <c r="X379" s="839"/>
      <c r="Y379" s="839"/>
      <c r="Z379" s="844"/>
      <c r="AA379" s="845" t="n">
        <v>1</v>
      </c>
      <c r="AB379" s="846" t="s">
        <v>1069</v>
      </c>
      <c r="AC379" s="756" t="n">
        <v>1872.68</v>
      </c>
      <c r="AD379" s="846" t="str">
        <f aca="false">AB379</f>
        <v>Прочие амортизационные отчисления</v>
      </c>
      <c r="AE379" s="756" t="n">
        <v>1504.16667</v>
      </c>
      <c r="AF379" s="835"/>
      <c r="AG379" s="836"/>
      <c r="AH379" s="836"/>
      <c r="AI379" s="835"/>
      <c r="AJ379" s="836"/>
      <c r="AK379" s="836"/>
      <c r="AL379" s="809"/>
      <c r="AM379" s="132"/>
      <c r="AN379" s="132"/>
      <c r="AO379" s="132"/>
      <c r="AP379" s="132"/>
      <c r="AQ379" s="132"/>
      <c r="AR379" s="132"/>
      <c r="AS379" s="132"/>
      <c r="AT379" s="132"/>
      <c r="AU379" s="132"/>
      <c r="AV379" s="132"/>
      <c r="AW379" s="132"/>
      <c r="AX379" s="132"/>
      <c r="AY379" s="132"/>
      <c r="AZ379" s="132"/>
      <c r="BA379" s="132"/>
      <c r="BB379" s="132"/>
      <c r="BC379" s="132"/>
      <c r="BD379" s="132"/>
      <c r="BE379" s="132"/>
      <c r="BF379" s="132"/>
    </row>
    <row r="380" customFormat="false" ht="11.25" hidden="false" customHeight="true" outlineLevel="0" collapsed="false">
      <c r="A380" s="113" t="s">
        <v>1026</v>
      </c>
      <c r="E380" s="80"/>
      <c r="F380" s="810"/>
      <c r="G380" s="138"/>
      <c r="H380" s="811" t="s">
        <v>164</v>
      </c>
      <c r="I380" s="831"/>
      <c r="J380" s="335"/>
      <c r="K380" s="333"/>
      <c r="L380" s="204"/>
      <c r="M380" s="198"/>
      <c r="N380" s="837"/>
      <c r="O380" s="838"/>
      <c r="P380" s="76"/>
      <c r="Q380" s="335"/>
      <c r="R380" s="839"/>
      <c r="S380" s="839"/>
      <c r="T380" s="839"/>
      <c r="U380" s="839"/>
      <c r="V380" s="839"/>
      <c r="W380" s="839"/>
      <c r="X380" s="839"/>
      <c r="Y380" s="839"/>
      <c r="Z380" s="840"/>
      <c r="AA380" s="841"/>
      <c r="AB380" s="161" t="s">
        <v>1071</v>
      </c>
      <c r="AC380" s="842"/>
      <c r="AD380" s="842"/>
      <c r="AE380" s="847"/>
      <c r="AF380" s="835"/>
      <c r="AG380" s="836"/>
      <c r="AH380" s="836"/>
      <c r="AI380" s="835"/>
      <c r="AJ380" s="836"/>
      <c r="AK380" s="836"/>
      <c r="AL380" s="809"/>
      <c r="AM380" s="132"/>
      <c r="AN380" s="132"/>
      <c r="AO380" s="132"/>
      <c r="AP380" s="132"/>
      <c r="AQ380" s="132"/>
      <c r="AR380" s="132"/>
      <c r="AS380" s="132"/>
      <c r="AT380" s="132"/>
      <c r="AU380" s="132"/>
      <c r="AV380" s="132"/>
      <c r="AW380" s="132"/>
      <c r="AX380" s="132"/>
      <c r="AY380" s="132"/>
      <c r="AZ380" s="132"/>
      <c r="BA380" s="132"/>
      <c r="BB380" s="132"/>
      <c r="BC380" s="132"/>
      <c r="BD380" s="132"/>
      <c r="BE380" s="132"/>
      <c r="BF380" s="132"/>
    </row>
    <row r="381" customFormat="false" ht="11.25" hidden="false" customHeight="true" outlineLevel="0" collapsed="false">
      <c r="A381" s="113" t="s">
        <v>1026</v>
      </c>
      <c r="E381" s="80"/>
      <c r="F381" s="810"/>
      <c r="G381" s="138"/>
      <c r="H381" s="811" t="s">
        <v>164</v>
      </c>
      <c r="I381" s="831"/>
      <c r="J381" s="335"/>
      <c r="K381" s="333"/>
      <c r="L381" s="204"/>
      <c r="M381" s="198"/>
      <c r="N381" s="840"/>
      <c r="O381" s="841"/>
      <c r="P381" s="161" t="s">
        <v>1072</v>
      </c>
      <c r="Q381" s="841"/>
      <c r="R381" s="841"/>
      <c r="S381" s="841"/>
      <c r="T381" s="841"/>
      <c r="U381" s="841"/>
      <c r="V381" s="841"/>
      <c r="W381" s="841"/>
      <c r="X381" s="841"/>
      <c r="Y381" s="841"/>
      <c r="Z381" s="841"/>
      <c r="AA381" s="841"/>
      <c r="AB381" s="841"/>
      <c r="AC381" s="841"/>
      <c r="AD381" s="841"/>
      <c r="AE381" s="848"/>
      <c r="AF381" s="835"/>
      <c r="AG381" s="836"/>
      <c r="AH381" s="836"/>
      <c r="AI381" s="835"/>
      <c r="AJ381" s="836"/>
      <c r="AK381" s="836"/>
      <c r="AL381" s="809"/>
      <c r="AM381" s="132"/>
      <c r="AN381" s="132"/>
      <c r="AO381" s="132"/>
      <c r="AP381" s="132"/>
      <c r="AQ381" s="132"/>
      <c r="AR381" s="132"/>
      <c r="AS381" s="132"/>
      <c r="AT381" s="132"/>
      <c r="AU381" s="132"/>
      <c r="AV381" s="132"/>
      <c r="AW381" s="132"/>
      <c r="AX381" s="132"/>
      <c r="AY381" s="132"/>
      <c r="AZ381" s="132"/>
      <c r="BA381" s="132"/>
      <c r="BB381" s="132"/>
      <c r="BC381" s="132"/>
      <c r="BD381" s="132"/>
      <c r="BE381" s="132"/>
      <c r="BF381" s="132"/>
    </row>
    <row r="382" customFormat="false" ht="11.25" hidden="false" customHeight="true" outlineLevel="0" collapsed="false">
      <c r="A382" s="113" t="s">
        <v>1026</v>
      </c>
      <c r="E382" s="80"/>
      <c r="F382" s="810"/>
      <c r="G382" s="138" t="s">
        <v>103</v>
      </c>
      <c r="H382" s="811" t="s">
        <v>166</v>
      </c>
      <c r="I382" s="831"/>
      <c r="J382" s="335"/>
      <c r="K382" s="333" t="s">
        <v>1137</v>
      </c>
      <c r="L382" s="204" t="s">
        <v>19</v>
      </c>
      <c r="M382" s="198"/>
      <c r="N382" s="832"/>
      <c r="O382" s="833" t="s">
        <v>389</v>
      </c>
      <c r="P382" s="834"/>
      <c r="Q382" s="834"/>
      <c r="R382" s="834"/>
      <c r="S382" s="834"/>
      <c r="T382" s="834"/>
      <c r="U382" s="834"/>
      <c r="V382" s="834"/>
      <c r="W382" s="834"/>
      <c r="X382" s="834"/>
      <c r="Y382" s="834"/>
      <c r="Z382" s="834"/>
      <c r="AA382" s="834"/>
      <c r="AB382" s="834"/>
      <c r="AC382" s="834"/>
      <c r="AD382" s="834"/>
      <c r="AE382" s="834"/>
      <c r="AF382" s="835" t="n">
        <v>2021</v>
      </c>
      <c r="AG382" s="836" t="s">
        <v>1059</v>
      </c>
      <c r="AH382" s="836" t="s">
        <v>1075</v>
      </c>
      <c r="AI382" s="835" t="n">
        <v>2022</v>
      </c>
      <c r="AJ382" s="836" t="s">
        <v>1059</v>
      </c>
      <c r="AK382" s="836" t="s">
        <v>1096</v>
      </c>
      <c r="AL382" s="809"/>
      <c r="AM382" s="132"/>
      <c r="AN382" s="132"/>
      <c r="AO382" s="132"/>
      <c r="AP382" s="132"/>
      <c r="AQ382" s="132"/>
      <c r="AR382" s="132"/>
      <c r="AS382" s="132"/>
      <c r="AT382" s="132"/>
      <c r="AU382" s="132"/>
      <c r="AV382" s="132"/>
      <c r="AW382" s="132"/>
      <c r="AX382" s="132"/>
      <c r="AY382" s="132"/>
      <c r="AZ382" s="132"/>
      <c r="BA382" s="132"/>
      <c r="BB382" s="132"/>
      <c r="BC382" s="132"/>
      <c r="BD382" s="132"/>
      <c r="BE382" s="132"/>
      <c r="BF382" s="132"/>
    </row>
    <row r="383" customFormat="false" ht="11.25" hidden="false" customHeight="true" outlineLevel="0" collapsed="false">
      <c r="A383" s="113" t="s">
        <v>1026</v>
      </c>
      <c r="E383" s="80"/>
      <c r="F383" s="810"/>
      <c r="G383" s="138"/>
      <c r="H383" s="811" t="s">
        <v>165</v>
      </c>
      <c r="I383" s="831"/>
      <c r="J383" s="335"/>
      <c r="K383" s="333"/>
      <c r="L383" s="204"/>
      <c r="M383" s="198"/>
      <c r="N383" s="837"/>
      <c r="O383" s="838" t="n">
        <v>1</v>
      </c>
      <c r="P383" s="76" t="s">
        <v>61</v>
      </c>
      <c r="Q383" s="335" t="s">
        <v>1097</v>
      </c>
      <c r="R383" s="839" t="s">
        <v>1064</v>
      </c>
      <c r="S383" s="839" t="s">
        <v>99</v>
      </c>
      <c r="T383" s="839" t="s">
        <v>99</v>
      </c>
      <c r="U383" s="839" t="s">
        <v>100</v>
      </c>
      <c r="V383" s="839" t="s">
        <v>1065</v>
      </c>
      <c r="W383" s="839" t="s">
        <v>1066</v>
      </c>
      <c r="X383" s="839" t="s">
        <v>1098</v>
      </c>
      <c r="Y383" s="839" t="s">
        <v>1099</v>
      </c>
      <c r="Z383" s="840"/>
      <c r="AA383" s="841"/>
      <c r="AB383" s="841"/>
      <c r="AC383" s="842"/>
      <c r="AD383" s="842"/>
      <c r="AE383" s="843"/>
      <c r="AF383" s="835"/>
      <c r="AG383" s="836"/>
      <c r="AH383" s="836"/>
      <c r="AI383" s="835"/>
      <c r="AJ383" s="836"/>
      <c r="AK383" s="836"/>
      <c r="AL383" s="809"/>
      <c r="AM383" s="132"/>
      <c r="AN383" s="132"/>
      <c r="AO383" s="132"/>
      <c r="AP383" s="132"/>
      <c r="AQ383" s="132"/>
      <c r="AR383" s="132"/>
      <c r="AS383" s="132"/>
      <c r="AT383" s="132"/>
      <c r="AU383" s="132"/>
      <c r="AV383" s="132"/>
      <c r="AW383" s="132"/>
      <c r="AX383" s="132"/>
      <c r="AY383" s="132"/>
      <c r="AZ383" s="132"/>
      <c r="BA383" s="132"/>
      <c r="BB383" s="132"/>
      <c r="BC383" s="132"/>
      <c r="BD383" s="132"/>
      <c r="BE383" s="132"/>
      <c r="BF383" s="132"/>
    </row>
    <row r="384" customFormat="false" ht="11.25" hidden="false" customHeight="true" outlineLevel="0" collapsed="false">
      <c r="A384" s="113" t="s">
        <v>1026</v>
      </c>
      <c r="E384" s="80"/>
      <c r="F384" s="810"/>
      <c r="G384" s="138"/>
      <c r="H384" s="811" t="s">
        <v>165</v>
      </c>
      <c r="I384" s="831"/>
      <c r="J384" s="335"/>
      <c r="K384" s="333"/>
      <c r="L384" s="204"/>
      <c r="M384" s="198"/>
      <c r="N384" s="837"/>
      <c r="O384" s="838"/>
      <c r="P384" s="76"/>
      <c r="Q384" s="335"/>
      <c r="R384" s="839"/>
      <c r="S384" s="839"/>
      <c r="T384" s="839"/>
      <c r="U384" s="839"/>
      <c r="V384" s="839"/>
      <c r="W384" s="839"/>
      <c r="X384" s="839"/>
      <c r="Y384" s="839"/>
      <c r="Z384" s="844"/>
      <c r="AA384" s="845" t="n">
        <v>1</v>
      </c>
      <c r="AB384" s="846" t="s">
        <v>1069</v>
      </c>
      <c r="AC384" s="756" t="n">
        <v>243.26323</v>
      </c>
      <c r="AD384" s="846" t="str">
        <f aca="false">AB384</f>
        <v>Прочие амортизационные отчисления</v>
      </c>
      <c r="AE384" s="756" t="n">
        <v>4.89144</v>
      </c>
      <c r="AF384" s="835"/>
      <c r="AG384" s="836"/>
      <c r="AH384" s="836"/>
      <c r="AI384" s="835"/>
      <c r="AJ384" s="836"/>
      <c r="AK384" s="836"/>
      <c r="AL384" s="809"/>
      <c r="AM384" s="132"/>
      <c r="AN384" s="132"/>
      <c r="AO384" s="132"/>
      <c r="AP384" s="132"/>
      <c r="AQ384" s="132"/>
      <c r="AR384" s="132"/>
      <c r="AS384" s="132"/>
      <c r="AT384" s="132"/>
      <c r="AU384" s="132"/>
      <c r="AV384" s="132"/>
      <c r="AW384" s="132"/>
      <c r="AX384" s="132"/>
      <c r="AY384" s="132"/>
      <c r="AZ384" s="132"/>
      <c r="BA384" s="132"/>
      <c r="BB384" s="132"/>
      <c r="BC384" s="132"/>
      <c r="BD384" s="132"/>
      <c r="BE384" s="132"/>
      <c r="BF384" s="132"/>
    </row>
    <row r="385" customFormat="false" ht="11.25" hidden="false" customHeight="true" outlineLevel="0" collapsed="false">
      <c r="A385" s="113" t="s">
        <v>1026</v>
      </c>
      <c r="E385" s="80"/>
      <c r="F385" s="810"/>
      <c r="G385" s="138"/>
      <c r="H385" s="811" t="s">
        <v>165</v>
      </c>
      <c r="I385" s="831"/>
      <c r="J385" s="335"/>
      <c r="K385" s="333"/>
      <c r="L385" s="204"/>
      <c r="M385" s="198"/>
      <c r="N385" s="837"/>
      <c r="O385" s="838"/>
      <c r="P385" s="76"/>
      <c r="Q385" s="335"/>
      <c r="R385" s="839"/>
      <c r="S385" s="839"/>
      <c r="T385" s="839"/>
      <c r="U385" s="839"/>
      <c r="V385" s="839"/>
      <c r="W385" s="839"/>
      <c r="X385" s="839"/>
      <c r="Y385" s="839"/>
      <c r="Z385" s="840"/>
      <c r="AA385" s="841"/>
      <c r="AB385" s="161" t="s">
        <v>1071</v>
      </c>
      <c r="AC385" s="842"/>
      <c r="AD385" s="842"/>
      <c r="AE385" s="847"/>
      <c r="AF385" s="835"/>
      <c r="AG385" s="836"/>
      <c r="AH385" s="836"/>
      <c r="AI385" s="835"/>
      <c r="AJ385" s="836"/>
      <c r="AK385" s="836"/>
      <c r="AL385" s="809"/>
      <c r="AM385" s="132"/>
      <c r="AN385" s="132"/>
      <c r="AO385" s="132"/>
      <c r="AP385" s="132"/>
      <c r="AQ385" s="132"/>
      <c r="AR385" s="132"/>
      <c r="AS385" s="132"/>
      <c r="AT385" s="132"/>
      <c r="AU385" s="132"/>
      <c r="AV385" s="132"/>
      <c r="AW385" s="132"/>
      <c r="AX385" s="132"/>
      <c r="AY385" s="132"/>
      <c r="AZ385" s="132"/>
      <c r="BA385" s="132"/>
      <c r="BB385" s="132"/>
      <c r="BC385" s="132"/>
      <c r="BD385" s="132"/>
      <c r="BE385" s="132"/>
      <c r="BF385" s="132"/>
    </row>
    <row r="386" customFormat="false" ht="11.25" hidden="false" customHeight="true" outlineLevel="0" collapsed="false">
      <c r="A386" s="113" t="s">
        <v>1026</v>
      </c>
      <c r="E386" s="80"/>
      <c r="F386" s="810"/>
      <c r="G386" s="138"/>
      <c r="H386" s="811" t="s">
        <v>165</v>
      </c>
      <c r="I386" s="831"/>
      <c r="J386" s="335"/>
      <c r="K386" s="333"/>
      <c r="L386" s="204"/>
      <c r="M386" s="198"/>
      <c r="N386" s="840"/>
      <c r="O386" s="841"/>
      <c r="P386" s="161" t="s">
        <v>1072</v>
      </c>
      <c r="Q386" s="841"/>
      <c r="R386" s="841"/>
      <c r="S386" s="841"/>
      <c r="T386" s="841"/>
      <c r="U386" s="841"/>
      <c r="V386" s="841"/>
      <c r="W386" s="841"/>
      <c r="X386" s="841"/>
      <c r="Y386" s="841"/>
      <c r="Z386" s="841"/>
      <c r="AA386" s="841"/>
      <c r="AB386" s="841"/>
      <c r="AC386" s="841"/>
      <c r="AD386" s="841"/>
      <c r="AE386" s="848"/>
      <c r="AF386" s="835"/>
      <c r="AG386" s="836"/>
      <c r="AH386" s="836"/>
      <c r="AI386" s="835"/>
      <c r="AJ386" s="836"/>
      <c r="AK386" s="836"/>
      <c r="AL386" s="809"/>
      <c r="AM386" s="132"/>
      <c r="AN386" s="132"/>
      <c r="AO386" s="132"/>
      <c r="AP386" s="132"/>
      <c r="AQ386" s="132"/>
      <c r="AR386" s="132"/>
      <c r="AS386" s="132"/>
      <c r="AT386" s="132"/>
      <c r="AU386" s="132"/>
      <c r="AV386" s="132"/>
      <c r="AW386" s="132"/>
      <c r="AX386" s="132"/>
      <c r="AY386" s="132"/>
      <c r="AZ386" s="132"/>
      <c r="BA386" s="132"/>
      <c r="BB386" s="132"/>
      <c r="BC386" s="132"/>
      <c r="BD386" s="132"/>
      <c r="BE386" s="132"/>
      <c r="BF386" s="132"/>
    </row>
    <row r="387" customFormat="false" ht="11.25" hidden="false" customHeight="true" outlineLevel="0" collapsed="false">
      <c r="A387" s="113" t="s">
        <v>1026</v>
      </c>
      <c r="E387" s="80"/>
      <c r="F387" s="810"/>
      <c r="G387" s="138" t="s">
        <v>103</v>
      </c>
      <c r="H387" s="811" t="s">
        <v>167</v>
      </c>
      <c r="I387" s="831"/>
      <c r="J387" s="335"/>
      <c r="K387" s="333" t="s">
        <v>1112</v>
      </c>
      <c r="L387" s="204" t="s">
        <v>19</v>
      </c>
      <c r="M387" s="198"/>
      <c r="N387" s="832"/>
      <c r="O387" s="833" t="s">
        <v>389</v>
      </c>
      <c r="P387" s="834"/>
      <c r="Q387" s="834"/>
      <c r="R387" s="834"/>
      <c r="S387" s="834"/>
      <c r="T387" s="834"/>
      <c r="U387" s="834"/>
      <c r="V387" s="834"/>
      <c r="W387" s="834"/>
      <c r="X387" s="834"/>
      <c r="Y387" s="834"/>
      <c r="Z387" s="834"/>
      <c r="AA387" s="834"/>
      <c r="AB387" s="834"/>
      <c r="AC387" s="834"/>
      <c r="AD387" s="834"/>
      <c r="AE387" s="834"/>
      <c r="AF387" s="835" t="n">
        <v>2020</v>
      </c>
      <c r="AG387" s="836" t="s">
        <v>1059</v>
      </c>
      <c r="AH387" s="836" t="s">
        <v>1104</v>
      </c>
      <c r="AI387" s="835" t="n">
        <v>2021</v>
      </c>
      <c r="AJ387" s="836" t="s">
        <v>1113</v>
      </c>
      <c r="AK387" s="836" t="s">
        <v>1075</v>
      </c>
      <c r="AL387" s="809"/>
      <c r="AM387" s="132"/>
      <c r="AN387" s="132"/>
      <c r="AO387" s="132"/>
      <c r="AP387" s="132"/>
      <c r="AQ387" s="132"/>
      <c r="AR387" s="132"/>
      <c r="AS387" s="132"/>
      <c r="AT387" s="132"/>
      <c r="AU387" s="132"/>
      <c r="AV387" s="132"/>
      <c r="AW387" s="132"/>
      <c r="AX387" s="132"/>
      <c r="AY387" s="132"/>
      <c r="AZ387" s="132"/>
      <c r="BA387" s="132"/>
      <c r="BB387" s="132"/>
      <c r="BC387" s="132"/>
      <c r="BD387" s="132"/>
      <c r="BE387" s="132"/>
      <c r="BF387" s="132"/>
    </row>
    <row r="388" customFormat="false" ht="11.25" hidden="false" customHeight="true" outlineLevel="0" collapsed="false">
      <c r="A388" s="113" t="s">
        <v>1026</v>
      </c>
      <c r="E388" s="80"/>
      <c r="F388" s="810"/>
      <c r="G388" s="138"/>
      <c r="H388" s="811" t="s">
        <v>166</v>
      </c>
      <c r="I388" s="831"/>
      <c r="J388" s="335"/>
      <c r="K388" s="333"/>
      <c r="L388" s="204"/>
      <c r="M388" s="198"/>
      <c r="N388" s="837"/>
      <c r="O388" s="838" t="n">
        <v>1</v>
      </c>
      <c r="P388" s="76" t="s">
        <v>61</v>
      </c>
      <c r="Q388" s="335" t="s">
        <v>1106</v>
      </c>
      <c r="R388" s="839" t="s">
        <v>1064</v>
      </c>
      <c r="S388" s="839" t="s">
        <v>106</v>
      </c>
      <c r="T388" s="839" t="s">
        <v>107</v>
      </c>
      <c r="U388" s="839" t="s">
        <v>108</v>
      </c>
      <c r="V388" s="839" t="s">
        <v>1107</v>
      </c>
      <c r="W388" s="839" t="s">
        <v>1108</v>
      </c>
      <c r="X388" s="839" t="s">
        <v>1109</v>
      </c>
      <c r="Y388" s="839" t="s">
        <v>1110</v>
      </c>
      <c r="Z388" s="840"/>
      <c r="AA388" s="841"/>
      <c r="AB388" s="841"/>
      <c r="AC388" s="842"/>
      <c r="AD388" s="842"/>
      <c r="AE388" s="843"/>
      <c r="AF388" s="835"/>
      <c r="AG388" s="836"/>
      <c r="AH388" s="836"/>
      <c r="AI388" s="835"/>
      <c r="AJ388" s="836"/>
      <c r="AK388" s="836"/>
      <c r="AL388" s="809"/>
      <c r="AM388" s="132"/>
      <c r="AN388" s="132"/>
      <c r="AO388" s="132"/>
      <c r="AP388" s="132"/>
      <c r="AQ388" s="132"/>
      <c r="AR388" s="132"/>
      <c r="AS388" s="132"/>
      <c r="AT388" s="132"/>
      <c r="AU388" s="132"/>
      <c r="AV388" s="132"/>
      <c r="AW388" s="132"/>
      <c r="AX388" s="132"/>
      <c r="AY388" s="132"/>
      <c r="AZ388" s="132"/>
      <c r="BA388" s="132"/>
      <c r="BB388" s="132"/>
      <c r="BC388" s="132"/>
      <c r="BD388" s="132"/>
      <c r="BE388" s="132"/>
      <c r="BF388" s="132"/>
    </row>
    <row r="389" customFormat="false" ht="11.25" hidden="false" customHeight="true" outlineLevel="0" collapsed="false">
      <c r="A389" s="113" t="s">
        <v>1026</v>
      </c>
      <c r="E389" s="80"/>
      <c r="F389" s="810"/>
      <c r="G389" s="138"/>
      <c r="H389" s="811" t="s">
        <v>166</v>
      </c>
      <c r="I389" s="831"/>
      <c r="J389" s="335"/>
      <c r="K389" s="333"/>
      <c r="L389" s="204"/>
      <c r="M389" s="198"/>
      <c r="N389" s="837"/>
      <c r="O389" s="838"/>
      <c r="P389" s="76"/>
      <c r="Q389" s="335"/>
      <c r="R389" s="839"/>
      <c r="S389" s="839"/>
      <c r="T389" s="839"/>
      <c r="U389" s="839"/>
      <c r="V389" s="839"/>
      <c r="W389" s="839"/>
      <c r="X389" s="839"/>
      <c r="Y389" s="839"/>
      <c r="Z389" s="844"/>
      <c r="AA389" s="845" t="n">
        <v>1</v>
      </c>
      <c r="AB389" s="846" t="s">
        <v>1069</v>
      </c>
      <c r="AC389" s="756" t="n">
        <v>72.69</v>
      </c>
      <c r="AD389" s="846" t="str">
        <f aca="false">AB389</f>
        <v>Прочие амортизационные отчисления</v>
      </c>
      <c r="AE389" s="756" t="n">
        <v>72.69</v>
      </c>
      <c r="AF389" s="835"/>
      <c r="AG389" s="836"/>
      <c r="AH389" s="836"/>
      <c r="AI389" s="835"/>
      <c r="AJ389" s="836"/>
      <c r="AK389" s="836"/>
      <c r="AL389" s="809"/>
      <c r="AM389" s="132"/>
      <c r="AN389" s="132"/>
      <c r="AO389" s="132"/>
      <c r="AP389" s="132"/>
      <c r="AQ389" s="132"/>
      <c r="AR389" s="132"/>
      <c r="AS389" s="132"/>
      <c r="AT389" s="132"/>
      <c r="AU389" s="132"/>
      <c r="AV389" s="132"/>
      <c r="AW389" s="132"/>
      <c r="AX389" s="132"/>
      <c r="AY389" s="132"/>
      <c r="AZ389" s="132"/>
      <c r="BA389" s="132"/>
      <c r="BB389" s="132"/>
      <c r="BC389" s="132"/>
      <c r="BD389" s="132"/>
      <c r="BE389" s="132"/>
      <c r="BF389" s="132"/>
    </row>
    <row r="390" customFormat="false" ht="11.25" hidden="false" customHeight="true" outlineLevel="0" collapsed="false">
      <c r="A390" s="113" t="s">
        <v>1026</v>
      </c>
      <c r="E390" s="80"/>
      <c r="F390" s="810"/>
      <c r="G390" s="138"/>
      <c r="H390" s="811" t="s">
        <v>166</v>
      </c>
      <c r="I390" s="831"/>
      <c r="J390" s="335"/>
      <c r="K390" s="333"/>
      <c r="L390" s="204"/>
      <c r="M390" s="198"/>
      <c r="N390" s="837"/>
      <c r="O390" s="838"/>
      <c r="P390" s="76"/>
      <c r="Q390" s="335"/>
      <c r="R390" s="839"/>
      <c r="S390" s="839"/>
      <c r="T390" s="839"/>
      <c r="U390" s="839"/>
      <c r="V390" s="839"/>
      <c r="W390" s="839"/>
      <c r="X390" s="839"/>
      <c r="Y390" s="839"/>
      <c r="Z390" s="840"/>
      <c r="AA390" s="841"/>
      <c r="AB390" s="161" t="s">
        <v>1071</v>
      </c>
      <c r="AC390" s="842"/>
      <c r="AD390" s="842"/>
      <c r="AE390" s="847"/>
      <c r="AF390" s="835"/>
      <c r="AG390" s="836"/>
      <c r="AH390" s="836"/>
      <c r="AI390" s="835"/>
      <c r="AJ390" s="836"/>
      <c r="AK390" s="836"/>
      <c r="AL390" s="809"/>
      <c r="AM390" s="132"/>
      <c r="AN390" s="132"/>
      <c r="AO390" s="132"/>
      <c r="AP390" s="132"/>
      <c r="AQ390" s="132"/>
      <c r="AR390" s="132"/>
      <c r="AS390" s="132"/>
      <c r="AT390" s="132"/>
      <c r="AU390" s="132"/>
      <c r="AV390" s="132"/>
      <c r="AW390" s="132"/>
      <c r="AX390" s="132"/>
      <c r="AY390" s="132"/>
      <c r="AZ390" s="132"/>
      <c r="BA390" s="132"/>
      <c r="BB390" s="132"/>
      <c r="BC390" s="132"/>
      <c r="BD390" s="132"/>
      <c r="BE390" s="132"/>
      <c r="BF390" s="132"/>
    </row>
    <row r="391" customFormat="false" ht="11.25" hidden="false" customHeight="true" outlineLevel="0" collapsed="false">
      <c r="A391" s="113" t="s">
        <v>1026</v>
      </c>
      <c r="E391" s="80"/>
      <c r="F391" s="810"/>
      <c r="G391" s="138"/>
      <c r="H391" s="811" t="s">
        <v>166</v>
      </c>
      <c r="I391" s="831"/>
      <c r="J391" s="335"/>
      <c r="K391" s="333"/>
      <c r="L391" s="204"/>
      <c r="M391" s="198"/>
      <c r="N391" s="840"/>
      <c r="O391" s="841"/>
      <c r="P391" s="161" t="s">
        <v>1072</v>
      </c>
      <c r="Q391" s="841"/>
      <c r="R391" s="841"/>
      <c r="S391" s="841"/>
      <c r="T391" s="841"/>
      <c r="U391" s="841"/>
      <c r="V391" s="841"/>
      <c r="W391" s="841"/>
      <c r="X391" s="841"/>
      <c r="Y391" s="841"/>
      <c r="Z391" s="841"/>
      <c r="AA391" s="841"/>
      <c r="AB391" s="841"/>
      <c r="AC391" s="841"/>
      <c r="AD391" s="841"/>
      <c r="AE391" s="848"/>
      <c r="AF391" s="835"/>
      <c r="AG391" s="836"/>
      <c r="AH391" s="836"/>
      <c r="AI391" s="835"/>
      <c r="AJ391" s="836"/>
      <c r="AK391" s="836"/>
      <c r="AL391" s="809"/>
      <c r="AM391" s="132"/>
      <c r="AN391" s="132"/>
      <c r="AO391" s="132"/>
      <c r="AP391" s="132"/>
      <c r="AQ391" s="132"/>
      <c r="AR391" s="132"/>
      <c r="AS391" s="132"/>
      <c r="AT391" s="132"/>
      <c r="AU391" s="132"/>
      <c r="AV391" s="132"/>
      <c r="AW391" s="132"/>
      <c r="AX391" s="132"/>
      <c r="AY391" s="132"/>
      <c r="AZ391" s="132"/>
      <c r="BA391" s="132"/>
      <c r="BB391" s="132"/>
      <c r="BC391" s="132"/>
      <c r="BD391" s="132"/>
      <c r="BE391" s="132"/>
      <c r="BF391" s="132"/>
    </row>
    <row r="392" customFormat="false" ht="11.25" hidden="false" customHeight="true" outlineLevel="0" collapsed="false">
      <c r="A392" s="113" t="s">
        <v>1026</v>
      </c>
      <c r="E392" s="80"/>
      <c r="F392" s="810"/>
      <c r="G392" s="138" t="s">
        <v>103</v>
      </c>
      <c r="H392" s="811" t="s">
        <v>168</v>
      </c>
      <c r="I392" s="831"/>
      <c r="J392" s="335"/>
      <c r="K392" s="333" t="s">
        <v>1161</v>
      </c>
      <c r="L392" s="204" t="s">
        <v>19</v>
      </c>
      <c r="M392" s="198"/>
      <c r="N392" s="832"/>
      <c r="O392" s="833" t="s">
        <v>389</v>
      </c>
      <c r="P392" s="834"/>
      <c r="Q392" s="834"/>
      <c r="R392" s="834"/>
      <c r="S392" s="834"/>
      <c r="T392" s="834"/>
      <c r="U392" s="834"/>
      <c r="V392" s="834"/>
      <c r="W392" s="834"/>
      <c r="X392" s="834"/>
      <c r="Y392" s="834"/>
      <c r="Z392" s="834"/>
      <c r="AA392" s="834"/>
      <c r="AB392" s="834"/>
      <c r="AC392" s="834"/>
      <c r="AD392" s="834"/>
      <c r="AE392" s="834"/>
      <c r="AF392" s="835" t="n">
        <v>2021</v>
      </c>
      <c r="AG392" s="836" t="s">
        <v>1059</v>
      </c>
      <c r="AH392" s="836" t="s">
        <v>1075</v>
      </c>
      <c r="AI392" s="835" t="n">
        <v>2021</v>
      </c>
      <c r="AJ392" s="836" t="s">
        <v>1113</v>
      </c>
      <c r="AK392" s="836" t="s">
        <v>1075</v>
      </c>
      <c r="AL392" s="809"/>
      <c r="AM392" s="132"/>
      <c r="AN392" s="132"/>
      <c r="AO392" s="132"/>
      <c r="AP392" s="132"/>
      <c r="AQ392" s="132"/>
      <c r="AR392" s="132"/>
      <c r="AS392" s="132"/>
      <c r="AT392" s="132"/>
      <c r="AU392" s="132"/>
      <c r="AV392" s="132"/>
      <c r="AW392" s="132"/>
      <c r="AX392" s="132"/>
      <c r="AY392" s="132"/>
      <c r="AZ392" s="132"/>
      <c r="BA392" s="132"/>
      <c r="BB392" s="132"/>
      <c r="BC392" s="132"/>
      <c r="BD392" s="132"/>
      <c r="BE392" s="132"/>
      <c r="BF392" s="132"/>
    </row>
    <row r="393" customFormat="false" ht="11.25" hidden="false" customHeight="true" outlineLevel="0" collapsed="false">
      <c r="A393" s="113" t="s">
        <v>1026</v>
      </c>
      <c r="E393" s="80"/>
      <c r="F393" s="810"/>
      <c r="G393" s="138"/>
      <c r="H393" s="811" t="s">
        <v>167</v>
      </c>
      <c r="I393" s="831"/>
      <c r="J393" s="335"/>
      <c r="K393" s="333"/>
      <c r="L393" s="204"/>
      <c r="M393" s="198"/>
      <c r="N393" s="837"/>
      <c r="O393" s="838" t="n">
        <v>1</v>
      </c>
      <c r="P393" s="76" t="s">
        <v>61</v>
      </c>
      <c r="Q393" s="335" t="s">
        <v>1106</v>
      </c>
      <c r="R393" s="839" t="s">
        <v>1064</v>
      </c>
      <c r="S393" s="839" t="s">
        <v>106</v>
      </c>
      <c r="T393" s="839" t="s">
        <v>107</v>
      </c>
      <c r="U393" s="839" t="s">
        <v>108</v>
      </c>
      <c r="V393" s="839" t="s">
        <v>1107</v>
      </c>
      <c r="W393" s="839" t="s">
        <v>1108</v>
      </c>
      <c r="X393" s="839" t="s">
        <v>1109</v>
      </c>
      <c r="Y393" s="839" t="s">
        <v>1110</v>
      </c>
      <c r="Z393" s="840"/>
      <c r="AA393" s="841"/>
      <c r="AB393" s="841"/>
      <c r="AC393" s="842"/>
      <c r="AD393" s="842"/>
      <c r="AE393" s="843"/>
      <c r="AF393" s="835"/>
      <c r="AG393" s="836"/>
      <c r="AH393" s="836"/>
      <c r="AI393" s="835"/>
      <c r="AJ393" s="836"/>
      <c r="AK393" s="836"/>
      <c r="AL393" s="809"/>
      <c r="AM393" s="132"/>
      <c r="AN393" s="132"/>
      <c r="AO393" s="132"/>
      <c r="AP393" s="132"/>
      <c r="AQ393" s="132"/>
      <c r="AR393" s="132"/>
      <c r="AS393" s="132"/>
      <c r="AT393" s="132"/>
      <c r="AU393" s="132"/>
      <c r="AV393" s="132"/>
      <c r="AW393" s="132"/>
      <c r="AX393" s="132"/>
      <c r="AY393" s="132"/>
      <c r="AZ393" s="132"/>
      <c r="BA393" s="132"/>
      <c r="BB393" s="132"/>
      <c r="BC393" s="132"/>
      <c r="BD393" s="132"/>
      <c r="BE393" s="132"/>
      <c r="BF393" s="132"/>
    </row>
    <row r="394" customFormat="false" ht="11.25" hidden="false" customHeight="true" outlineLevel="0" collapsed="false">
      <c r="A394" s="113" t="s">
        <v>1026</v>
      </c>
      <c r="E394" s="80"/>
      <c r="F394" s="810"/>
      <c r="G394" s="138"/>
      <c r="H394" s="811" t="s">
        <v>167</v>
      </c>
      <c r="I394" s="831"/>
      <c r="J394" s="335"/>
      <c r="K394" s="333"/>
      <c r="L394" s="204"/>
      <c r="M394" s="198"/>
      <c r="N394" s="837"/>
      <c r="O394" s="838"/>
      <c r="P394" s="76"/>
      <c r="Q394" s="335"/>
      <c r="R394" s="839"/>
      <c r="S394" s="839"/>
      <c r="T394" s="839"/>
      <c r="U394" s="839"/>
      <c r="V394" s="839"/>
      <c r="W394" s="839"/>
      <c r="X394" s="839"/>
      <c r="Y394" s="839"/>
      <c r="Z394" s="844"/>
      <c r="AA394" s="845" t="n">
        <v>1</v>
      </c>
      <c r="AB394" s="846" t="s">
        <v>1069</v>
      </c>
      <c r="AC394" s="756" t="n">
        <v>75.95392</v>
      </c>
      <c r="AD394" s="846" t="str">
        <f aca="false">AB394</f>
        <v>Прочие амортизационные отчисления</v>
      </c>
      <c r="AE394" s="756" t="n">
        <v>75.95392</v>
      </c>
      <c r="AF394" s="835"/>
      <c r="AG394" s="836"/>
      <c r="AH394" s="836"/>
      <c r="AI394" s="835"/>
      <c r="AJ394" s="836"/>
      <c r="AK394" s="836"/>
      <c r="AL394" s="809"/>
      <c r="AM394" s="132"/>
      <c r="AN394" s="132"/>
      <c r="AO394" s="132"/>
      <c r="AP394" s="132"/>
      <c r="AQ394" s="132"/>
      <c r="AR394" s="132"/>
      <c r="AS394" s="132"/>
      <c r="AT394" s="132"/>
      <c r="AU394" s="132"/>
      <c r="AV394" s="132"/>
      <c r="AW394" s="132"/>
      <c r="AX394" s="132"/>
      <c r="AY394" s="132"/>
      <c r="AZ394" s="132"/>
      <c r="BA394" s="132"/>
      <c r="BB394" s="132"/>
      <c r="BC394" s="132"/>
      <c r="BD394" s="132"/>
      <c r="BE394" s="132"/>
      <c r="BF394" s="132"/>
    </row>
    <row r="395" customFormat="false" ht="11.25" hidden="false" customHeight="true" outlineLevel="0" collapsed="false">
      <c r="A395" s="113" t="s">
        <v>1026</v>
      </c>
      <c r="E395" s="80"/>
      <c r="F395" s="810"/>
      <c r="G395" s="138"/>
      <c r="H395" s="811" t="s">
        <v>167</v>
      </c>
      <c r="I395" s="831"/>
      <c r="J395" s="335"/>
      <c r="K395" s="333"/>
      <c r="L395" s="204"/>
      <c r="M395" s="198"/>
      <c r="N395" s="837"/>
      <c r="O395" s="838"/>
      <c r="P395" s="76"/>
      <c r="Q395" s="335"/>
      <c r="R395" s="839"/>
      <c r="S395" s="839"/>
      <c r="T395" s="839"/>
      <c r="U395" s="839"/>
      <c r="V395" s="839"/>
      <c r="W395" s="839"/>
      <c r="X395" s="839"/>
      <c r="Y395" s="839"/>
      <c r="Z395" s="840"/>
      <c r="AA395" s="841"/>
      <c r="AB395" s="161" t="s">
        <v>1071</v>
      </c>
      <c r="AC395" s="842"/>
      <c r="AD395" s="842"/>
      <c r="AE395" s="847"/>
      <c r="AF395" s="835"/>
      <c r="AG395" s="836"/>
      <c r="AH395" s="836"/>
      <c r="AI395" s="835"/>
      <c r="AJ395" s="836"/>
      <c r="AK395" s="836"/>
      <c r="AL395" s="809"/>
      <c r="AM395" s="132"/>
      <c r="AN395" s="132"/>
      <c r="AO395" s="132"/>
      <c r="AP395" s="132"/>
      <c r="AQ395" s="132"/>
      <c r="AR395" s="132"/>
      <c r="AS395" s="132"/>
      <c r="AT395" s="132"/>
      <c r="AU395" s="132"/>
      <c r="AV395" s="132"/>
      <c r="AW395" s="132"/>
      <c r="AX395" s="132"/>
      <c r="AY395" s="132"/>
      <c r="AZ395" s="132"/>
      <c r="BA395" s="132"/>
      <c r="BB395" s="132"/>
      <c r="BC395" s="132"/>
      <c r="BD395" s="132"/>
      <c r="BE395" s="132"/>
      <c r="BF395" s="132"/>
    </row>
    <row r="396" customFormat="false" ht="11.25" hidden="false" customHeight="true" outlineLevel="0" collapsed="false">
      <c r="A396" s="113" t="s">
        <v>1026</v>
      </c>
      <c r="E396" s="80"/>
      <c r="F396" s="810"/>
      <c r="G396" s="138"/>
      <c r="H396" s="811" t="s">
        <v>167</v>
      </c>
      <c r="I396" s="831"/>
      <c r="J396" s="335"/>
      <c r="K396" s="333"/>
      <c r="L396" s="204"/>
      <c r="M396" s="198"/>
      <c r="N396" s="840"/>
      <c r="O396" s="841"/>
      <c r="P396" s="161" t="s">
        <v>1072</v>
      </c>
      <c r="Q396" s="841"/>
      <c r="R396" s="841"/>
      <c r="S396" s="841"/>
      <c r="T396" s="841"/>
      <c r="U396" s="841"/>
      <c r="V396" s="841"/>
      <c r="W396" s="841"/>
      <c r="X396" s="841"/>
      <c r="Y396" s="841"/>
      <c r="Z396" s="841"/>
      <c r="AA396" s="841"/>
      <c r="AB396" s="841"/>
      <c r="AC396" s="841"/>
      <c r="AD396" s="841"/>
      <c r="AE396" s="848"/>
      <c r="AF396" s="835"/>
      <c r="AG396" s="836"/>
      <c r="AH396" s="836"/>
      <c r="AI396" s="835"/>
      <c r="AJ396" s="836"/>
      <c r="AK396" s="836"/>
      <c r="AL396" s="809"/>
      <c r="AM396" s="132"/>
      <c r="AN396" s="132"/>
      <c r="AO396" s="132"/>
      <c r="AP396" s="132"/>
      <c r="AQ396" s="132"/>
      <c r="AR396" s="132"/>
      <c r="AS396" s="132"/>
      <c r="AT396" s="132"/>
      <c r="AU396" s="132"/>
      <c r="AV396" s="132"/>
      <c r="AW396" s="132"/>
      <c r="AX396" s="132"/>
      <c r="AY396" s="132"/>
      <c r="AZ396" s="132"/>
      <c r="BA396" s="132"/>
      <c r="BB396" s="132"/>
      <c r="BC396" s="132"/>
      <c r="BD396" s="132"/>
      <c r="BE396" s="132"/>
      <c r="BF396" s="132"/>
    </row>
    <row r="397" customFormat="false" ht="11.25" hidden="false" customHeight="true" outlineLevel="0" collapsed="false">
      <c r="A397" s="113" t="s">
        <v>1026</v>
      </c>
      <c r="E397" s="80"/>
      <c r="F397" s="810"/>
      <c r="G397" s="138" t="s">
        <v>103</v>
      </c>
      <c r="H397" s="811" t="s">
        <v>1094</v>
      </c>
      <c r="I397" s="831"/>
      <c r="J397" s="335"/>
      <c r="K397" s="333" t="s">
        <v>1162</v>
      </c>
      <c r="L397" s="204" t="s">
        <v>19</v>
      </c>
      <c r="M397" s="198"/>
      <c r="N397" s="832"/>
      <c r="O397" s="833" t="s">
        <v>389</v>
      </c>
      <c r="P397" s="834"/>
      <c r="Q397" s="834"/>
      <c r="R397" s="834"/>
      <c r="S397" s="834"/>
      <c r="T397" s="834"/>
      <c r="U397" s="834"/>
      <c r="V397" s="834"/>
      <c r="W397" s="834"/>
      <c r="X397" s="834"/>
      <c r="Y397" s="834"/>
      <c r="Z397" s="834"/>
      <c r="AA397" s="834"/>
      <c r="AB397" s="834"/>
      <c r="AC397" s="834"/>
      <c r="AD397" s="834"/>
      <c r="AE397" s="834"/>
      <c r="AF397" s="835" t="n">
        <v>2021</v>
      </c>
      <c r="AG397" s="836" t="s">
        <v>1059</v>
      </c>
      <c r="AH397" s="836" t="s">
        <v>1075</v>
      </c>
      <c r="AI397" s="835" t="n">
        <v>2021</v>
      </c>
      <c r="AJ397" s="836" t="s">
        <v>1113</v>
      </c>
      <c r="AK397" s="836" t="s">
        <v>1075</v>
      </c>
      <c r="AL397" s="809"/>
      <c r="AM397" s="132"/>
      <c r="AN397" s="132"/>
      <c r="AO397" s="132"/>
      <c r="AP397" s="132"/>
      <c r="AQ397" s="132"/>
      <c r="AR397" s="132"/>
      <c r="AS397" s="132"/>
      <c r="AT397" s="132"/>
      <c r="AU397" s="132"/>
      <c r="AV397" s="132"/>
      <c r="AW397" s="132"/>
      <c r="AX397" s="132"/>
      <c r="AY397" s="132"/>
      <c r="AZ397" s="132"/>
      <c r="BA397" s="132"/>
      <c r="BB397" s="132"/>
      <c r="BC397" s="132"/>
      <c r="BD397" s="132"/>
      <c r="BE397" s="132"/>
      <c r="BF397" s="132"/>
    </row>
    <row r="398" customFormat="false" ht="11.25" hidden="false" customHeight="true" outlineLevel="0" collapsed="false">
      <c r="A398" s="113" t="s">
        <v>1026</v>
      </c>
      <c r="E398" s="80"/>
      <c r="F398" s="810"/>
      <c r="G398" s="138"/>
      <c r="H398" s="811" t="s">
        <v>168</v>
      </c>
      <c r="I398" s="831"/>
      <c r="J398" s="335"/>
      <c r="K398" s="333"/>
      <c r="L398" s="204"/>
      <c r="M398" s="198"/>
      <c r="N398" s="837"/>
      <c r="O398" s="838" t="n">
        <v>1</v>
      </c>
      <c r="P398" s="76" t="s">
        <v>61</v>
      </c>
      <c r="Q398" s="335" t="s">
        <v>1106</v>
      </c>
      <c r="R398" s="839" t="s">
        <v>1064</v>
      </c>
      <c r="S398" s="839" t="s">
        <v>106</v>
      </c>
      <c r="T398" s="839" t="s">
        <v>107</v>
      </c>
      <c r="U398" s="839" t="s">
        <v>108</v>
      </c>
      <c r="V398" s="839" t="s">
        <v>1107</v>
      </c>
      <c r="W398" s="839" t="s">
        <v>1108</v>
      </c>
      <c r="X398" s="839" t="s">
        <v>1109</v>
      </c>
      <c r="Y398" s="839" t="s">
        <v>1110</v>
      </c>
      <c r="Z398" s="840"/>
      <c r="AA398" s="841"/>
      <c r="AB398" s="841"/>
      <c r="AC398" s="842"/>
      <c r="AD398" s="842"/>
      <c r="AE398" s="843"/>
      <c r="AF398" s="835"/>
      <c r="AG398" s="836"/>
      <c r="AH398" s="836"/>
      <c r="AI398" s="835"/>
      <c r="AJ398" s="836"/>
      <c r="AK398" s="836"/>
      <c r="AL398" s="809"/>
      <c r="AM398" s="132"/>
      <c r="AN398" s="132"/>
      <c r="AO398" s="132"/>
      <c r="AP398" s="132"/>
      <c r="AQ398" s="132"/>
      <c r="AR398" s="132"/>
      <c r="AS398" s="132"/>
      <c r="AT398" s="132"/>
      <c r="AU398" s="132"/>
      <c r="AV398" s="132"/>
      <c r="AW398" s="132"/>
      <c r="AX398" s="132"/>
      <c r="AY398" s="132"/>
      <c r="AZ398" s="132"/>
      <c r="BA398" s="132"/>
      <c r="BB398" s="132"/>
      <c r="BC398" s="132"/>
      <c r="BD398" s="132"/>
      <c r="BE398" s="132"/>
      <c r="BF398" s="132"/>
    </row>
    <row r="399" customFormat="false" ht="11.25" hidden="false" customHeight="true" outlineLevel="0" collapsed="false">
      <c r="A399" s="113" t="s">
        <v>1026</v>
      </c>
      <c r="E399" s="80"/>
      <c r="F399" s="810"/>
      <c r="G399" s="138"/>
      <c r="H399" s="811" t="s">
        <v>168</v>
      </c>
      <c r="I399" s="831"/>
      <c r="J399" s="335"/>
      <c r="K399" s="333"/>
      <c r="L399" s="204"/>
      <c r="M399" s="198"/>
      <c r="N399" s="837"/>
      <c r="O399" s="838"/>
      <c r="P399" s="76"/>
      <c r="Q399" s="335"/>
      <c r="R399" s="839"/>
      <c r="S399" s="839"/>
      <c r="T399" s="839"/>
      <c r="U399" s="839"/>
      <c r="V399" s="839"/>
      <c r="W399" s="839"/>
      <c r="X399" s="839"/>
      <c r="Y399" s="839"/>
      <c r="Z399" s="844"/>
      <c r="AA399" s="845" t="n">
        <v>1</v>
      </c>
      <c r="AB399" s="846" t="s">
        <v>1069</v>
      </c>
      <c r="AC399" s="756" t="n">
        <v>146.065</v>
      </c>
      <c r="AD399" s="846" t="str">
        <f aca="false">AB399</f>
        <v>Прочие амортизационные отчисления</v>
      </c>
      <c r="AE399" s="756" t="n">
        <v>146.065</v>
      </c>
      <c r="AF399" s="835"/>
      <c r="AG399" s="836"/>
      <c r="AH399" s="836"/>
      <c r="AI399" s="835"/>
      <c r="AJ399" s="836"/>
      <c r="AK399" s="836"/>
      <c r="AL399" s="809"/>
      <c r="AM399" s="132"/>
      <c r="AN399" s="132"/>
      <c r="AO399" s="132"/>
      <c r="AP399" s="132"/>
      <c r="AQ399" s="132"/>
      <c r="AR399" s="132"/>
      <c r="AS399" s="132"/>
      <c r="AT399" s="132"/>
      <c r="AU399" s="132"/>
      <c r="AV399" s="132"/>
      <c r="AW399" s="132"/>
      <c r="AX399" s="132"/>
      <c r="AY399" s="132"/>
      <c r="AZ399" s="132"/>
      <c r="BA399" s="132"/>
      <c r="BB399" s="132"/>
      <c r="BC399" s="132"/>
      <c r="BD399" s="132"/>
      <c r="BE399" s="132"/>
      <c r="BF399" s="132"/>
    </row>
    <row r="400" customFormat="false" ht="11.25" hidden="false" customHeight="true" outlineLevel="0" collapsed="false">
      <c r="A400" s="113" t="s">
        <v>1026</v>
      </c>
      <c r="E400" s="80"/>
      <c r="F400" s="810"/>
      <c r="G400" s="138"/>
      <c r="H400" s="811" t="s">
        <v>168</v>
      </c>
      <c r="I400" s="831"/>
      <c r="J400" s="335"/>
      <c r="K400" s="333"/>
      <c r="L400" s="204"/>
      <c r="M400" s="198"/>
      <c r="N400" s="837"/>
      <c r="O400" s="838"/>
      <c r="P400" s="76"/>
      <c r="Q400" s="335"/>
      <c r="R400" s="839"/>
      <c r="S400" s="839"/>
      <c r="T400" s="839"/>
      <c r="U400" s="839"/>
      <c r="V400" s="839"/>
      <c r="W400" s="839"/>
      <c r="X400" s="839"/>
      <c r="Y400" s="839"/>
      <c r="Z400" s="840"/>
      <c r="AA400" s="841"/>
      <c r="AB400" s="161" t="s">
        <v>1071</v>
      </c>
      <c r="AC400" s="842"/>
      <c r="AD400" s="842"/>
      <c r="AE400" s="847"/>
      <c r="AF400" s="835"/>
      <c r="AG400" s="836"/>
      <c r="AH400" s="836"/>
      <c r="AI400" s="835"/>
      <c r="AJ400" s="836"/>
      <c r="AK400" s="836"/>
      <c r="AL400" s="809"/>
      <c r="AM400" s="132"/>
      <c r="AN400" s="132"/>
      <c r="AO400" s="132"/>
      <c r="AP400" s="132"/>
      <c r="AQ400" s="132"/>
      <c r="AR400" s="132"/>
      <c r="AS400" s="132"/>
      <c r="AT400" s="132"/>
      <c r="AU400" s="132"/>
      <c r="AV400" s="132"/>
      <c r="AW400" s="132"/>
      <c r="AX400" s="132"/>
      <c r="AY400" s="132"/>
      <c r="AZ400" s="132"/>
      <c r="BA400" s="132"/>
      <c r="BB400" s="132"/>
      <c r="BC400" s="132"/>
      <c r="BD400" s="132"/>
      <c r="BE400" s="132"/>
      <c r="BF400" s="132"/>
    </row>
    <row r="401" customFormat="false" ht="11.25" hidden="false" customHeight="true" outlineLevel="0" collapsed="false">
      <c r="A401" s="113" t="s">
        <v>1026</v>
      </c>
      <c r="E401" s="80"/>
      <c r="F401" s="810"/>
      <c r="G401" s="138"/>
      <c r="H401" s="811" t="s">
        <v>168</v>
      </c>
      <c r="I401" s="831"/>
      <c r="J401" s="335"/>
      <c r="K401" s="333"/>
      <c r="L401" s="204"/>
      <c r="M401" s="198"/>
      <c r="N401" s="840"/>
      <c r="O401" s="841"/>
      <c r="P401" s="161" t="s">
        <v>1072</v>
      </c>
      <c r="Q401" s="841"/>
      <c r="R401" s="841"/>
      <c r="S401" s="841"/>
      <c r="T401" s="841"/>
      <c r="U401" s="841"/>
      <c r="V401" s="841"/>
      <c r="W401" s="841"/>
      <c r="X401" s="841"/>
      <c r="Y401" s="841"/>
      <c r="Z401" s="841"/>
      <c r="AA401" s="841"/>
      <c r="AB401" s="841"/>
      <c r="AC401" s="841"/>
      <c r="AD401" s="841"/>
      <c r="AE401" s="848"/>
      <c r="AF401" s="835"/>
      <c r="AG401" s="836"/>
      <c r="AH401" s="836"/>
      <c r="AI401" s="835"/>
      <c r="AJ401" s="836"/>
      <c r="AK401" s="836"/>
      <c r="AL401" s="809"/>
      <c r="AM401" s="132"/>
      <c r="AN401" s="132"/>
      <c r="AO401" s="132"/>
      <c r="AP401" s="132"/>
      <c r="AQ401" s="132"/>
      <c r="AR401" s="132"/>
      <c r="AS401" s="132"/>
      <c r="AT401" s="132"/>
      <c r="AU401" s="132"/>
      <c r="AV401" s="132"/>
      <c r="AW401" s="132"/>
      <c r="AX401" s="132"/>
      <c r="AY401" s="132"/>
      <c r="AZ401" s="132"/>
      <c r="BA401" s="132"/>
      <c r="BB401" s="132"/>
      <c r="BC401" s="132"/>
      <c r="BD401" s="132"/>
      <c r="BE401" s="132"/>
      <c r="BF401" s="132"/>
    </row>
    <row r="402" customFormat="false" ht="11.25" hidden="false" customHeight="true" outlineLevel="0" collapsed="false">
      <c r="A402" s="113" t="s">
        <v>1026</v>
      </c>
      <c r="E402" s="80"/>
      <c r="F402" s="810"/>
      <c r="G402" s="138" t="s">
        <v>103</v>
      </c>
      <c r="H402" s="811" t="s">
        <v>1100</v>
      </c>
      <c r="I402" s="831"/>
      <c r="J402" s="335"/>
      <c r="K402" s="333" t="s">
        <v>1117</v>
      </c>
      <c r="L402" s="204" t="s">
        <v>19</v>
      </c>
      <c r="M402" s="198"/>
      <c r="N402" s="832"/>
      <c r="O402" s="833" t="s">
        <v>389</v>
      </c>
      <c r="P402" s="834"/>
      <c r="Q402" s="834"/>
      <c r="R402" s="834"/>
      <c r="S402" s="834"/>
      <c r="T402" s="834"/>
      <c r="U402" s="834"/>
      <c r="V402" s="834"/>
      <c r="W402" s="834"/>
      <c r="X402" s="834"/>
      <c r="Y402" s="834"/>
      <c r="Z402" s="834"/>
      <c r="AA402" s="834"/>
      <c r="AB402" s="834"/>
      <c r="AC402" s="834"/>
      <c r="AD402" s="834"/>
      <c r="AE402" s="834"/>
      <c r="AF402" s="835" t="n">
        <v>2019</v>
      </c>
      <c r="AG402" s="836" t="s">
        <v>1059</v>
      </c>
      <c r="AH402" s="836" t="s">
        <v>1075</v>
      </c>
      <c r="AI402" s="835" t="n">
        <v>2019</v>
      </c>
      <c r="AJ402" s="836" t="s">
        <v>1076</v>
      </c>
      <c r="AK402" s="836" t="s">
        <v>1062</v>
      </c>
      <c r="AL402" s="809"/>
      <c r="AM402" s="132"/>
      <c r="AN402" s="132"/>
      <c r="AO402" s="132"/>
      <c r="AP402" s="132"/>
      <c r="AQ402" s="132"/>
      <c r="AR402" s="132"/>
      <c r="AS402" s="132"/>
      <c r="AT402" s="132"/>
      <c r="AU402" s="132"/>
      <c r="AV402" s="132"/>
      <c r="AW402" s="132"/>
      <c r="AX402" s="132"/>
      <c r="AY402" s="132"/>
      <c r="AZ402" s="132"/>
      <c r="BA402" s="132"/>
      <c r="BB402" s="132"/>
      <c r="BC402" s="132"/>
      <c r="BD402" s="132"/>
      <c r="BE402" s="132"/>
      <c r="BF402" s="132"/>
    </row>
    <row r="403" customFormat="false" ht="11.25" hidden="false" customHeight="true" outlineLevel="0" collapsed="false">
      <c r="A403" s="113" t="s">
        <v>1026</v>
      </c>
      <c r="E403" s="80"/>
      <c r="F403" s="810"/>
      <c r="G403" s="138"/>
      <c r="H403" s="811" t="s">
        <v>1094</v>
      </c>
      <c r="I403" s="831"/>
      <c r="J403" s="335"/>
      <c r="K403" s="333"/>
      <c r="L403" s="204"/>
      <c r="M403" s="198"/>
      <c r="N403" s="837"/>
      <c r="O403" s="838" t="n">
        <v>1</v>
      </c>
      <c r="P403" s="76" t="s">
        <v>61</v>
      </c>
      <c r="Q403" s="335" t="s">
        <v>1118</v>
      </c>
      <c r="R403" s="839" t="s">
        <v>1119</v>
      </c>
      <c r="S403" s="839" t="s">
        <v>111</v>
      </c>
      <c r="T403" s="839" t="s">
        <v>112</v>
      </c>
      <c r="U403" s="839" t="s">
        <v>113</v>
      </c>
      <c r="V403" s="839" t="s">
        <v>1120</v>
      </c>
      <c r="W403" s="839" t="s">
        <v>1121</v>
      </c>
      <c r="X403" s="839" t="s">
        <v>1122</v>
      </c>
      <c r="Y403" s="839" t="s">
        <v>1123</v>
      </c>
      <c r="Z403" s="840"/>
      <c r="AA403" s="841"/>
      <c r="AB403" s="841"/>
      <c r="AC403" s="842"/>
      <c r="AD403" s="842"/>
      <c r="AE403" s="843"/>
      <c r="AF403" s="835"/>
      <c r="AG403" s="836"/>
      <c r="AH403" s="836"/>
      <c r="AI403" s="835"/>
      <c r="AJ403" s="836"/>
      <c r="AK403" s="836"/>
      <c r="AL403" s="809"/>
      <c r="AM403" s="132"/>
      <c r="AN403" s="132"/>
      <c r="AO403" s="132"/>
      <c r="AP403" s="132"/>
      <c r="AQ403" s="132"/>
      <c r="AR403" s="132"/>
      <c r="AS403" s="132"/>
      <c r="AT403" s="132"/>
      <c r="AU403" s="132"/>
      <c r="AV403" s="132"/>
      <c r="AW403" s="132"/>
      <c r="AX403" s="132"/>
      <c r="AY403" s="132"/>
      <c r="AZ403" s="132"/>
      <c r="BA403" s="132"/>
      <c r="BB403" s="132"/>
      <c r="BC403" s="132"/>
      <c r="BD403" s="132"/>
      <c r="BE403" s="132"/>
      <c r="BF403" s="132"/>
    </row>
    <row r="404" customFormat="false" ht="11.25" hidden="false" customHeight="true" outlineLevel="0" collapsed="false">
      <c r="A404" s="113" t="s">
        <v>1026</v>
      </c>
      <c r="E404" s="80"/>
      <c r="F404" s="810"/>
      <c r="G404" s="138"/>
      <c r="H404" s="811" t="s">
        <v>1094</v>
      </c>
      <c r="I404" s="831"/>
      <c r="J404" s="335"/>
      <c r="K404" s="333"/>
      <c r="L404" s="204"/>
      <c r="M404" s="198"/>
      <c r="N404" s="837"/>
      <c r="O404" s="838"/>
      <c r="P404" s="76"/>
      <c r="Q404" s="335"/>
      <c r="R404" s="839"/>
      <c r="S404" s="839"/>
      <c r="T404" s="839"/>
      <c r="U404" s="839"/>
      <c r="V404" s="839"/>
      <c r="W404" s="839"/>
      <c r="X404" s="839"/>
      <c r="Y404" s="839"/>
      <c r="Z404" s="844"/>
      <c r="AA404" s="845" t="n">
        <v>1</v>
      </c>
      <c r="AB404" s="846" t="s">
        <v>1069</v>
      </c>
      <c r="AC404" s="756" t="n">
        <v>2640.92</v>
      </c>
      <c r="AD404" s="846" t="str">
        <f aca="false">AB404</f>
        <v>Прочие амортизационные отчисления</v>
      </c>
      <c r="AE404" s="756" t="n">
        <v>0</v>
      </c>
      <c r="AF404" s="835"/>
      <c r="AG404" s="836"/>
      <c r="AH404" s="836"/>
      <c r="AI404" s="835"/>
      <c r="AJ404" s="836"/>
      <c r="AK404" s="836"/>
      <c r="AL404" s="809"/>
      <c r="AM404" s="132"/>
      <c r="AN404" s="132"/>
      <c r="AO404" s="132"/>
      <c r="AP404" s="132"/>
      <c r="AQ404" s="132"/>
      <c r="AR404" s="132"/>
      <c r="AS404" s="132"/>
      <c r="AT404" s="132"/>
      <c r="AU404" s="132"/>
      <c r="AV404" s="132"/>
      <c r="AW404" s="132"/>
      <c r="AX404" s="132"/>
      <c r="AY404" s="132"/>
      <c r="AZ404" s="132"/>
      <c r="BA404" s="132"/>
      <c r="BB404" s="132"/>
      <c r="BC404" s="132"/>
      <c r="BD404" s="132"/>
      <c r="BE404" s="132"/>
      <c r="BF404" s="132"/>
    </row>
    <row r="405" customFormat="false" ht="11.25" hidden="false" customHeight="true" outlineLevel="0" collapsed="false">
      <c r="A405" s="113" t="s">
        <v>1026</v>
      </c>
      <c r="E405" s="80"/>
      <c r="F405" s="810"/>
      <c r="G405" s="138"/>
      <c r="H405" s="811" t="s">
        <v>1094</v>
      </c>
      <c r="I405" s="831"/>
      <c r="J405" s="335"/>
      <c r="K405" s="333"/>
      <c r="L405" s="204"/>
      <c r="M405" s="198"/>
      <c r="N405" s="837"/>
      <c r="O405" s="838"/>
      <c r="P405" s="76"/>
      <c r="Q405" s="335"/>
      <c r="R405" s="839"/>
      <c r="S405" s="839"/>
      <c r="T405" s="839"/>
      <c r="U405" s="839"/>
      <c r="V405" s="839"/>
      <c r="W405" s="839"/>
      <c r="X405" s="839"/>
      <c r="Y405" s="839"/>
      <c r="Z405" s="840"/>
      <c r="AA405" s="841"/>
      <c r="AB405" s="161" t="s">
        <v>1071</v>
      </c>
      <c r="AC405" s="842"/>
      <c r="AD405" s="842"/>
      <c r="AE405" s="847"/>
      <c r="AF405" s="835"/>
      <c r="AG405" s="836"/>
      <c r="AH405" s="836"/>
      <c r="AI405" s="835"/>
      <c r="AJ405" s="836"/>
      <c r="AK405" s="836"/>
      <c r="AL405" s="809"/>
      <c r="AM405" s="132"/>
      <c r="AN405" s="132"/>
      <c r="AO405" s="132"/>
      <c r="AP405" s="132"/>
      <c r="AQ405" s="132"/>
      <c r="AR405" s="132"/>
      <c r="AS405" s="132"/>
      <c r="AT405" s="132"/>
      <c r="AU405" s="132"/>
      <c r="AV405" s="132"/>
      <c r="AW405" s="132"/>
      <c r="AX405" s="132"/>
      <c r="AY405" s="132"/>
      <c r="AZ405" s="132"/>
      <c r="BA405" s="132"/>
      <c r="BB405" s="132"/>
      <c r="BC405" s="132"/>
      <c r="BD405" s="132"/>
      <c r="BE405" s="132"/>
      <c r="BF405" s="132"/>
    </row>
    <row r="406" customFormat="false" ht="11.25" hidden="false" customHeight="true" outlineLevel="0" collapsed="false">
      <c r="A406" s="113" t="s">
        <v>1026</v>
      </c>
      <c r="E406" s="80"/>
      <c r="F406" s="810"/>
      <c r="G406" s="138"/>
      <c r="H406" s="811" t="s">
        <v>1094</v>
      </c>
      <c r="I406" s="831"/>
      <c r="J406" s="335"/>
      <c r="K406" s="333"/>
      <c r="L406" s="204"/>
      <c r="M406" s="198"/>
      <c r="N406" s="840"/>
      <c r="O406" s="841"/>
      <c r="P406" s="161" t="s">
        <v>1072</v>
      </c>
      <c r="Q406" s="841"/>
      <c r="R406" s="841"/>
      <c r="S406" s="841"/>
      <c r="T406" s="841"/>
      <c r="U406" s="841"/>
      <c r="V406" s="841"/>
      <c r="W406" s="841"/>
      <c r="X406" s="841"/>
      <c r="Y406" s="841"/>
      <c r="Z406" s="841"/>
      <c r="AA406" s="841"/>
      <c r="AB406" s="841"/>
      <c r="AC406" s="841"/>
      <c r="AD406" s="841"/>
      <c r="AE406" s="848"/>
      <c r="AF406" s="835"/>
      <c r="AG406" s="836"/>
      <c r="AH406" s="836"/>
      <c r="AI406" s="835"/>
      <c r="AJ406" s="836"/>
      <c r="AK406" s="836"/>
      <c r="AL406" s="809"/>
      <c r="AM406" s="132"/>
      <c r="AN406" s="132"/>
      <c r="AO406" s="132"/>
      <c r="AP406" s="132"/>
      <c r="AQ406" s="132"/>
      <c r="AR406" s="132"/>
      <c r="AS406" s="132"/>
      <c r="AT406" s="132"/>
      <c r="AU406" s="132"/>
      <c r="AV406" s="132"/>
      <c r="AW406" s="132"/>
      <c r="AX406" s="132"/>
      <c r="AY406" s="132"/>
      <c r="AZ406" s="132"/>
      <c r="BA406" s="132"/>
      <c r="BB406" s="132"/>
      <c r="BC406" s="132"/>
      <c r="BD406" s="132"/>
      <c r="BE406" s="132"/>
      <c r="BF406" s="132"/>
    </row>
    <row r="407" customFormat="false" ht="11.25" hidden="false" customHeight="true" outlineLevel="0" collapsed="false">
      <c r="A407" s="113" t="s">
        <v>1026</v>
      </c>
      <c r="E407" s="80"/>
      <c r="F407" s="810"/>
      <c r="G407" s="138" t="s">
        <v>103</v>
      </c>
      <c r="H407" s="811" t="s">
        <v>1102</v>
      </c>
      <c r="I407" s="831"/>
      <c r="J407" s="335"/>
      <c r="K407" s="333" t="s">
        <v>1163</v>
      </c>
      <c r="L407" s="204" t="s">
        <v>19</v>
      </c>
      <c r="M407" s="198"/>
      <c r="N407" s="832"/>
      <c r="O407" s="833" t="s">
        <v>389</v>
      </c>
      <c r="P407" s="834"/>
      <c r="Q407" s="834"/>
      <c r="R407" s="834"/>
      <c r="S407" s="834"/>
      <c r="T407" s="834"/>
      <c r="U407" s="834"/>
      <c r="V407" s="834"/>
      <c r="W407" s="834"/>
      <c r="X407" s="834"/>
      <c r="Y407" s="834"/>
      <c r="Z407" s="834"/>
      <c r="AA407" s="834"/>
      <c r="AB407" s="834"/>
      <c r="AC407" s="834"/>
      <c r="AD407" s="834"/>
      <c r="AE407" s="834"/>
      <c r="AF407" s="835" t="n">
        <v>2021</v>
      </c>
      <c r="AG407" s="836" t="s">
        <v>1059</v>
      </c>
      <c r="AH407" s="836" t="s">
        <v>1075</v>
      </c>
      <c r="AI407" s="835" t="n">
        <v>2022</v>
      </c>
      <c r="AJ407" s="836" t="s">
        <v>1059</v>
      </c>
      <c r="AK407" s="836" t="s">
        <v>1096</v>
      </c>
      <c r="AL407" s="809"/>
      <c r="AM407" s="132"/>
      <c r="AN407" s="132"/>
      <c r="AO407" s="132"/>
      <c r="AP407" s="132"/>
      <c r="AQ407" s="132"/>
      <c r="AR407" s="132"/>
      <c r="AS407" s="132"/>
      <c r="AT407" s="132"/>
      <c r="AU407" s="132"/>
      <c r="AV407" s="132"/>
      <c r="AW407" s="132"/>
      <c r="AX407" s="132"/>
      <c r="AY407" s="132"/>
      <c r="AZ407" s="132"/>
      <c r="BA407" s="132"/>
      <c r="BB407" s="132"/>
      <c r="BC407" s="132"/>
      <c r="BD407" s="132"/>
      <c r="BE407" s="132"/>
      <c r="BF407" s="132"/>
    </row>
    <row r="408" customFormat="false" ht="11.25" hidden="false" customHeight="true" outlineLevel="0" collapsed="false">
      <c r="A408" s="113" t="s">
        <v>1026</v>
      </c>
      <c r="E408" s="80"/>
      <c r="F408" s="810"/>
      <c r="G408" s="138"/>
      <c r="H408" s="811" t="s">
        <v>1100</v>
      </c>
      <c r="I408" s="831"/>
      <c r="J408" s="335"/>
      <c r="K408" s="333"/>
      <c r="L408" s="204"/>
      <c r="M408" s="198"/>
      <c r="N408" s="837"/>
      <c r="O408" s="838" t="n">
        <v>1</v>
      </c>
      <c r="P408" s="76" t="s">
        <v>61</v>
      </c>
      <c r="Q408" s="335" t="s">
        <v>1118</v>
      </c>
      <c r="R408" s="839" t="s">
        <v>1119</v>
      </c>
      <c r="S408" s="839" t="s">
        <v>111</v>
      </c>
      <c r="T408" s="839" t="s">
        <v>112</v>
      </c>
      <c r="U408" s="839" t="s">
        <v>113</v>
      </c>
      <c r="V408" s="839" t="s">
        <v>1120</v>
      </c>
      <c r="W408" s="839" t="s">
        <v>1121</v>
      </c>
      <c r="X408" s="839" t="s">
        <v>1122</v>
      </c>
      <c r="Y408" s="839" t="s">
        <v>1123</v>
      </c>
      <c r="Z408" s="840"/>
      <c r="AA408" s="841"/>
      <c r="AB408" s="841"/>
      <c r="AC408" s="842"/>
      <c r="AD408" s="842"/>
      <c r="AE408" s="843"/>
      <c r="AF408" s="835"/>
      <c r="AG408" s="836"/>
      <c r="AH408" s="836"/>
      <c r="AI408" s="835"/>
      <c r="AJ408" s="836"/>
      <c r="AK408" s="836"/>
      <c r="AL408" s="809"/>
      <c r="AM408" s="132"/>
      <c r="AN408" s="132"/>
      <c r="AO408" s="132"/>
      <c r="AP408" s="132"/>
      <c r="AQ408" s="132"/>
      <c r="AR408" s="132"/>
      <c r="AS408" s="132"/>
      <c r="AT408" s="132"/>
      <c r="AU408" s="132"/>
      <c r="AV408" s="132"/>
      <c r="AW408" s="132"/>
      <c r="AX408" s="132"/>
      <c r="AY408" s="132"/>
      <c r="AZ408" s="132"/>
      <c r="BA408" s="132"/>
      <c r="BB408" s="132"/>
      <c r="BC408" s="132"/>
      <c r="BD408" s="132"/>
      <c r="BE408" s="132"/>
      <c r="BF408" s="132"/>
    </row>
    <row r="409" customFormat="false" ht="11.25" hidden="false" customHeight="true" outlineLevel="0" collapsed="false">
      <c r="A409" s="113" t="s">
        <v>1026</v>
      </c>
      <c r="E409" s="80"/>
      <c r="F409" s="810"/>
      <c r="G409" s="138"/>
      <c r="H409" s="811" t="s">
        <v>1100</v>
      </c>
      <c r="I409" s="831"/>
      <c r="J409" s="335"/>
      <c r="K409" s="333"/>
      <c r="L409" s="204"/>
      <c r="M409" s="198"/>
      <c r="N409" s="837"/>
      <c r="O409" s="838"/>
      <c r="P409" s="76"/>
      <c r="Q409" s="335"/>
      <c r="R409" s="839"/>
      <c r="S409" s="839"/>
      <c r="T409" s="839"/>
      <c r="U409" s="839"/>
      <c r="V409" s="839"/>
      <c r="W409" s="839"/>
      <c r="X409" s="839"/>
      <c r="Y409" s="839"/>
      <c r="Z409" s="844"/>
      <c r="AA409" s="845" t="n">
        <v>1</v>
      </c>
      <c r="AB409" s="846" t="s">
        <v>1069</v>
      </c>
      <c r="AC409" s="756" t="n">
        <v>274.41665</v>
      </c>
      <c r="AD409" s="846" t="str">
        <f aca="false">AB409</f>
        <v>Прочие амортизационные отчисления</v>
      </c>
      <c r="AE409" s="756" t="n">
        <v>20.3565</v>
      </c>
      <c r="AF409" s="835"/>
      <c r="AG409" s="836"/>
      <c r="AH409" s="836"/>
      <c r="AI409" s="835"/>
      <c r="AJ409" s="836"/>
      <c r="AK409" s="836"/>
      <c r="AL409" s="809"/>
      <c r="AM409" s="132"/>
      <c r="AN409" s="132"/>
      <c r="AO409" s="132"/>
      <c r="AP409" s="132"/>
      <c r="AQ409" s="132"/>
      <c r="AR409" s="132"/>
      <c r="AS409" s="132"/>
      <c r="AT409" s="132"/>
      <c r="AU409" s="132"/>
      <c r="AV409" s="132"/>
      <c r="AW409" s="132"/>
      <c r="AX409" s="132"/>
      <c r="AY409" s="132"/>
      <c r="AZ409" s="132"/>
      <c r="BA409" s="132"/>
      <c r="BB409" s="132"/>
      <c r="BC409" s="132"/>
      <c r="BD409" s="132"/>
      <c r="BE409" s="132"/>
      <c r="BF409" s="132"/>
    </row>
    <row r="410" customFormat="false" ht="11.25" hidden="false" customHeight="true" outlineLevel="0" collapsed="false">
      <c r="A410" s="113" t="s">
        <v>1026</v>
      </c>
      <c r="E410" s="80"/>
      <c r="F410" s="810"/>
      <c r="G410" s="138"/>
      <c r="H410" s="811" t="s">
        <v>1100</v>
      </c>
      <c r="I410" s="831"/>
      <c r="J410" s="335"/>
      <c r="K410" s="333"/>
      <c r="L410" s="204"/>
      <c r="M410" s="198"/>
      <c r="N410" s="837"/>
      <c r="O410" s="838"/>
      <c r="P410" s="76"/>
      <c r="Q410" s="335"/>
      <c r="R410" s="839"/>
      <c r="S410" s="839"/>
      <c r="T410" s="839"/>
      <c r="U410" s="839"/>
      <c r="V410" s="839"/>
      <c r="W410" s="839"/>
      <c r="X410" s="839"/>
      <c r="Y410" s="839"/>
      <c r="Z410" s="840"/>
      <c r="AA410" s="841"/>
      <c r="AB410" s="161" t="s">
        <v>1071</v>
      </c>
      <c r="AC410" s="842"/>
      <c r="AD410" s="842"/>
      <c r="AE410" s="847"/>
      <c r="AF410" s="835"/>
      <c r="AG410" s="836"/>
      <c r="AH410" s="836"/>
      <c r="AI410" s="835"/>
      <c r="AJ410" s="836"/>
      <c r="AK410" s="836"/>
      <c r="AL410" s="809"/>
      <c r="AM410" s="132"/>
      <c r="AN410" s="132"/>
      <c r="AO410" s="132"/>
      <c r="AP410" s="132"/>
      <c r="AQ410" s="132"/>
      <c r="AR410" s="132"/>
      <c r="AS410" s="132"/>
      <c r="AT410" s="132"/>
      <c r="AU410" s="132"/>
      <c r="AV410" s="132"/>
      <c r="AW410" s="132"/>
      <c r="AX410" s="132"/>
      <c r="AY410" s="132"/>
      <c r="AZ410" s="132"/>
      <c r="BA410" s="132"/>
      <c r="BB410" s="132"/>
      <c r="BC410" s="132"/>
      <c r="BD410" s="132"/>
      <c r="BE410" s="132"/>
      <c r="BF410" s="132"/>
    </row>
    <row r="411" customFormat="false" ht="11.25" hidden="false" customHeight="true" outlineLevel="0" collapsed="false">
      <c r="A411" s="113" t="s">
        <v>1026</v>
      </c>
      <c r="E411" s="80"/>
      <c r="F411" s="810"/>
      <c r="G411" s="138"/>
      <c r="H411" s="811" t="s">
        <v>1100</v>
      </c>
      <c r="I411" s="831"/>
      <c r="J411" s="335"/>
      <c r="K411" s="333"/>
      <c r="L411" s="204"/>
      <c r="M411" s="198"/>
      <c r="N411" s="840"/>
      <c r="O411" s="841"/>
      <c r="P411" s="161" t="s">
        <v>1072</v>
      </c>
      <c r="Q411" s="841"/>
      <c r="R411" s="841"/>
      <c r="S411" s="841"/>
      <c r="T411" s="841"/>
      <c r="U411" s="841"/>
      <c r="V411" s="841"/>
      <c r="W411" s="841"/>
      <c r="X411" s="841"/>
      <c r="Y411" s="841"/>
      <c r="Z411" s="841"/>
      <c r="AA411" s="841"/>
      <c r="AB411" s="841"/>
      <c r="AC411" s="841"/>
      <c r="AD411" s="841"/>
      <c r="AE411" s="848"/>
      <c r="AF411" s="835"/>
      <c r="AG411" s="836"/>
      <c r="AH411" s="836"/>
      <c r="AI411" s="835"/>
      <c r="AJ411" s="836"/>
      <c r="AK411" s="836"/>
      <c r="AL411" s="809"/>
      <c r="AM411" s="132"/>
      <c r="AN411" s="132"/>
      <c r="AO411" s="132"/>
      <c r="AP411" s="132"/>
      <c r="AQ411" s="132"/>
      <c r="AR411" s="132"/>
      <c r="AS411" s="132"/>
      <c r="AT411" s="132"/>
      <c r="AU411" s="132"/>
      <c r="AV411" s="132"/>
      <c r="AW411" s="132"/>
      <c r="AX411" s="132"/>
      <c r="AY411" s="132"/>
      <c r="AZ411" s="132"/>
      <c r="BA411" s="132"/>
      <c r="BB411" s="132"/>
      <c r="BC411" s="132"/>
      <c r="BD411" s="132"/>
      <c r="BE411" s="132"/>
      <c r="BF411" s="132"/>
    </row>
    <row r="412" customFormat="false" ht="11.25" hidden="false" customHeight="true" outlineLevel="0" collapsed="false">
      <c r="A412" s="113" t="s">
        <v>1026</v>
      </c>
      <c r="E412" s="80"/>
      <c r="F412" s="810"/>
      <c r="G412" s="138" t="s">
        <v>103</v>
      </c>
      <c r="H412" s="811" t="s">
        <v>1111</v>
      </c>
      <c r="I412" s="831"/>
      <c r="J412" s="335"/>
      <c r="K412" s="333" t="s">
        <v>1164</v>
      </c>
      <c r="L412" s="204" t="s">
        <v>19</v>
      </c>
      <c r="M412" s="198"/>
      <c r="N412" s="832"/>
      <c r="O412" s="833" t="s">
        <v>389</v>
      </c>
      <c r="P412" s="834"/>
      <c r="Q412" s="834"/>
      <c r="R412" s="834"/>
      <c r="S412" s="834"/>
      <c r="T412" s="834"/>
      <c r="U412" s="834"/>
      <c r="V412" s="834"/>
      <c r="W412" s="834"/>
      <c r="X412" s="834"/>
      <c r="Y412" s="834"/>
      <c r="Z412" s="834"/>
      <c r="AA412" s="834"/>
      <c r="AB412" s="834"/>
      <c r="AC412" s="834"/>
      <c r="AD412" s="834"/>
      <c r="AE412" s="834"/>
      <c r="AF412" s="835" t="n">
        <v>2021</v>
      </c>
      <c r="AG412" s="836" t="s">
        <v>1059</v>
      </c>
      <c r="AH412" s="836" t="s">
        <v>1075</v>
      </c>
      <c r="AI412" s="835" t="n">
        <v>2022</v>
      </c>
      <c r="AJ412" s="836" t="s">
        <v>1079</v>
      </c>
      <c r="AK412" s="836" t="s">
        <v>1096</v>
      </c>
      <c r="AL412" s="809"/>
      <c r="AM412" s="132"/>
      <c r="AN412" s="132"/>
      <c r="AO412" s="132"/>
      <c r="AP412" s="132"/>
      <c r="AQ412" s="132"/>
      <c r="AR412" s="132"/>
      <c r="AS412" s="132"/>
      <c r="AT412" s="132"/>
      <c r="AU412" s="132"/>
      <c r="AV412" s="132"/>
      <c r="AW412" s="132"/>
      <c r="AX412" s="132"/>
      <c r="AY412" s="132"/>
      <c r="AZ412" s="132"/>
      <c r="BA412" s="132"/>
      <c r="BB412" s="132"/>
      <c r="BC412" s="132"/>
      <c r="BD412" s="132"/>
      <c r="BE412" s="132"/>
      <c r="BF412" s="132"/>
    </row>
    <row r="413" customFormat="false" ht="11.25" hidden="false" customHeight="true" outlineLevel="0" collapsed="false">
      <c r="A413" s="113" t="s">
        <v>1026</v>
      </c>
      <c r="E413" s="80"/>
      <c r="F413" s="810"/>
      <c r="G413" s="138"/>
      <c r="H413" s="811" t="s">
        <v>1102</v>
      </c>
      <c r="I413" s="831"/>
      <c r="J413" s="335"/>
      <c r="K413" s="333"/>
      <c r="L413" s="204"/>
      <c r="M413" s="198"/>
      <c r="N413" s="837"/>
      <c r="O413" s="838" t="n">
        <v>1</v>
      </c>
      <c r="P413" s="76" t="s">
        <v>61</v>
      </c>
      <c r="Q413" s="335" t="s">
        <v>1118</v>
      </c>
      <c r="R413" s="839" t="s">
        <v>1119</v>
      </c>
      <c r="S413" s="839" t="s">
        <v>111</v>
      </c>
      <c r="T413" s="839" t="s">
        <v>112</v>
      </c>
      <c r="U413" s="839" t="s">
        <v>113</v>
      </c>
      <c r="V413" s="839" t="s">
        <v>1120</v>
      </c>
      <c r="W413" s="839" t="s">
        <v>1121</v>
      </c>
      <c r="X413" s="839" t="s">
        <v>1122</v>
      </c>
      <c r="Y413" s="839" t="s">
        <v>1123</v>
      </c>
      <c r="Z413" s="840"/>
      <c r="AA413" s="841"/>
      <c r="AB413" s="841"/>
      <c r="AC413" s="842"/>
      <c r="AD413" s="842"/>
      <c r="AE413" s="843"/>
      <c r="AF413" s="835"/>
      <c r="AG413" s="836"/>
      <c r="AH413" s="836"/>
      <c r="AI413" s="835"/>
      <c r="AJ413" s="836"/>
      <c r="AK413" s="836"/>
      <c r="AL413" s="809"/>
      <c r="AM413" s="132"/>
      <c r="AN413" s="132"/>
      <c r="AO413" s="132"/>
      <c r="AP413" s="132"/>
      <c r="AQ413" s="132"/>
      <c r="AR413" s="132"/>
      <c r="AS413" s="132"/>
      <c r="AT413" s="132"/>
      <c r="AU413" s="132"/>
      <c r="AV413" s="132"/>
      <c r="AW413" s="132"/>
      <c r="AX413" s="132"/>
      <c r="AY413" s="132"/>
      <c r="AZ413" s="132"/>
      <c r="BA413" s="132"/>
      <c r="BB413" s="132"/>
      <c r="BC413" s="132"/>
      <c r="BD413" s="132"/>
      <c r="BE413" s="132"/>
      <c r="BF413" s="132"/>
    </row>
    <row r="414" customFormat="false" ht="11.25" hidden="false" customHeight="true" outlineLevel="0" collapsed="false">
      <c r="A414" s="113" t="s">
        <v>1026</v>
      </c>
      <c r="E414" s="80"/>
      <c r="F414" s="810"/>
      <c r="G414" s="138"/>
      <c r="H414" s="811" t="s">
        <v>1102</v>
      </c>
      <c r="I414" s="831"/>
      <c r="J414" s="335"/>
      <c r="K414" s="333"/>
      <c r="L414" s="204"/>
      <c r="M414" s="198"/>
      <c r="N414" s="837"/>
      <c r="O414" s="838"/>
      <c r="P414" s="76"/>
      <c r="Q414" s="335"/>
      <c r="R414" s="839"/>
      <c r="S414" s="839"/>
      <c r="T414" s="839"/>
      <c r="U414" s="839"/>
      <c r="V414" s="839"/>
      <c r="W414" s="839"/>
      <c r="X414" s="839"/>
      <c r="Y414" s="839"/>
      <c r="Z414" s="844"/>
      <c r="AA414" s="845" t="n">
        <v>1</v>
      </c>
      <c r="AB414" s="846" t="s">
        <v>1069</v>
      </c>
      <c r="AC414" s="756" t="n">
        <v>3376.45</v>
      </c>
      <c r="AD414" s="846" t="str">
        <f aca="false">AB414</f>
        <v>Прочие амортизационные отчисления</v>
      </c>
      <c r="AE414" s="756" t="n">
        <v>0</v>
      </c>
      <c r="AF414" s="835"/>
      <c r="AG414" s="836"/>
      <c r="AH414" s="836"/>
      <c r="AI414" s="835"/>
      <c r="AJ414" s="836"/>
      <c r="AK414" s="836"/>
      <c r="AL414" s="809"/>
      <c r="AM414" s="132"/>
      <c r="AN414" s="132"/>
      <c r="AO414" s="132"/>
      <c r="AP414" s="132"/>
      <c r="AQ414" s="132"/>
      <c r="AR414" s="132"/>
      <c r="AS414" s="132"/>
      <c r="AT414" s="132"/>
      <c r="AU414" s="132"/>
      <c r="AV414" s="132"/>
      <c r="AW414" s="132"/>
      <c r="AX414" s="132"/>
      <c r="AY414" s="132"/>
      <c r="AZ414" s="132"/>
      <c r="BA414" s="132"/>
      <c r="BB414" s="132"/>
      <c r="BC414" s="132"/>
      <c r="BD414" s="132"/>
      <c r="BE414" s="132"/>
      <c r="BF414" s="132"/>
    </row>
    <row r="415" customFormat="false" ht="11.25" hidden="false" customHeight="true" outlineLevel="0" collapsed="false">
      <c r="A415" s="113" t="s">
        <v>1026</v>
      </c>
      <c r="E415" s="80"/>
      <c r="F415" s="810"/>
      <c r="G415" s="138"/>
      <c r="H415" s="811" t="s">
        <v>1102</v>
      </c>
      <c r="I415" s="831"/>
      <c r="J415" s="335"/>
      <c r="K415" s="333"/>
      <c r="L415" s="204"/>
      <c r="M415" s="198"/>
      <c r="N415" s="837"/>
      <c r="O415" s="838"/>
      <c r="P415" s="76"/>
      <c r="Q415" s="335"/>
      <c r="R415" s="839"/>
      <c r="S415" s="839"/>
      <c r="T415" s="839"/>
      <c r="U415" s="839"/>
      <c r="V415" s="839"/>
      <c r="W415" s="839"/>
      <c r="X415" s="839"/>
      <c r="Y415" s="839"/>
      <c r="Z415" s="840"/>
      <c r="AA415" s="841"/>
      <c r="AB415" s="161" t="s">
        <v>1071</v>
      </c>
      <c r="AC415" s="842"/>
      <c r="AD415" s="842"/>
      <c r="AE415" s="847"/>
      <c r="AF415" s="835"/>
      <c r="AG415" s="836"/>
      <c r="AH415" s="836"/>
      <c r="AI415" s="835"/>
      <c r="AJ415" s="836"/>
      <c r="AK415" s="836"/>
      <c r="AL415" s="809"/>
      <c r="AM415" s="132"/>
      <c r="AN415" s="132"/>
      <c r="AO415" s="132"/>
      <c r="AP415" s="132"/>
      <c r="AQ415" s="132"/>
      <c r="AR415" s="132"/>
      <c r="AS415" s="132"/>
      <c r="AT415" s="132"/>
      <c r="AU415" s="132"/>
      <c r="AV415" s="132"/>
      <c r="AW415" s="132"/>
      <c r="AX415" s="132"/>
      <c r="AY415" s="132"/>
      <c r="AZ415" s="132"/>
      <c r="BA415" s="132"/>
      <c r="BB415" s="132"/>
      <c r="BC415" s="132"/>
      <c r="BD415" s="132"/>
      <c r="BE415" s="132"/>
      <c r="BF415" s="132"/>
    </row>
    <row r="416" customFormat="false" ht="11.25" hidden="false" customHeight="true" outlineLevel="0" collapsed="false">
      <c r="A416" s="113" t="s">
        <v>1026</v>
      </c>
      <c r="E416" s="80"/>
      <c r="F416" s="810"/>
      <c r="G416" s="138"/>
      <c r="H416" s="811" t="s">
        <v>1102</v>
      </c>
      <c r="I416" s="831"/>
      <c r="J416" s="335"/>
      <c r="K416" s="333"/>
      <c r="L416" s="204"/>
      <c r="M416" s="198"/>
      <c r="N416" s="840"/>
      <c r="O416" s="841"/>
      <c r="P416" s="161" t="s">
        <v>1072</v>
      </c>
      <c r="Q416" s="841"/>
      <c r="R416" s="841"/>
      <c r="S416" s="841"/>
      <c r="T416" s="841"/>
      <c r="U416" s="841"/>
      <c r="V416" s="841"/>
      <c r="W416" s="841"/>
      <c r="X416" s="841"/>
      <c r="Y416" s="841"/>
      <c r="Z416" s="841"/>
      <c r="AA416" s="841"/>
      <c r="AB416" s="841"/>
      <c r="AC416" s="841"/>
      <c r="AD416" s="841"/>
      <c r="AE416" s="848"/>
      <c r="AF416" s="835"/>
      <c r="AG416" s="836"/>
      <c r="AH416" s="836"/>
      <c r="AI416" s="835"/>
      <c r="AJ416" s="836"/>
      <c r="AK416" s="836"/>
      <c r="AL416" s="809"/>
      <c r="AM416" s="132"/>
      <c r="AN416" s="132"/>
      <c r="AO416" s="132"/>
      <c r="AP416" s="132"/>
      <c r="AQ416" s="132"/>
      <c r="AR416" s="132"/>
      <c r="AS416" s="132"/>
      <c r="AT416" s="132"/>
      <c r="AU416" s="132"/>
      <c r="AV416" s="132"/>
      <c r="AW416" s="132"/>
      <c r="AX416" s="132"/>
      <c r="AY416" s="132"/>
      <c r="AZ416" s="132"/>
      <c r="BA416" s="132"/>
      <c r="BB416" s="132"/>
      <c r="BC416" s="132"/>
      <c r="BD416" s="132"/>
      <c r="BE416" s="132"/>
      <c r="BF416" s="132"/>
    </row>
    <row r="417" customFormat="false" ht="11.25" hidden="false" customHeight="true" outlineLevel="0" collapsed="false">
      <c r="A417" s="113" t="s">
        <v>1026</v>
      </c>
      <c r="E417" s="80"/>
      <c r="F417" s="810"/>
      <c r="G417" s="138" t="s">
        <v>103</v>
      </c>
      <c r="H417" s="811" t="s">
        <v>1114</v>
      </c>
      <c r="I417" s="831"/>
      <c r="J417" s="335"/>
      <c r="K417" s="333" t="s">
        <v>1165</v>
      </c>
      <c r="L417" s="204" t="s">
        <v>19</v>
      </c>
      <c r="M417" s="198"/>
      <c r="N417" s="832"/>
      <c r="O417" s="833" t="s">
        <v>389</v>
      </c>
      <c r="P417" s="834"/>
      <c r="Q417" s="834"/>
      <c r="R417" s="834"/>
      <c r="S417" s="834"/>
      <c r="T417" s="834"/>
      <c r="U417" s="834"/>
      <c r="V417" s="834"/>
      <c r="W417" s="834"/>
      <c r="X417" s="834"/>
      <c r="Y417" s="834"/>
      <c r="Z417" s="834"/>
      <c r="AA417" s="834"/>
      <c r="AB417" s="834"/>
      <c r="AC417" s="834"/>
      <c r="AD417" s="834"/>
      <c r="AE417" s="834"/>
      <c r="AF417" s="835" t="n">
        <v>2021</v>
      </c>
      <c r="AG417" s="836" t="s">
        <v>1059</v>
      </c>
      <c r="AH417" s="836" t="s">
        <v>1104</v>
      </c>
      <c r="AI417" s="835" t="n">
        <v>2022</v>
      </c>
      <c r="AJ417" s="836" t="s">
        <v>1059</v>
      </c>
      <c r="AK417" s="836" t="s">
        <v>1096</v>
      </c>
      <c r="AL417" s="809"/>
      <c r="AM417" s="132"/>
      <c r="AN417" s="132"/>
      <c r="AO417" s="132"/>
      <c r="AP417" s="132"/>
      <c r="AQ417" s="132"/>
      <c r="AR417" s="132"/>
      <c r="AS417" s="132"/>
      <c r="AT417" s="132"/>
      <c r="AU417" s="132"/>
      <c r="AV417" s="132"/>
      <c r="AW417" s="132"/>
      <c r="AX417" s="132"/>
      <c r="AY417" s="132"/>
      <c r="AZ417" s="132"/>
      <c r="BA417" s="132"/>
      <c r="BB417" s="132"/>
      <c r="BC417" s="132"/>
      <c r="BD417" s="132"/>
      <c r="BE417" s="132"/>
      <c r="BF417" s="132"/>
    </row>
    <row r="418" customFormat="false" ht="11.25" hidden="false" customHeight="true" outlineLevel="0" collapsed="false">
      <c r="A418" s="113" t="s">
        <v>1026</v>
      </c>
      <c r="E418" s="80"/>
      <c r="F418" s="810"/>
      <c r="G418" s="138"/>
      <c r="H418" s="811" t="s">
        <v>1111</v>
      </c>
      <c r="I418" s="831"/>
      <c r="J418" s="335"/>
      <c r="K418" s="333"/>
      <c r="L418" s="204"/>
      <c r="M418" s="198"/>
      <c r="N418" s="837"/>
      <c r="O418" s="838" t="n">
        <v>1</v>
      </c>
      <c r="P418" s="76" t="s">
        <v>61</v>
      </c>
      <c r="Q418" s="335" t="s">
        <v>1118</v>
      </c>
      <c r="R418" s="839" t="s">
        <v>1119</v>
      </c>
      <c r="S418" s="839" t="s">
        <v>111</v>
      </c>
      <c r="T418" s="839" t="s">
        <v>112</v>
      </c>
      <c r="U418" s="839" t="s">
        <v>113</v>
      </c>
      <c r="V418" s="839" t="s">
        <v>1120</v>
      </c>
      <c r="W418" s="839" t="s">
        <v>1121</v>
      </c>
      <c r="X418" s="839" t="s">
        <v>1122</v>
      </c>
      <c r="Y418" s="839" t="s">
        <v>1123</v>
      </c>
      <c r="Z418" s="840"/>
      <c r="AA418" s="841"/>
      <c r="AB418" s="841"/>
      <c r="AC418" s="842"/>
      <c r="AD418" s="842"/>
      <c r="AE418" s="843"/>
      <c r="AF418" s="835"/>
      <c r="AG418" s="836"/>
      <c r="AH418" s="836"/>
      <c r="AI418" s="835"/>
      <c r="AJ418" s="836"/>
      <c r="AK418" s="836"/>
      <c r="AL418" s="809"/>
      <c r="AM418" s="132"/>
      <c r="AN418" s="132"/>
      <c r="AO418" s="132"/>
      <c r="AP418" s="132"/>
      <c r="AQ418" s="132"/>
      <c r="AR418" s="132"/>
      <c r="AS418" s="132"/>
      <c r="AT418" s="132"/>
      <c r="AU418" s="132"/>
      <c r="AV418" s="132"/>
      <c r="AW418" s="132"/>
      <c r="AX418" s="132"/>
      <c r="AY418" s="132"/>
      <c r="AZ418" s="132"/>
      <c r="BA418" s="132"/>
      <c r="BB418" s="132"/>
      <c r="BC418" s="132"/>
      <c r="BD418" s="132"/>
      <c r="BE418" s="132"/>
      <c r="BF418" s="132"/>
    </row>
    <row r="419" customFormat="false" ht="11.25" hidden="false" customHeight="true" outlineLevel="0" collapsed="false">
      <c r="A419" s="113" t="s">
        <v>1026</v>
      </c>
      <c r="E419" s="80"/>
      <c r="F419" s="810"/>
      <c r="G419" s="138"/>
      <c r="H419" s="811" t="s">
        <v>1111</v>
      </c>
      <c r="I419" s="831"/>
      <c r="J419" s="335"/>
      <c r="K419" s="333"/>
      <c r="L419" s="204"/>
      <c r="M419" s="198"/>
      <c r="N419" s="837"/>
      <c r="O419" s="838"/>
      <c r="P419" s="76"/>
      <c r="Q419" s="335"/>
      <c r="R419" s="839"/>
      <c r="S419" s="839"/>
      <c r="T419" s="839"/>
      <c r="U419" s="839"/>
      <c r="V419" s="839"/>
      <c r="W419" s="839"/>
      <c r="X419" s="839"/>
      <c r="Y419" s="839"/>
      <c r="Z419" s="844"/>
      <c r="AA419" s="845" t="n">
        <v>1</v>
      </c>
      <c r="AB419" s="846" t="s">
        <v>1069</v>
      </c>
      <c r="AC419" s="756" t="n">
        <v>1423.37</v>
      </c>
      <c r="AD419" s="846" t="str">
        <f aca="false">AB419</f>
        <v>Прочие амортизационные отчисления</v>
      </c>
      <c r="AE419" s="756" t="n">
        <v>0</v>
      </c>
      <c r="AF419" s="835"/>
      <c r="AG419" s="836"/>
      <c r="AH419" s="836"/>
      <c r="AI419" s="835"/>
      <c r="AJ419" s="836"/>
      <c r="AK419" s="836"/>
      <c r="AL419" s="809"/>
      <c r="AM419" s="132"/>
      <c r="AN419" s="132"/>
      <c r="AO419" s="132"/>
      <c r="AP419" s="132"/>
      <c r="AQ419" s="132"/>
      <c r="AR419" s="132"/>
      <c r="AS419" s="132"/>
      <c r="AT419" s="132"/>
      <c r="AU419" s="132"/>
      <c r="AV419" s="132"/>
      <c r="AW419" s="132"/>
      <c r="AX419" s="132"/>
      <c r="AY419" s="132"/>
      <c r="AZ419" s="132"/>
      <c r="BA419" s="132"/>
      <c r="BB419" s="132"/>
      <c r="BC419" s="132"/>
      <c r="BD419" s="132"/>
      <c r="BE419" s="132"/>
      <c r="BF419" s="132"/>
    </row>
    <row r="420" customFormat="false" ht="11.25" hidden="false" customHeight="true" outlineLevel="0" collapsed="false">
      <c r="A420" s="113" t="s">
        <v>1026</v>
      </c>
      <c r="E420" s="80"/>
      <c r="F420" s="810"/>
      <c r="G420" s="138"/>
      <c r="H420" s="811" t="s">
        <v>1111</v>
      </c>
      <c r="I420" s="831"/>
      <c r="J420" s="335"/>
      <c r="K420" s="333"/>
      <c r="L420" s="204"/>
      <c r="M420" s="198"/>
      <c r="N420" s="837"/>
      <c r="O420" s="838"/>
      <c r="P420" s="76"/>
      <c r="Q420" s="335"/>
      <c r="R420" s="839"/>
      <c r="S420" s="839"/>
      <c r="T420" s="839"/>
      <c r="U420" s="839"/>
      <c r="V420" s="839"/>
      <c r="W420" s="839"/>
      <c r="X420" s="839"/>
      <c r="Y420" s="839"/>
      <c r="Z420" s="840"/>
      <c r="AA420" s="841"/>
      <c r="AB420" s="161" t="s">
        <v>1071</v>
      </c>
      <c r="AC420" s="842"/>
      <c r="AD420" s="842"/>
      <c r="AE420" s="847"/>
      <c r="AF420" s="835"/>
      <c r="AG420" s="836"/>
      <c r="AH420" s="836"/>
      <c r="AI420" s="835"/>
      <c r="AJ420" s="836"/>
      <c r="AK420" s="836"/>
      <c r="AL420" s="809"/>
      <c r="AM420" s="132"/>
      <c r="AN420" s="132"/>
      <c r="AO420" s="132"/>
      <c r="AP420" s="132"/>
      <c r="AQ420" s="132"/>
      <c r="AR420" s="132"/>
      <c r="AS420" s="132"/>
      <c r="AT420" s="132"/>
      <c r="AU420" s="132"/>
      <c r="AV420" s="132"/>
      <c r="AW420" s="132"/>
      <c r="AX420" s="132"/>
      <c r="AY420" s="132"/>
      <c r="AZ420" s="132"/>
      <c r="BA420" s="132"/>
      <c r="BB420" s="132"/>
      <c r="BC420" s="132"/>
      <c r="BD420" s="132"/>
      <c r="BE420" s="132"/>
      <c r="BF420" s="132"/>
    </row>
    <row r="421" customFormat="false" ht="11.25" hidden="false" customHeight="true" outlineLevel="0" collapsed="false">
      <c r="A421" s="113" t="s">
        <v>1026</v>
      </c>
      <c r="E421" s="80"/>
      <c r="F421" s="810"/>
      <c r="G421" s="138"/>
      <c r="H421" s="811" t="s">
        <v>1111</v>
      </c>
      <c r="I421" s="831"/>
      <c r="J421" s="335"/>
      <c r="K421" s="333"/>
      <c r="L421" s="204"/>
      <c r="M421" s="198"/>
      <c r="N421" s="840"/>
      <c r="O421" s="841"/>
      <c r="P421" s="161" t="s">
        <v>1072</v>
      </c>
      <c r="Q421" s="841"/>
      <c r="R421" s="841"/>
      <c r="S421" s="841"/>
      <c r="T421" s="841"/>
      <c r="U421" s="841"/>
      <c r="V421" s="841"/>
      <c r="W421" s="841"/>
      <c r="X421" s="841"/>
      <c r="Y421" s="841"/>
      <c r="Z421" s="841"/>
      <c r="AA421" s="841"/>
      <c r="AB421" s="841"/>
      <c r="AC421" s="841"/>
      <c r="AD421" s="841"/>
      <c r="AE421" s="848"/>
      <c r="AF421" s="835"/>
      <c r="AG421" s="836"/>
      <c r="AH421" s="836"/>
      <c r="AI421" s="835"/>
      <c r="AJ421" s="836"/>
      <c r="AK421" s="836"/>
      <c r="AL421" s="809"/>
      <c r="AM421" s="132"/>
      <c r="AN421" s="132"/>
      <c r="AO421" s="132"/>
      <c r="AP421" s="132"/>
      <c r="AQ421" s="132"/>
      <c r="AR421" s="132"/>
      <c r="AS421" s="132"/>
      <c r="AT421" s="132"/>
      <c r="AU421" s="132"/>
      <c r="AV421" s="132"/>
      <c r="AW421" s="132"/>
      <c r="AX421" s="132"/>
      <c r="AY421" s="132"/>
      <c r="AZ421" s="132"/>
      <c r="BA421" s="132"/>
      <c r="BB421" s="132"/>
      <c r="BC421" s="132"/>
      <c r="BD421" s="132"/>
      <c r="BE421" s="132"/>
      <c r="BF421" s="132"/>
    </row>
    <row r="422" customFormat="false" ht="11.25" hidden="false" customHeight="true" outlineLevel="0" collapsed="false">
      <c r="A422" s="113" t="s">
        <v>1026</v>
      </c>
      <c r="E422" s="80"/>
      <c r="F422" s="810"/>
      <c r="G422" s="138" t="s">
        <v>103</v>
      </c>
      <c r="H422" s="811" t="s">
        <v>1116</v>
      </c>
      <c r="I422" s="831"/>
      <c r="J422" s="335"/>
      <c r="K422" s="333" t="s">
        <v>1095</v>
      </c>
      <c r="L422" s="204" t="s">
        <v>19</v>
      </c>
      <c r="M422" s="198"/>
      <c r="N422" s="832"/>
      <c r="O422" s="833" t="s">
        <v>389</v>
      </c>
      <c r="P422" s="834"/>
      <c r="Q422" s="834"/>
      <c r="R422" s="834"/>
      <c r="S422" s="834"/>
      <c r="T422" s="834"/>
      <c r="U422" s="834"/>
      <c r="V422" s="834"/>
      <c r="W422" s="834"/>
      <c r="X422" s="834"/>
      <c r="Y422" s="834"/>
      <c r="Z422" s="834"/>
      <c r="AA422" s="834"/>
      <c r="AB422" s="834"/>
      <c r="AC422" s="834"/>
      <c r="AD422" s="834"/>
      <c r="AE422" s="834"/>
      <c r="AF422" s="835" t="n">
        <v>2019</v>
      </c>
      <c r="AG422" s="836" t="s">
        <v>1059</v>
      </c>
      <c r="AH422" s="836" t="s">
        <v>1096</v>
      </c>
      <c r="AI422" s="835" t="n">
        <v>2019</v>
      </c>
      <c r="AJ422" s="836" t="s">
        <v>1076</v>
      </c>
      <c r="AK422" s="836" t="s">
        <v>1062</v>
      </c>
      <c r="AL422" s="809"/>
      <c r="AM422" s="132"/>
      <c r="AN422" s="132"/>
      <c r="AO422" s="132"/>
      <c r="AP422" s="132"/>
      <c r="AQ422" s="132"/>
      <c r="AR422" s="132"/>
      <c r="AS422" s="132"/>
      <c r="AT422" s="132"/>
      <c r="AU422" s="132"/>
      <c r="AV422" s="132"/>
      <c r="AW422" s="132"/>
      <c r="AX422" s="132"/>
      <c r="AY422" s="132"/>
      <c r="AZ422" s="132"/>
      <c r="BA422" s="132"/>
      <c r="BB422" s="132"/>
      <c r="BC422" s="132"/>
      <c r="BD422" s="132"/>
      <c r="BE422" s="132"/>
      <c r="BF422" s="132"/>
    </row>
    <row r="423" customFormat="false" ht="11.25" hidden="false" customHeight="true" outlineLevel="0" collapsed="false">
      <c r="A423" s="113" t="s">
        <v>1026</v>
      </c>
      <c r="E423" s="80"/>
      <c r="F423" s="810"/>
      <c r="G423" s="138"/>
      <c r="H423" s="811" t="s">
        <v>1114</v>
      </c>
      <c r="I423" s="831"/>
      <c r="J423" s="335"/>
      <c r="K423" s="333"/>
      <c r="L423" s="204"/>
      <c r="M423" s="198"/>
      <c r="N423" s="837"/>
      <c r="O423" s="838" t="n">
        <v>1</v>
      </c>
      <c r="P423" s="76" t="s">
        <v>61</v>
      </c>
      <c r="Q423" s="335" t="s">
        <v>1097</v>
      </c>
      <c r="R423" s="839" t="s">
        <v>1064</v>
      </c>
      <c r="S423" s="839" t="s">
        <v>99</v>
      </c>
      <c r="T423" s="839" t="s">
        <v>99</v>
      </c>
      <c r="U423" s="839" t="s">
        <v>100</v>
      </c>
      <c r="V423" s="839" t="s">
        <v>1065</v>
      </c>
      <c r="W423" s="839" t="s">
        <v>1066</v>
      </c>
      <c r="X423" s="839" t="s">
        <v>1098</v>
      </c>
      <c r="Y423" s="839" t="s">
        <v>1099</v>
      </c>
      <c r="Z423" s="840"/>
      <c r="AA423" s="841"/>
      <c r="AB423" s="841"/>
      <c r="AC423" s="842"/>
      <c r="AD423" s="842"/>
      <c r="AE423" s="843"/>
      <c r="AF423" s="835"/>
      <c r="AG423" s="836"/>
      <c r="AH423" s="836"/>
      <c r="AI423" s="835"/>
      <c r="AJ423" s="836"/>
      <c r="AK423" s="836"/>
      <c r="AL423" s="809"/>
      <c r="AM423" s="132"/>
      <c r="AN423" s="132"/>
      <c r="AO423" s="132"/>
      <c r="AP423" s="132"/>
      <c r="AQ423" s="132"/>
      <c r="AR423" s="132"/>
      <c r="AS423" s="132"/>
      <c r="AT423" s="132"/>
      <c r="AU423" s="132"/>
      <c r="AV423" s="132"/>
      <c r="AW423" s="132"/>
      <c r="AX423" s="132"/>
      <c r="AY423" s="132"/>
      <c r="AZ423" s="132"/>
      <c r="BA423" s="132"/>
      <c r="BB423" s="132"/>
      <c r="BC423" s="132"/>
      <c r="BD423" s="132"/>
      <c r="BE423" s="132"/>
      <c r="BF423" s="132"/>
    </row>
    <row r="424" customFormat="false" ht="11.25" hidden="false" customHeight="true" outlineLevel="0" collapsed="false">
      <c r="A424" s="113" t="s">
        <v>1026</v>
      </c>
      <c r="E424" s="80"/>
      <c r="F424" s="810"/>
      <c r="G424" s="138"/>
      <c r="H424" s="811" t="s">
        <v>1114</v>
      </c>
      <c r="I424" s="831"/>
      <c r="J424" s="335"/>
      <c r="K424" s="333"/>
      <c r="L424" s="204"/>
      <c r="M424" s="198"/>
      <c r="N424" s="837"/>
      <c r="O424" s="838"/>
      <c r="P424" s="76"/>
      <c r="Q424" s="335"/>
      <c r="R424" s="839"/>
      <c r="S424" s="839"/>
      <c r="T424" s="839"/>
      <c r="U424" s="839"/>
      <c r="V424" s="839"/>
      <c r="W424" s="839"/>
      <c r="X424" s="839"/>
      <c r="Y424" s="839"/>
      <c r="Z424" s="844"/>
      <c r="AA424" s="845" t="n">
        <v>1</v>
      </c>
      <c r="AB424" s="846" t="s">
        <v>1069</v>
      </c>
      <c r="AC424" s="756" t="n">
        <v>93.22</v>
      </c>
      <c r="AD424" s="846" t="str">
        <f aca="false">AB424</f>
        <v>Прочие амортизационные отчисления</v>
      </c>
      <c r="AE424" s="756" t="n">
        <v>0</v>
      </c>
      <c r="AF424" s="835"/>
      <c r="AG424" s="836"/>
      <c r="AH424" s="836"/>
      <c r="AI424" s="835"/>
      <c r="AJ424" s="836"/>
      <c r="AK424" s="836"/>
      <c r="AL424" s="809"/>
      <c r="AM424" s="132"/>
      <c r="AN424" s="132"/>
      <c r="AO424" s="132"/>
      <c r="AP424" s="132"/>
      <c r="AQ424" s="132"/>
      <c r="AR424" s="132"/>
      <c r="AS424" s="132"/>
      <c r="AT424" s="132"/>
      <c r="AU424" s="132"/>
      <c r="AV424" s="132"/>
      <c r="AW424" s="132"/>
      <c r="AX424" s="132"/>
      <c r="AY424" s="132"/>
      <c r="AZ424" s="132"/>
      <c r="BA424" s="132"/>
      <c r="BB424" s="132"/>
      <c r="BC424" s="132"/>
      <c r="BD424" s="132"/>
      <c r="BE424" s="132"/>
      <c r="BF424" s="132"/>
    </row>
    <row r="425" customFormat="false" ht="11.25" hidden="false" customHeight="true" outlineLevel="0" collapsed="false">
      <c r="A425" s="113" t="s">
        <v>1026</v>
      </c>
      <c r="E425" s="80"/>
      <c r="F425" s="810"/>
      <c r="G425" s="138"/>
      <c r="H425" s="811" t="s">
        <v>1114</v>
      </c>
      <c r="I425" s="831"/>
      <c r="J425" s="335"/>
      <c r="K425" s="333"/>
      <c r="L425" s="204"/>
      <c r="M425" s="198"/>
      <c r="N425" s="837"/>
      <c r="O425" s="838"/>
      <c r="P425" s="76"/>
      <c r="Q425" s="335"/>
      <c r="R425" s="839"/>
      <c r="S425" s="839"/>
      <c r="T425" s="839"/>
      <c r="U425" s="839"/>
      <c r="V425" s="839"/>
      <c r="W425" s="839"/>
      <c r="X425" s="839"/>
      <c r="Y425" s="839"/>
      <c r="Z425" s="840"/>
      <c r="AA425" s="841"/>
      <c r="AB425" s="161" t="s">
        <v>1071</v>
      </c>
      <c r="AC425" s="842"/>
      <c r="AD425" s="842"/>
      <c r="AE425" s="847"/>
      <c r="AF425" s="835"/>
      <c r="AG425" s="836"/>
      <c r="AH425" s="836"/>
      <c r="AI425" s="835"/>
      <c r="AJ425" s="836"/>
      <c r="AK425" s="836"/>
      <c r="AL425" s="809"/>
      <c r="AM425" s="132"/>
      <c r="AN425" s="132"/>
      <c r="AO425" s="132"/>
      <c r="AP425" s="132"/>
      <c r="AQ425" s="132"/>
      <c r="AR425" s="132"/>
      <c r="AS425" s="132"/>
      <c r="AT425" s="132"/>
      <c r="AU425" s="132"/>
      <c r="AV425" s="132"/>
      <c r="AW425" s="132"/>
      <c r="AX425" s="132"/>
      <c r="AY425" s="132"/>
      <c r="AZ425" s="132"/>
      <c r="BA425" s="132"/>
      <c r="BB425" s="132"/>
      <c r="BC425" s="132"/>
      <c r="BD425" s="132"/>
      <c r="BE425" s="132"/>
      <c r="BF425" s="132"/>
    </row>
    <row r="426" customFormat="false" ht="11.25" hidden="false" customHeight="true" outlineLevel="0" collapsed="false">
      <c r="A426" s="113" t="s">
        <v>1026</v>
      </c>
      <c r="E426" s="80"/>
      <c r="F426" s="810"/>
      <c r="G426" s="138"/>
      <c r="H426" s="811" t="s">
        <v>1114</v>
      </c>
      <c r="I426" s="831"/>
      <c r="J426" s="335"/>
      <c r="K426" s="333"/>
      <c r="L426" s="204"/>
      <c r="M426" s="198"/>
      <c r="N426" s="840"/>
      <c r="O426" s="841"/>
      <c r="P426" s="161" t="s">
        <v>1072</v>
      </c>
      <c r="Q426" s="841"/>
      <c r="R426" s="841"/>
      <c r="S426" s="841"/>
      <c r="T426" s="841"/>
      <c r="U426" s="841"/>
      <c r="V426" s="841"/>
      <c r="W426" s="841"/>
      <c r="X426" s="841"/>
      <c r="Y426" s="841"/>
      <c r="Z426" s="841"/>
      <c r="AA426" s="841"/>
      <c r="AB426" s="841"/>
      <c r="AC426" s="841"/>
      <c r="AD426" s="841"/>
      <c r="AE426" s="848"/>
      <c r="AF426" s="835"/>
      <c r="AG426" s="836"/>
      <c r="AH426" s="836"/>
      <c r="AI426" s="835"/>
      <c r="AJ426" s="836"/>
      <c r="AK426" s="836"/>
      <c r="AL426" s="809"/>
      <c r="AM426" s="132"/>
      <c r="AN426" s="132"/>
      <c r="AO426" s="132"/>
      <c r="AP426" s="132"/>
      <c r="AQ426" s="132"/>
      <c r="AR426" s="132"/>
      <c r="AS426" s="132"/>
      <c r="AT426" s="132"/>
      <c r="AU426" s="132"/>
      <c r="AV426" s="132"/>
      <c r="AW426" s="132"/>
      <c r="AX426" s="132"/>
      <c r="AY426" s="132"/>
      <c r="AZ426" s="132"/>
      <c r="BA426" s="132"/>
      <c r="BB426" s="132"/>
      <c r="BC426" s="132"/>
      <c r="BD426" s="132"/>
      <c r="BE426" s="132"/>
      <c r="BF426" s="132"/>
    </row>
    <row r="427" customFormat="false" ht="11.25" hidden="false" customHeight="true" outlineLevel="0" collapsed="false">
      <c r="A427" s="113" t="s">
        <v>1026</v>
      </c>
      <c r="E427" s="80"/>
      <c r="F427" s="810"/>
      <c r="G427" s="138" t="s">
        <v>103</v>
      </c>
      <c r="H427" s="811" t="s">
        <v>1124</v>
      </c>
      <c r="I427" s="831"/>
      <c r="J427" s="335"/>
      <c r="K427" s="333" t="s">
        <v>1103</v>
      </c>
      <c r="L427" s="204" t="s">
        <v>19</v>
      </c>
      <c r="M427" s="198"/>
      <c r="N427" s="832"/>
      <c r="O427" s="833" t="s">
        <v>389</v>
      </c>
      <c r="P427" s="834"/>
      <c r="Q427" s="834"/>
      <c r="R427" s="834"/>
      <c r="S427" s="834"/>
      <c r="T427" s="834"/>
      <c r="U427" s="834"/>
      <c r="V427" s="834"/>
      <c r="W427" s="834"/>
      <c r="X427" s="834"/>
      <c r="Y427" s="834"/>
      <c r="Z427" s="834"/>
      <c r="AA427" s="834"/>
      <c r="AB427" s="834"/>
      <c r="AC427" s="834"/>
      <c r="AD427" s="834"/>
      <c r="AE427" s="834"/>
      <c r="AF427" s="835" t="n">
        <v>2021</v>
      </c>
      <c r="AG427" s="836" t="s">
        <v>1059</v>
      </c>
      <c r="AH427" s="836" t="s">
        <v>1104</v>
      </c>
      <c r="AI427" s="835" t="n">
        <v>2022</v>
      </c>
      <c r="AJ427" s="836" t="s">
        <v>1105</v>
      </c>
      <c r="AK427" s="836" t="s">
        <v>1096</v>
      </c>
      <c r="AL427" s="809"/>
      <c r="AM427" s="132"/>
      <c r="AN427" s="132"/>
      <c r="AO427" s="132"/>
      <c r="AP427" s="132"/>
      <c r="AQ427" s="132"/>
      <c r="AR427" s="132"/>
      <c r="AS427" s="132"/>
      <c r="AT427" s="132"/>
      <c r="AU427" s="132"/>
      <c r="AV427" s="132"/>
      <c r="AW427" s="132"/>
      <c r="AX427" s="132"/>
      <c r="AY427" s="132"/>
      <c r="AZ427" s="132"/>
      <c r="BA427" s="132"/>
      <c r="BB427" s="132"/>
      <c r="BC427" s="132"/>
      <c r="BD427" s="132"/>
      <c r="BE427" s="132"/>
      <c r="BF427" s="132"/>
    </row>
    <row r="428" customFormat="false" ht="11.25" hidden="false" customHeight="true" outlineLevel="0" collapsed="false">
      <c r="A428" s="113" t="s">
        <v>1026</v>
      </c>
      <c r="E428" s="80"/>
      <c r="F428" s="810"/>
      <c r="G428" s="138"/>
      <c r="H428" s="811" t="s">
        <v>1116</v>
      </c>
      <c r="I428" s="831"/>
      <c r="J428" s="335"/>
      <c r="K428" s="333"/>
      <c r="L428" s="204"/>
      <c r="M428" s="198"/>
      <c r="N428" s="837"/>
      <c r="O428" s="838" t="n">
        <v>1</v>
      </c>
      <c r="P428" s="76" t="s">
        <v>61</v>
      </c>
      <c r="Q428" s="335" t="s">
        <v>1106</v>
      </c>
      <c r="R428" s="839" t="s">
        <v>1064</v>
      </c>
      <c r="S428" s="839" t="s">
        <v>106</v>
      </c>
      <c r="T428" s="839" t="s">
        <v>107</v>
      </c>
      <c r="U428" s="839" t="s">
        <v>108</v>
      </c>
      <c r="V428" s="839" t="s">
        <v>1107</v>
      </c>
      <c r="W428" s="839" t="s">
        <v>1108</v>
      </c>
      <c r="X428" s="839" t="s">
        <v>1109</v>
      </c>
      <c r="Y428" s="839" t="s">
        <v>1110</v>
      </c>
      <c r="Z428" s="840"/>
      <c r="AA428" s="841"/>
      <c r="AB428" s="841"/>
      <c r="AC428" s="842"/>
      <c r="AD428" s="842"/>
      <c r="AE428" s="843"/>
      <c r="AF428" s="835"/>
      <c r="AG428" s="836"/>
      <c r="AH428" s="836"/>
      <c r="AI428" s="835"/>
      <c r="AJ428" s="836"/>
      <c r="AK428" s="836"/>
      <c r="AL428" s="809"/>
      <c r="AM428" s="132"/>
      <c r="AN428" s="132"/>
      <c r="AO428" s="132"/>
      <c r="AP428" s="132"/>
      <c r="AQ428" s="132"/>
      <c r="AR428" s="132"/>
      <c r="AS428" s="132"/>
      <c r="AT428" s="132"/>
      <c r="AU428" s="132"/>
      <c r="AV428" s="132"/>
      <c r="AW428" s="132"/>
      <c r="AX428" s="132"/>
      <c r="AY428" s="132"/>
      <c r="AZ428" s="132"/>
      <c r="BA428" s="132"/>
      <c r="BB428" s="132"/>
      <c r="BC428" s="132"/>
      <c r="BD428" s="132"/>
      <c r="BE428" s="132"/>
      <c r="BF428" s="132"/>
    </row>
    <row r="429" customFormat="false" ht="11.25" hidden="false" customHeight="true" outlineLevel="0" collapsed="false">
      <c r="A429" s="113" t="s">
        <v>1026</v>
      </c>
      <c r="E429" s="80"/>
      <c r="F429" s="810"/>
      <c r="G429" s="138"/>
      <c r="H429" s="811" t="s">
        <v>1116</v>
      </c>
      <c r="I429" s="831"/>
      <c r="J429" s="335"/>
      <c r="K429" s="333"/>
      <c r="L429" s="204"/>
      <c r="M429" s="198"/>
      <c r="N429" s="837"/>
      <c r="O429" s="838"/>
      <c r="P429" s="76"/>
      <c r="Q429" s="335"/>
      <c r="R429" s="839"/>
      <c r="S429" s="839"/>
      <c r="T429" s="839"/>
      <c r="U429" s="839"/>
      <c r="V429" s="839"/>
      <c r="W429" s="839"/>
      <c r="X429" s="839"/>
      <c r="Y429" s="839"/>
      <c r="Z429" s="844"/>
      <c r="AA429" s="845" t="n">
        <v>1</v>
      </c>
      <c r="AB429" s="846" t="s">
        <v>1069</v>
      </c>
      <c r="AC429" s="756" t="n">
        <v>2469.098</v>
      </c>
      <c r="AD429" s="846" t="str">
        <f aca="false">AB429</f>
        <v>Прочие амортизационные отчисления</v>
      </c>
      <c r="AE429" s="756" t="n">
        <v>0</v>
      </c>
      <c r="AF429" s="835"/>
      <c r="AG429" s="836"/>
      <c r="AH429" s="836"/>
      <c r="AI429" s="835"/>
      <c r="AJ429" s="836"/>
      <c r="AK429" s="836"/>
      <c r="AL429" s="809"/>
      <c r="AM429" s="132"/>
      <c r="AN429" s="132"/>
      <c r="AO429" s="132"/>
      <c r="AP429" s="132"/>
      <c r="AQ429" s="132"/>
      <c r="AR429" s="132"/>
      <c r="AS429" s="132"/>
      <c r="AT429" s="132"/>
      <c r="AU429" s="132"/>
      <c r="AV429" s="132"/>
      <c r="AW429" s="132"/>
      <c r="AX429" s="132"/>
      <c r="AY429" s="132"/>
      <c r="AZ429" s="132"/>
      <c r="BA429" s="132"/>
      <c r="BB429" s="132"/>
      <c r="BC429" s="132"/>
      <c r="BD429" s="132"/>
      <c r="BE429" s="132"/>
      <c r="BF429" s="132"/>
    </row>
    <row r="430" customFormat="false" ht="11.25" hidden="false" customHeight="true" outlineLevel="0" collapsed="false">
      <c r="A430" s="113" t="s">
        <v>1026</v>
      </c>
      <c r="E430" s="80"/>
      <c r="F430" s="810"/>
      <c r="G430" s="138"/>
      <c r="H430" s="811" t="s">
        <v>1116</v>
      </c>
      <c r="I430" s="831"/>
      <c r="J430" s="335"/>
      <c r="K430" s="333"/>
      <c r="L430" s="204"/>
      <c r="M430" s="198"/>
      <c r="N430" s="837"/>
      <c r="O430" s="838"/>
      <c r="P430" s="76"/>
      <c r="Q430" s="335"/>
      <c r="R430" s="839"/>
      <c r="S430" s="839"/>
      <c r="T430" s="839"/>
      <c r="U430" s="839"/>
      <c r="V430" s="839"/>
      <c r="W430" s="839"/>
      <c r="X430" s="839"/>
      <c r="Y430" s="839"/>
      <c r="Z430" s="840"/>
      <c r="AA430" s="841"/>
      <c r="AB430" s="161" t="s">
        <v>1071</v>
      </c>
      <c r="AC430" s="842"/>
      <c r="AD430" s="842"/>
      <c r="AE430" s="847"/>
      <c r="AF430" s="835"/>
      <c r="AG430" s="836"/>
      <c r="AH430" s="836"/>
      <c r="AI430" s="835"/>
      <c r="AJ430" s="836"/>
      <c r="AK430" s="836"/>
      <c r="AL430" s="809"/>
      <c r="AM430" s="132"/>
      <c r="AN430" s="132"/>
      <c r="AO430" s="132"/>
      <c r="AP430" s="132"/>
      <c r="AQ430" s="132"/>
      <c r="AR430" s="132"/>
      <c r="AS430" s="132"/>
      <c r="AT430" s="132"/>
      <c r="AU430" s="132"/>
      <c r="AV430" s="132"/>
      <c r="AW430" s="132"/>
      <c r="AX430" s="132"/>
      <c r="AY430" s="132"/>
      <c r="AZ430" s="132"/>
      <c r="BA430" s="132"/>
      <c r="BB430" s="132"/>
      <c r="BC430" s="132"/>
      <c r="BD430" s="132"/>
      <c r="BE430" s="132"/>
      <c r="BF430" s="132"/>
    </row>
    <row r="431" customFormat="false" ht="11.25" hidden="false" customHeight="true" outlineLevel="0" collapsed="false">
      <c r="A431" s="113" t="s">
        <v>1026</v>
      </c>
      <c r="E431" s="80"/>
      <c r="F431" s="810"/>
      <c r="G431" s="138"/>
      <c r="H431" s="811" t="s">
        <v>1116</v>
      </c>
      <c r="I431" s="831"/>
      <c r="J431" s="335"/>
      <c r="K431" s="333"/>
      <c r="L431" s="204"/>
      <c r="M431" s="198"/>
      <c r="N431" s="840"/>
      <c r="O431" s="841"/>
      <c r="P431" s="161" t="s">
        <v>1072</v>
      </c>
      <c r="Q431" s="841"/>
      <c r="R431" s="841"/>
      <c r="S431" s="841"/>
      <c r="T431" s="841"/>
      <c r="U431" s="841"/>
      <c r="V431" s="841"/>
      <c r="W431" s="841"/>
      <c r="X431" s="841"/>
      <c r="Y431" s="841"/>
      <c r="Z431" s="841"/>
      <c r="AA431" s="841"/>
      <c r="AB431" s="841"/>
      <c r="AC431" s="841"/>
      <c r="AD431" s="841"/>
      <c r="AE431" s="848"/>
      <c r="AF431" s="835"/>
      <c r="AG431" s="836"/>
      <c r="AH431" s="836"/>
      <c r="AI431" s="835"/>
      <c r="AJ431" s="836"/>
      <c r="AK431" s="836"/>
      <c r="AL431" s="809"/>
      <c r="AM431" s="132"/>
      <c r="AN431" s="132"/>
      <c r="AO431" s="132"/>
      <c r="AP431" s="132"/>
      <c r="AQ431" s="132"/>
      <c r="AR431" s="132"/>
      <c r="AS431" s="132"/>
      <c r="AT431" s="132"/>
      <c r="AU431" s="132"/>
      <c r="AV431" s="132"/>
      <c r="AW431" s="132"/>
      <c r="AX431" s="132"/>
      <c r="AY431" s="132"/>
      <c r="AZ431" s="132"/>
      <c r="BA431" s="132"/>
      <c r="BB431" s="132"/>
      <c r="BC431" s="132"/>
      <c r="BD431" s="132"/>
      <c r="BE431" s="132"/>
      <c r="BF431" s="132"/>
    </row>
    <row r="432" customFormat="false" ht="12" hidden="false" customHeight="true" outlineLevel="0" collapsed="false">
      <c r="A432" s="113" t="s">
        <v>1026</v>
      </c>
      <c r="E432" s="80"/>
      <c r="F432" s="810"/>
      <c r="G432" s="849"/>
      <c r="H432" s="849"/>
      <c r="I432" s="850" t="s">
        <v>1136</v>
      </c>
      <c r="J432" s="850"/>
      <c r="K432" s="850"/>
      <c r="L432" s="851"/>
      <c r="M432" s="851"/>
      <c r="N432" s="852"/>
      <c r="O432" s="852"/>
      <c r="P432" s="852"/>
      <c r="Q432" s="852"/>
      <c r="R432" s="852"/>
      <c r="S432" s="852"/>
      <c r="T432" s="852"/>
      <c r="U432" s="852"/>
      <c r="V432" s="852"/>
      <c r="W432" s="852"/>
      <c r="X432" s="852"/>
      <c r="Y432" s="852"/>
      <c r="Z432" s="852"/>
      <c r="AA432" s="852"/>
      <c r="AB432" s="852"/>
      <c r="AC432" s="852"/>
      <c r="AD432" s="852"/>
      <c r="AE432" s="852"/>
      <c r="AF432" s="852"/>
      <c r="AG432" s="851"/>
      <c r="AH432" s="851"/>
      <c r="AI432" s="852"/>
      <c r="AJ432" s="851"/>
      <c r="AK432" s="852"/>
      <c r="AL432" s="809"/>
      <c r="AM432" s="132"/>
      <c r="AN432" s="132"/>
      <c r="AO432" s="132"/>
      <c r="AP432" s="132"/>
      <c r="AQ432" s="132"/>
      <c r="AR432" s="132"/>
      <c r="AS432" s="132"/>
      <c r="AT432" s="132"/>
      <c r="AU432" s="132"/>
      <c r="AV432" s="132"/>
      <c r="AW432" s="132"/>
      <c r="AX432" s="132"/>
      <c r="AY432" s="132"/>
      <c r="AZ432" s="132"/>
      <c r="BA432" s="132"/>
      <c r="BB432" s="132"/>
      <c r="BC432" s="132"/>
      <c r="BD432" s="132"/>
      <c r="BE432" s="132"/>
      <c r="BF432" s="132"/>
    </row>
    <row r="433" customFormat="false" ht="0.75" hidden="false" customHeight="true" outlineLevel="0" collapsed="false">
      <c r="A433" s="113" t="s">
        <v>1026</v>
      </c>
      <c r="E433" s="80"/>
      <c r="F433" s="810" t="n">
        <v>2022</v>
      </c>
      <c r="G433" s="811"/>
      <c r="H433" s="812" t="s">
        <v>389</v>
      </c>
      <c r="I433" s="813"/>
      <c r="J433" s="149"/>
      <c r="K433" s="149"/>
      <c r="L433" s="814"/>
      <c r="M433" s="461"/>
      <c r="N433" s="815"/>
      <c r="O433" s="816"/>
      <c r="P433" s="815"/>
      <c r="Q433" s="815"/>
      <c r="R433" s="815"/>
      <c r="S433" s="815"/>
      <c r="T433" s="815"/>
      <c r="U433" s="815"/>
      <c r="V433" s="815"/>
      <c r="W433" s="815"/>
      <c r="X433" s="815"/>
      <c r="Y433" s="815"/>
      <c r="Z433" s="815"/>
      <c r="AA433" s="815"/>
      <c r="AB433" s="815"/>
      <c r="AC433" s="815"/>
      <c r="AD433" s="815"/>
      <c r="AE433" s="815"/>
      <c r="AF433" s="817"/>
      <c r="AG433" s="814"/>
      <c r="AH433" s="814"/>
      <c r="AI433" s="817"/>
      <c r="AJ433" s="814"/>
      <c r="AK433" s="814"/>
      <c r="AL433" s="809"/>
      <c r="AM433" s="132"/>
      <c r="AN433" s="132"/>
      <c r="AO433" s="132"/>
      <c r="AP433" s="132"/>
      <c r="AQ433" s="132"/>
      <c r="AR433" s="132"/>
      <c r="AS433" s="132"/>
      <c r="AT433" s="132"/>
      <c r="AU433" s="132"/>
      <c r="AV433" s="132"/>
      <c r="AW433" s="132"/>
      <c r="AX433" s="132"/>
      <c r="AY433" s="132"/>
      <c r="AZ433" s="132"/>
      <c r="BA433" s="132"/>
      <c r="BB433" s="132"/>
      <c r="BC433" s="132"/>
      <c r="BD433" s="132"/>
      <c r="BE433" s="132"/>
      <c r="BF433" s="132"/>
    </row>
    <row r="434" customFormat="false" ht="0.75" hidden="false" customHeight="true" outlineLevel="0" collapsed="false">
      <c r="A434" s="113" t="s">
        <v>1026</v>
      </c>
      <c r="E434" s="80"/>
      <c r="F434" s="810"/>
      <c r="G434" s="811"/>
      <c r="H434" s="812"/>
      <c r="I434" s="813"/>
      <c r="J434" s="149"/>
      <c r="K434" s="149"/>
      <c r="L434" s="814"/>
      <c r="M434" s="461"/>
      <c r="N434" s="818"/>
      <c r="O434" s="819"/>
      <c r="P434" s="820"/>
      <c r="Q434" s="149"/>
      <c r="R434" s="149"/>
      <c r="S434" s="149"/>
      <c r="T434" s="149"/>
      <c r="U434" s="149"/>
      <c r="V434" s="149"/>
      <c r="W434" s="149"/>
      <c r="X434" s="149"/>
      <c r="Y434" s="149"/>
      <c r="Z434" s="821"/>
      <c r="AA434" s="822"/>
      <c r="AB434" s="822"/>
      <c r="AC434" s="823"/>
      <c r="AD434" s="823"/>
      <c r="AE434" s="824"/>
      <c r="AF434" s="817"/>
      <c r="AG434" s="814"/>
      <c r="AH434" s="814"/>
      <c r="AI434" s="817"/>
      <c r="AJ434" s="814"/>
      <c r="AK434" s="814"/>
      <c r="AL434" s="809"/>
      <c r="AM434" s="132"/>
      <c r="AN434" s="132"/>
      <c r="AO434" s="132"/>
      <c r="AP434" s="132"/>
      <c r="AQ434" s="132"/>
      <c r="AR434" s="132"/>
      <c r="AS434" s="132"/>
      <c r="AT434" s="132"/>
      <c r="AU434" s="132"/>
      <c r="AV434" s="132"/>
      <c r="AW434" s="132"/>
      <c r="AX434" s="132"/>
      <c r="AY434" s="132"/>
      <c r="AZ434" s="132"/>
      <c r="BA434" s="132"/>
      <c r="BB434" s="132"/>
      <c r="BC434" s="132"/>
      <c r="BD434" s="132"/>
      <c r="BE434" s="132"/>
      <c r="BF434" s="132"/>
    </row>
    <row r="435" customFormat="false" ht="0.75" hidden="false" customHeight="true" outlineLevel="0" collapsed="false">
      <c r="A435" s="113" t="s">
        <v>1026</v>
      </c>
      <c r="E435" s="80"/>
      <c r="F435" s="810"/>
      <c r="G435" s="811"/>
      <c r="H435" s="812"/>
      <c r="I435" s="813"/>
      <c r="J435" s="149"/>
      <c r="K435" s="149"/>
      <c r="L435" s="814"/>
      <c r="M435" s="461"/>
      <c r="N435" s="818"/>
      <c r="O435" s="819"/>
      <c r="P435" s="820"/>
      <c r="Q435" s="149"/>
      <c r="R435" s="149"/>
      <c r="S435" s="149"/>
      <c r="T435" s="149"/>
      <c r="U435" s="149"/>
      <c r="V435" s="149"/>
      <c r="W435" s="149"/>
      <c r="X435" s="149"/>
      <c r="Y435" s="149"/>
      <c r="Z435" s="825"/>
      <c r="AA435" s="819"/>
      <c r="AB435" s="826"/>
      <c r="AC435" s="827"/>
      <c r="AD435" s="826"/>
      <c r="AE435" s="827"/>
      <c r="AF435" s="817"/>
      <c r="AG435" s="814"/>
      <c r="AH435" s="814"/>
      <c r="AI435" s="817"/>
      <c r="AJ435" s="814"/>
      <c r="AK435" s="814"/>
      <c r="AL435" s="809"/>
      <c r="AM435" s="132"/>
      <c r="AN435" s="132"/>
      <c r="AO435" s="132"/>
      <c r="AP435" s="132"/>
      <c r="AQ435" s="132"/>
      <c r="AR435" s="132"/>
      <c r="AS435" s="132"/>
      <c r="AT435" s="132"/>
      <c r="AU435" s="132"/>
      <c r="AV435" s="132"/>
      <c r="AW435" s="132"/>
      <c r="AX435" s="132"/>
      <c r="AY435" s="132"/>
      <c r="AZ435" s="132"/>
      <c r="BA435" s="132"/>
      <c r="BB435" s="132"/>
      <c r="BC435" s="132"/>
      <c r="BD435" s="132"/>
      <c r="BE435" s="132"/>
      <c r="BF435" s="132"/>
    </row>
    <row r="436" customFormat="false" ht="0.75" hidden="false" customHeight="true" outlineLevel="0" collapsed="false">
      <c r="A436" s="113" t="s">
        <v>1026</v>
      </c>
      <c r="E436" s="80"/>
      <c r="F436" s="810"/>
      <c r="G436" s="811"/>
      <c r="H436" s="812"/>
      <c r="I436" s="813"/>
      <c r="J436" s="149"/>
      <c r="K436" s="149"/>
      <c r="L436" s="814"/>
      <c r="M436" s="461"/>
      <c r="N436" s="818"/>
      <c r="O436" s="819"/>
      <c r="P436" s="820"/>
      <c r="Q436" s="149"/>
      <c r="R436" s="149"/>
      <c r="S436" s="149"/>
      <c r="T436" s="149"/>
      <c r="U436" s="149"/>
      <c r="V436" s="149"/>
      <c r="W436" s="149"/>
      <c r="X436" s="149"/>
      <c r="Y436" s="149"/>
      <c r="Z436" s="821"/>
      <c r="AA436" s="822"/>
      <c r="AB436" s="828"/>
      <c r="AC436" s="823"/>
      <c r="AD436" s="823"/>
      <c r="AE436" s="829"/>
      <c r="AF436" s="817"/>
      <c r="AG436" s="814"/>
      <c r="AH436" s="814"/>
      <c r="AI436" s="817"/>
      <c r="AJ436" s="814"/>
      <c r="AK436" s="814"/>
      <c r="AL436" s="809"/>
      <c r="AM436" s="132"/>
      <c r="AN436" s="132"/>
      <c r="AO436" s="132"/>
      <c r="AP436" s="132"/>
      <c r="AQ436" s="132"/>
      <c r="AR436" s="132"/>
      <c r="AS436" s="132"/>
      <c r="AT436" s="132"/>
      <c r="AU436" s="132"/>
      <c r="AV436" s="132"/>
      <c r="AW436" s="132"/>
      <c r="AX436" s="132"/>
      <c r="AY436" s="132"/>
      <c r="AZ436" s="132"/>
      <c r="BA436" s="132"/>
      <c r="BB436" s="132"/>
      <c r="BC436" s="132"/>
      <c r="BD436" s="132"/>
      <c r="BE436" s="132"/>
      <c r="BF436" s="132"/>
    </row>
    <row r="437" customFormat="false" ht="0.75" hidden="false" customHeight="true" outlineLevel="0" collapsed="false">
      <c r="A437" s="113" t="s">
        <v>1026</v>
      </c>
      <c r="E437" s="80"/>
      <c r="F437" s="810"/>
      <c r="G437" s="811"/>
      <c r="H437" s="812"/>
      <c r="I437" s="813"/>
      <c r="J437" s="149"/>
      <c r="K437" s="149"/>
      <c r="L437" s="814"/>
      <c r="M437" s="461"/>
      <c r="N437" s="822"/>
      <c r="O437" s="822"/>
      <c r="P437" s="828"/>
      <c r="Q437" s="822"/>
      <c r="R437" s="822"/>
      <c r="S437" s="822"/>
      <c r="T437" s="822"/>
      <c r="U437" s="822"/>
      <c r="V437" s="822"/>
      <c r="W437" s="822"/>
      <c r="X437" s="822"/>
      <c r="Y437" s="822"/>
      <c r="Z437" s="822"/>
      <c r="AA437" s="822"/>
      <c r="AB437" s="822"/>
      <c r="AC437" s="822"/>
      <c r="AD437" s="822"/>
      <c r="AE437" s="830"/>
      <c r="AF437" s="817"/>
      <c r="AG437" s="814"/>
      <c r="AH437" s="814"/>
      <c r="AI437" s="817"/>
      <c r="AJ437" s="814"/>
      <c r="AK437" s="814"/>
      <c r="AL437" s="809"/>
      <c r="AM437" s="132"/>
      <c r="AN437" s="132"/>
      <c r="AO437" s="132"/>
      <c r="AP437" s="132"/>
      <c r="AQ437" s="132"/>
      <c r="AR437" s="132"/>
      <c r="AS437" s="132"/>
      <c r="AT437" s="132"/>
      <c r="AU437" s="132"/>
      <c r="AV437" s="132"/>
      <c r="AW437" s="132"/>
      <c r="AX437" s="132"/>
      <c r="AY437" s="132"/>
      <c r="AZ437" s="132"/>
      <c r="BA437" s="132"/>
      <c r="BB437" s="132"/>
      <c r="BC437" s="132"/>
      <c r="BD437" s="132"/>
      <c r="BE437" s="132"/>
      <c r="BF437" s="132"/>
    </row>
    <row r="438" customFormat="false" ht="11.25" hidden="false" customHeight="true" outlineLevel="0" collapsed="false">
      <c r="A438" s="113" t="s">
        <v>1026</v>
      </c>
      <c r="E438" s="80"/>
      <c r="F438" s="810"/>
      <c r="G438" s="138" t="s">
        <v>103</v>
      </c>
      <c r="H438" s="811" t="s">
        <v>120</v>
      </c>
      <c r="I438" s="831"/>
      <c r="J438" s="335"/>
      <c r="K438" s="333" t="s">
        <v>1137</v>
      </c>
      <c r="L438" s="204" t="s">
        <v>19</v>
      </c>
      <c r="M438" s="198"/>
      <c r="N438" s="832"/>
      <c r="O438" s="833" t="s">
        <v>389</v>
      </c>
      <c r="P438" s="834"/>
      <c r="Q438" s="834"/>
      <c r="R438" s="834"/>
      <c r="S438" s="834"/>
      <c r="T438" s="834"/>
      <c r="U438" s="834"/>
      <c r="V438" s="834"/>
      <c r="W438" s="834"/>
      <c r="X438" s="834"/>
      <c r="Y438" s="834"/>
      <c r="Z438" s="834"/>
      <c r="AA438" s="834"/>
      <c r="AB438" s="834"/>
      <c r="AC438" s="834"/>
      <c r="AD438" s="834"/>
      <c r="AE438" s="834"/>
      <c r="AF438" s="835" t="n">
        <v>2020</v>
      </c>
      <c r="AG438" s="836" t="s">
        <v>1059</v>
      </c>
      <c r="AH438" s="836" t="s">
        <v>1075</v>
      </c>
      <c r="AI438" s="835" t="n">
        <v>2022</v>
      </c>
      <c r="AJ438" s="836" t="s">
        <v>1059</v>
      </c>
      <c r="AK438" s="836" t="s">
        <v>1096</v>
      </c>
      <c r="AL438" s="809"/>
      <c r="AM438" s="132"/>
      <c r="AN438" s="132"/>
      <c r="AO438" s="132"/>
      <c r="AP438" s="132"/>
      <c r="AQ438" s="132"/>
      <c r="AR438" s="132"/>
      <c r="AS438" s="132"/>
      <c r="AT438" s="132"/>
      <c r="AU438" s="132"/>
      <c r="AV438" s="132"/>
      <c r="AW438" s="132"/>
      <c r="AX438" s="132"/>
      <c r="AY438" s="132"/>
      <c r="AZ438" s="132"/>
      <c r="BA438" s="132"/>
      <c r="BB438" s="132"/>
      <c r="BC438" s="132"/>
      <c r="BD438" s="132"/>
      <c r="BE438" s="132"/>
      <c r="BF438" s="132"/>
    </row>
    <row r="439" customFormat="false" ht="11.25" hidden="false" customHeight="true" outlineLevel="0" collapsed="false">
      <c r="A439" s="113" t="s">
        <v>1026</v>
      </c>
      <c r="E439" s="80"/>
      <c r="F439" s="810"/>
      <c r="G439" s="138"/>
      <c r="H439" s="811" t="s">
        <v>389</v>
      </c>
      <c r="I439" s="831"/>
      <c r="J439" s="335"/>
      <c r="K439" s="333"/>
      <c r="L439" s="204"/>
      <c r="M439" s="198"/>
      <c r="N439" s="837"/>
      <c r="O439" s="838" t="n">
        <v>1</v>
      </c>
      <c r="P439" s="76" t="s">
        <v>61</v>
      </c>
      <c r="Q439" s="335" t="s">
        <v>1063</v>
      </c>
      <c r="R439" s="839" t="s">
        <v>1064</v>
      </c>
      <c r="S439" s="839" t="s">
        <v>99</v>
      </c>
      <c r="T439" s="839" t="s">
        <v>99</v>
      </c>
      <c r="U439" s="839" t="s">
        <v>100</v>
      </c>
      <c r="V439" s="839" t="s">
        <v>1065</v>
      </c>
      <c r="W439" s="839" t="s">
        <v>1066</v>
      </c>
      <c r="X439" s="839" t="s">
        <v>1067</v>
      </c>
      <c r="Y439" s="839" t="s">
        <v>1068</v>
      </c>
      <c r="Z439" s="840"/>
      <c r="AA439" s="841"/>
      <c r="AB439" s="841"/>
      <c r="AC439" s="842"/>
      <c r="AD439" s="842"/>
      <c r="AE439" s="843"/>
      <c r="AF439" s="835"/>
      <c r="AG439" s="836"/>
      <c r="AH439" s="836"/>
      <c r="AI439" s="835"/>
      <c r="AJ439" s="836"/>
      <c r="AK439" s="836"/>
      <c r="AL439" s="809"/>
      <c r="AM439" s="132"/>
      <c r="AN439" s="132"/>
      <c r="AO439" s="132"/>
      <c r="AP439" s="132"/>
      <c r="AQ439" s="132"/>
      <c r="AR439" s="132"/>
      <c r="AS439" s="132"/>
      <c r="AT439" s="132"/>
      <c r="AU439" s="132"/>
      <c r="AV439" s="132"/>
      <c r="AW439" s="132"/>
      <c r="AX439" s="132"/>
      <c r="AY439" s="132"/>
      <c r="AZ439" s="132"/>
      <c r="BA439" s="132"/>
      <c r="BB439" s="132"/>
      <c r="BC439" s="132"/>
      <c r="BD439" s="132"/>
      <c r="BE439" s="132"/>
      <c r="BF439" s="132"/>
    </row>
    <row r="440" customFormat="false" ht="11.25" hidden="false" customHeight="true" outlineLevel="0" collapsed="false">
      <c r="A440" s="113" t="s">
        <v>1026</v>
      </c>
      <c r="E440" s="80"/>
      <c r="F440" s="810"/>
      <c r="G440" s="138"/>
      <c r="H440" s="811" t="s">
        <v>389</v>
      </c>
      <c r="I440" s="831"/>
      <c r="J440" s="335"/>
      <c r="K440" s="333"/>
      <c r="L440" s="204"/>
      <c r="M440" s="198"/>
      <c r="N440" s="837"/>
      <c r="O440" s="838"/>
      <c r="P440" s="76"/>
      <c r="Q440" s="335"/>
      <c r="R440" s="839"/>
      <c r="S440" s="839"/>
      <c r="T440" s="839"/>
      <c r="U440" s="839"/>
      <c r="V440" s="839"/>
      <c r="W440" s="839"/>
      <c r="X440" s="839"/>
      <c r="Y440" s="839"/>
      <c r="Z440" s="844"/>
      <c r="AA440" s="845" t="n">
        <v>1</v>
      </c>
      <c r="AB440" s="846" t="s">
        <v>1069</v>
      </c>
      <c r="AC440" s="756" t="n">
        <v>0</v>
      </c>
      <c r="AD440" s="846" t="str">
        <f aca="false">AB440</f>
        <v>Прочие амортизационные отчисления</v>
      </c>
      <c r="AE440" s="756" t="n">
        <v>1333.079</v>
      </c>
      <c r="AF440" s="835"/>
      <c r="AG440" s="836"/>
      <c r="AH440" s="836"/>
      <c r="AI440" s="835"/>
      <c r="AJ440" s="836"/>
      <c r="AK440" s="836"/>
      <c r="AL440" s="809"/>
      <c r="AM440" s="132"/>
      <c r="AN440" s="132"/>
      <c r="AO440" s="132"/>
      <c r="AP440" s="132"/>
      <c r="AQ440" s="132"/>
      <c r="AR440" s="132"/>
      <c r="AS440" s="132"/>
      <c r="AT440" s="132"/>
      <c r="AU440" s="132"/>
      <c r="AV440" s="132"/>
      <c r="AW440" s="132"/>
      <c r="AX440" s="132"/>
      <c r="AY440" s="132"/>
      <c r="AZ440" s="132"/>
      <c r="BA440" s="132"/>
      <c r="BB440" s="132"/>
      <c r="BC440" s="132"/>
      <c r="BD440" s="132"/>
      <c r="BE440" s="132"/>
      <c r="BF440" s="132"/>
    </row>
    <row r="441" customFormat="false" ht="11.25" hidden="false" customHeight="true" outlineLevel="0" collapsed="false">
      <c r="A441" s="113" t="s">
        <v>1026</v>
      </c>
      <c r="E441" s="80"/>
      <c r="F441" s="810"/>
      <c r="G441" s="138"/>
      <c r="H441" s="811" t="s">
        <v>389</v>
      </c>
      <c r="I441" s="831"/>
      <c r="J441" s="335"/>
      <c r="K441" s="333"/>
      <c r="L441" s="204"/>
      <c r="M441" s="198"/>
      <c r="N441" s="837"/>
      <c r="O441" s="838"/>
      <c r="P441" s="76"/>
      <c r="Q441" s="335"/>
      <c r="R441" s="839"/>
      <c r="S441" s="839"/>
      <c r="T441" s="839"/>
      <c r="U441" s="839"/>
      <c r="V441" s="839"/>
      <c r="W441" s="839"/>
      <c r="X441" s="839"/>
      <c r="Y441" s="839"/>
      <c r="Z441" s="840"/>
      <c r="AA441" s="841"/>
      <c r="AB441" s="161" t="s">
        <v>1071</v>
      </c>
      <c r="AC441" s="842"/>
      <c r="AD441" s="842"/>
      <c r="AE441" s="847"/>
      <c r="AF441" s="835"/>
      <c r="AG441" s="836"/>
      <c r="AH441" s="836"/>
      <c r="AI441" s="835"/>
      <c r="AJ441" s="836"/>
      <c r="AK441" s="836"/>
      <c r="AL441" s="809"/>
      <c r="AM441" s="132"/>
      <c r="AN441" s="132"/>
      <c r="AO441" s="132"/>
      <c r="AP441" s="132"/>
      <c r="AQ441" s="132"/>
      <c r="AR441" s="132"/>
      <c r="AS441" s="132"/>
      <c r="AT441" s="132"/>
      <c r="AU441" s="132"/>
      <c r="AV441" s="132"/>
      <c r="AW441" s="132"/>
      <c r="AX441" s="132"/>
      <c r="AY441" s="132"/>
      <c r="AZ441" s="132"/>
      <c r="BA441" s="132"/>
      <c r="BB441" s="132"/>
      <c r="BC441" s="132"/>
      <c r="BD441" s="132"/>
      <c r="BE441" s="132"/>
      <c r="BF441" s="132"/>
    </row>
    <row r="442" customFormat="false" ht="11.25" hidden="false" customHeight="true" outlineLevel="0" collapsed="false">
      <c r="A442" s="113" t="s">
        <v>1026</v>
      </c>
      <c r="E442" s="80"/>
      <c r="F442" s="810"/>
      <c r="G442" s="138"/>
      <c r="H442" s="811" t="s">
        <v>389</v>
      </c>
      <c r="I442" s="831"/>
      <c r="J442" s="335"/>
      <c r="K442" s="333"/>
      <c r="L442" s="204"/>
      <c r="M442" s="198"/>
      <c r="N442" s="840"/>
      <c r="O442" s="841"/>
      <c r="P442" s="161" t="s">
        <v>1072</v>
      </c>
      <c r="Q442" s="841"/>
      <c r="R442" s="841"/>
      <c r="S442" s="841"/>
      <c r="T442" s="841"/>
      <c r="U442" s="841"/>
      <c r="V442" s="841"/>
      <c r="W442" s="841"/>
      <c r="X442" s="841"/>
      <c r="Y442" s="841"/>
      <c r="Z442" s="841"/>
      <c r="AA442" s="841"/>
      <c r="AB442" s="841"/>
      <c r="AC442" s="841"/>
      <c r="AD442" s="841"/>
      <c r="AE442" s="848"/>
      <c r="AF442" s="835"/>
      <c r="AG442" s="836"/>
      <c r="AH442" s="836"/>
      <c r="AI442" s="835"/>
      <c r="AJ442" s="836"/>
      <c r="AK442" s="836"/>
      <c r="AL442" s="809"/>
      <c r="AM442" s="132"/>
      <c r="AN442" s="132"/>
      <c r="AO442" s="132"/>
      <c r="AP442" s="132"/>
      <c r="AQ442" s="132"/>
      <c r="AR442" s="132"/>
      <c r="AS442" s="132"/>
      <c r="AT442" s="132"/>
      <c r="AU442" s="132"/>
      <c r="AV442" s="132"/>
      <c r="AW442" s="132"/>
      <c r="AX442" s="132"/>
      <c r="AY442" s="132"/>
      <c r="AZ442" s="132"/>
      <c r="BA442" s="132"/>
      <c r="BB442" s="132"/>
      <c r="BC442" s="132"/>
      <c r="BD442" s="132"/>
      <c r="BE442" s="132"/>
      <c r="BF442" s="132"/>
    </row>
    <row r="443" customFormat="false" ht="11.25" hidden="false" customHeight="true" outlineLevel="0" collapsed="false">
      <c r="A443" s="113" t="s">
        <v>1026</v>
      </c>
      <c r="E443" s="80"/>
      <c r="F443" s="810"/>
      <c r="G443" s="138" t="s">
        <v>103</v>
      </c>
      <c r="H443" s="811" t="s">
        <v>102</v>
      </c>
      <c r="I443" s="831"/>
      <c r="J443" s="335"/>
      <c r="K443" s="333" t="s">
        <v>1166</v>
      </c>
      <c r="L443" s="204" t="s">
        <v>19</v>
      </c>
      <c r="M443" s="198"/>
      <c r="N443" s="832"/>
      <c r="O443" s="833" t="s">
        <v>389</v>
      </c>
      <c r="P443" s="834"/>
      <c r="Q443" s="834"/>
      <c r="R443" s="834"/>
      <c r="S443" s="834"/>
      <c r="T443" s="834"/>
      <c r="U443" s="834"/>
      <c r="V443" s="834"/>
      <c r="W443" s="834"/>
      <c r="X443" s="834"/>
      <c r="Y443" s="834"/>
      <c r="Z443" s="834"/>
      <c r="AA443" s="834"/>
      <c r="AB443" s="834"/>
      <c r="AC443" s="834"/>
      <c r="AD443" s="834"/>
      <c r="AE443" s="834"/>
      <c r="AF443" s="835" t="n">
        <v>2023</v>
      </c>
      <c r="AG443" s="836" t="s">
        <v>1059</v>
      </c>
      <c r="AH443" s="836" t="s">
        <v>1104</v>
      </c>
      <c r="AI443" s="835" t="n">
        <v>2023</v>
      </c>
      <c r="AJ443" s="836" t="s">
        <v>1093</v>
      </c>
      <c r="AK443" s="836" t="s">
        <v>1104</v>
      </c>
      <c r="AL443" s="809"/>
      <c r="AM443" s="132"/>
      <c r="AN443" s="132"/>
      <c r="AO443" s="132"/>
      <c r="AP443" s="132"/>
      <c r="AQ443" s="132"/>
      <c r="AR443" s="132"/>
      <c r="AS443" s="132"/>
      <c r="AT443" s="132"/>
      <c r="AU443" s="132"/>
      <c r="AV443" s="132"/>
      <c r="AW443" s="132"/>
      <c r="AX443" s="132"/>
      <c r="AY443" s="132"/>
      <c r="AZ443" s="132"/>
      <c r="BA443" s="132"/>
      <c r="BB443" s="132"/>
      <c r="BC443" s="132"/>
      <c r="BD443" s="132"/>
      <c r="BE443" s="132"/>
      <c r="BF443" s="132"/>
    </row>
    <row r="444" customFormat="false" ht="11.25" hidden="false" customHeight="true" outlineLevel="0" collapsed="false">
      <c r="A444" s="113" t="s">
        <v>1026</v>
      </c>
      <c r="E444" s="80"/>
      <c r="F444" s="810"/>
      <c r="G444" s="138"/>
      <c r="H444" s="811" t="s">
        <v>120</v>
      </c>
      <c r="I444" s="831"/>
      <c r="J444" s="335"/>
      <c r="K444" s="333"/>
      <c r="L444" s="204"/>
      <c r="M444" s="198"/>
      <c r="N444" s="837"/>
      <c r="O444" s="838" t="n">
        <v>1</v>
      </c>
      <c r="P444" s="76" t="s">
        <v>61</v>
      </c>
      <c r="Q444" s="335" t="s">
        <v>1063</v>
      </c>
      <c r="R444" s="839" t="s">
        <v>1064</v>
      </c>
      <c r="S444" s="839" t="s">
        <v>99</v>
      </c>
      <c r="T444" s="839" t="s">
        <v>99</v>
      </c>
      <c r="U444" s="839" t="s">
        <v>100</v>
      </c>
      <c r="V444" s="839" t="s">
        <v>1065</v>
      </c>
      <c r="W444" s="839" t="s">
        <v>1066</v>
      </c>
      <c r="X444" s="839" t="s">
        <v>1067</v>
      </c>
      <c r="Y444" s="839" t="s">
        <v>1068</v>
      </c>
      <c r="Z444" s="840"/>
      <c r="AA444" s="841"/>
      <c r="AB444" s="841"/>
      <c r="AC444" s="842"/>
      <c r="AD444" s="842"/>
      <c r="AE444" s="843"/>
      <c r="AF444" s="835"/>
      <c r="AG444" s="836"/>
      <c r="AH444" s="836"/>
      <c r="AI444" s="835"/>
      <c r="AJ444" s="836"/>
      <c r="AK444" s="836"/>
      <c r="AL444" s="809"/>
      <c r="AM444" s="132"/>
      <c r="AN444" s="132"/>
      <c r="AO444" s="132"/>
      <c r="AP444" s="132"/>
      <c r="AQ444" s="132"/>
      <c r="AR444" s="132"/>
      <c r="AS444" s="132"/>
      <c r="AT444" s="132"/>
      <c r="AU444" s="132"/>
      <c r="AV444" s="132"/>
      <c r="AW444" s="132"/>
      <c r="AX444" s="132"/>
      <c r="AY444" s="132"/>
      <c r="AZ444" s="132"/>
      <c r="BA444" s="132"/>
      <c r="BB444" s="132"/>
      <c r="BC444" s="132"/>
      <c r="BD444" s="132"/>
      <c r="BE444" s="132"/>
      <c r="BF444" s="132"/>
    </row>
    <row r="445" customFormat="false" ht="11.25" hidden="false" customHeight="true" outlineLevel="0" collapsed="false">
      <c r="A445" s="113" t="s">
        <v>1026</v>
      </c>
      <c r="E445" s="80"/>
      <c r="F445" s="810"/>
      <c r="G445" s="138"/>
      <c r="H445" s="811" t="s">
        <v>120</v>
      </c>
      <c r="I445" s="831"/>
      <c r="J445" s="335"/>
      <c r="K445" s="333"/>
      <c r="L445" s="204"/>
      <c r="M445" s="198"/>
      <c r="N445" s="837"/>
      <c r="O445" s="838"/>
      <c r="P445" s="76"/>
      <c r="Q445" s="335"/>
      <c r="R445" s="839"/>
      <c r="S445" s="839"/>
      <c r="T445" s="839"/>
      <c r="U445" s="839"/>
      <c r="V445" s="839"/>
      <c r="W445" s="839"/>
      <c r="X445" s="839"/>
      <c r="Y445" s="839"/>
      <c r="Z445" s="844"/>
      <c r="AA445" s="845" t="n">
        <v>1</v>
      </c>
      <c r="AB445" s="846" t="s">
        <v>1069</v>
      </c>
      <c r="AC445" s="756" t="n">
        <v>0</v>
      </c>
      <c r="AD445" s="846" t="str">
        <f aca="false">AB445</f>
        <v>Прочие амортизационные отчисления</v>
      </c>
      <c r="AE445" s="756" t="n">
        <v>17.0064</v>
      </c>
      <c r="AF445" s="835"/>
      <c r="AG445" s="836"/>
      <c r="AH445" s="836"/>
      <c r="AI445" s="835"/>
      <c r="AJ445" s="836"/>
      <c r="AK445" s="836"/>
      <c r="AL445" s="809"/>
      <c r="AM445" s="132"/>
      <c r="AN445" s="132"/>
      <c r="AO445" s="132"/>
      <c r="AP445" s="132"/>
      <c r="AQ445" s="132"/>
      <c r="AR445" s="132"/>
      <c r="AS445" s="132"/>
      <c r="AT445" s="132"/>
      <c r="AU445" s="132"/>
      <c r="AV445" s="132"/>
      <c r="AW445" s="132"/>
      <c r="AX445" s="132"/>
      <c r="AY445" s="132"/>
      <c r="AZ445" s="132"/>
      <c r="BA445" s="132"/>
      <c r="BB445" s="132"/>
      <c r="BC445" s="132"/>
      <c r="BD445" s="132"/>
      <c r="BE445" s="132"/>
      <c r="BF445" s="132"/>
    </row>
    <row r="446" customFormat="false" ht="11.25" hidden="false" customHeight="true" outlineLevel="0" collapsed="false">
      <c r="A446" s="113" t="s">
        <v>1026</v>
      </c>
      <c r="E446" s="80"/>
      <c r="F446" s="810"/>
      <c r="G446" s="138"/>
      <c r="H446" s="811" t="s">
        <v>120</v>
      </c>
      <c r="I446" s="831"/>
      <c r="J446" s="335"/>
      <c r="K446" s="333"/>
      <c r="L446" s="204"/>
      <c r="M446" s="198"/>
      <c r="N446" s="837"/>
      <c r="O446" s="838"/>
      <c r="P446" s="76"/>
      <c r="Q446" s="335"/>
      <c r="R446" s="839"/>
      <c r="S446" s="839"/>
      <c r="T446" s="839"/>
      <c r="U446" s="839"/>
      <c r="V446" s="839"/>
      <c r="W446" s="839"/>
      <c r="X446" s="839"/>
      <c r="Y446" s="839"/>
      <c r="Z446" s="840"/>
      <c r="AA446" s="841"/>
      <c r="AB446" s="161" t="s">
        <v>1071</v>
      </c>
      <c r="AC446" s="842"/>
      <c r="AD446" s="842"/>
      <c r="AE446" s="847"/>
      <c r="AF446" s="835"/>
      <c r="AG446" s="836"/>
      <c r="AH446" s="836"/>
      <c r="AI446" s="835"/>
      <c r="AJ446" s="836"/>
      <c r="AK446" s="836"/>
      <c r="AL446" s="809"/>
      <c r="AM446" s="132"/>
      <c r="AN446" s="132"/>
      <c r="AO446" s="132"/>
      <c r="AP446" s="132"/>
      <c r="AQ446" s="132"/>
      <c r="AR446" s="132"/>
      <c r="AS446" s="132"/>
      <c r="AT446" s="132"/>
      <c r="AU446" s="132"/>
      <c r="AV446" s="132"/>
      <c r="AW446" s="132"/>
      <c r="AX446" s="132"/>
      <c r="AY446" s="132"/>
      <c r="AZ446" s="132"/>
      <c r="BA446" s="132"/>
      <c r="BB446" s="132"/>
      <c r="BC446" s="132"/>
      <c r="BD446" s="132"/>
      <c r="BE446" s="132"/>
      <c r="BF446" s="132"/>
    </row>
    <row r="447" customFormat="false" ht="11.25" hidden="false" customHeight="true" outlineLevel="0" collapsed="false">
      <c r="A447" s="113" t="s">
        <v>1026</v>
      </c>
      <c r="E447" s="80"/>
      <c r="F447" s="810"/>
      <c r="G447" s="138"/>
      <c r="H447" s="811" t="s">
        <v>120</v>
      </c>
      <c r="I447" s="831"/>
      <c r="J447" s="335"/>
      <c r="K447" s="333"/>
      <c r="L447" s="204"/>
      <c r="M447" s="198"/>
      <c r="N447" s="840"/>
      <c r="O447" s="841"/>
      <c r="P447" s="161" t="s">
        <v>1072</v>
      </c>
      <c r="Q447" s="841"/>
      <c r="R447" s="841"/>
      <c r="S447" s="841"/>
      <c r="T447" s="841"/>
      <c r="U447" s="841"/>
      <c r="V447" s="841"/>
      <c r="W447" s="841"/>
      <c r="X447" s="841"/>
      <c r="Y447" s="841"/>
      <c r="Z447" s="841"/>
      <c r="AA447" s="841"/>
      <c r="AB447" s="841"/>
      <c r="AC447" s="841"/>
      <c r="AD447" s="841"/>
      <c r="AE447" s="848"/>
      <c r="AF447" s="835"/>
      <c r="AG447" s="836"/>
      <c r="AH447" s="836"/>
      <c r="AI447" s="835"/>
      <c r="AJ447" s="836"/>
      <c r="AK447" s="836"/>
      <c r="AL447" s="809"/>
      <c r="AM447" s="132"/>
      <c r="AN447" s="132"/>
      <c r="AO447" s="132"/>
      <c r="AP447" s="132"/>
      <c r="AQ447" s="132"/>
      <c r="AR447" s="132"/>
      <c r="AS447" s="132"/>
      <c r="AT447" s="132"/>
      <c r="AU447" s="132"/>
      <c r="AV447" s="132"/>
      <c r="AW447" s="132"/>
      <c r="AX447" s="132"/>
      <c r="AY447" s="132"/>
      <c r="AZ447" s="132"/>
      <c r="BA447" s="132"/>
      <c r="BB447" s="132"/>
      <c r="BC447" s="132"/>
      <c r="BD447" s="132"/>
      <c r="BE447" s="132"/>
      <c r="BF447" s="132"/>
    </row>
    <row r="448" customFormat="false" ht="11.25" hidden="false" customHeight="true" outlineLevel="0" collapsed="false">
      <c r="A448" s="113" t="s">
        <v>1026</v>
      </c>
      <c r="E448" s="80"/>
      <c r="F448" s="810"/>
      <c r="G448" s="138" t="s">
        <v>103</v>
      </c>
      <c r="H448" s="811" t="s">
        <v>89</v>
      </c>
      <c r="I448" s="831"/>
      <c r="J448" s="335"/>
      <c r="K448" s="333" t="s">
        <v>1154</v>
      </c>
      <c r="L448" s="204" t="s">
        <v>19</v>
      </c>
      <c r="M448" s="198"/>
      <c r="N448" s="832"/>
      <c r="O448" s="833" t="s">
        <v>389</v>
      </c>
      <c r="P448" s="834"/>
      <c r="Q448" s="834"/>
      <c r="R448" s="834"/>
      <c r="S448" s="834"/>
      <c r="T448" s="834"/>
      <c r="U448" s="834"/>
      <c r="V448" s="834"/>
      <c r="W448" s="834"/>
      <c r="X448" s="834"/>
      <c r="Y448" s="834"/>
      <c r="Z448" s="834"/>
      <c r="AA448" s="834"/>
      <c r="AB448" s="834"/>
      <c r="AC448" s="834"/>
      <c r="AD448" s="834"/>
      <c r="AE448" s="834"/>
      <c r="AF448" s="835" t="n">
        <v>2021</v>
      </c>
      <c r="AG448" s="836" t="s">
        <v>1059</v>
      </c>
      <c r="AH448" s="836" t="s">
        <v>1075</v>
      </c>
      <c r="AI448" s="835" t="n">
        <v>2022</v>
      </c>
      <c r="AJ448" s="836" t="s">
        <v>1059</v>
      </c>
      <c r="AK448" s="836" t="s">
        <v>1096</v>
      </c>
      <c r="AL448" s="809"/>
      <c r="AM448" s="132"/>
      <c r="AN448" s="132"/>
      <c r="AO448" s="132"/>
      <c r="AP448" s="132"/>
      <c r="AQ448" s="132"/>
      <c r="AR448" s="132"/>
      <c r="AS448" s="132"/>
      <c r="AT448" s="132"/>
      <c r="AU448" s="132"/>
      <c r="AV448" s="132"/>
      <c r="AW448" s="132"/>
      <c r="AX448" s="132"/>
      <c r="AY448" s="132"/>
      <c r="AZ448" s="132"/>
      <c r="BA448" s="132"/>
      <c r="BB448" s="132"/>
      <c r="BC448" s="132"/>
      <c r="BD448" s="132"/>
      <c r="BE448" s="132"/>
      <c r="BF448" s="132"/>
    </row>
    <row r="449" customFormat="false" ht="11.25" hidden="false" customHeight="true" outlineLevel="0" collapsed="false">
      <c r="A449" s="113" t="s">
        <v>1026</v>
      </c>
      <c r="E449" s="80"/>
      <c r="F449" s="810"/>
      <c r="G449" s="138"/>
      <c r="H449" s="811" t="s">
        <v>102</v>
      </c>
      <c r="I449" s="831"/>
      <c r="J449" s="335"/>
      <c r="K449" s="333"/>
      <c r="L449" s="204"/>
      <c r="M449" s="198"/>
      <c r="N449" s="837"/>
      <c r="O449" s="838" t="n">
        <v>1</v>
      </c>
      <c r="P449" s="76" t="s">
        <v>61</v>
      </c>
      <c r="Q449" s="335" t="s">
        <v>1063</v>
      </c>
      <c r="R449" s="839" t="s">
        <v>1064</v>
      </c>
      <c r="S449" s="839" t="s">
        <v>99</v>
      </c>
      <c r="T449" s="839" t="s">
        <v>99</v>
      </c>
      <c r="U449" s="839" t="s">
        <v>100</v>
      </c>
      <c r="V449" s="839" t="s">
        <v>1065</v>
      </c>
      <c r="W449" s="839" t="s">
        <v>1066</v>
      </c>
      <c r="X449" s="839" t="s">
        <v>1067</v>
      </c>
      <c r="Y449" s="839" t="s">
        <v>1068</v>
      </c>
      <c r="Z449" s="840"/>
      <c r="AA449" s="841"/>
      <c r="AB449" s="841"/>
      <c r="AC449" s="842"/>
      <c r="AD449" s="842"/>
      <c r="AE449" s="843"/>
      <c r="AF449" s="835"/>
      <c r="AG449" s="836"/>
      <c r="AH449" s="836"/>
      <c r="AI449" s="835"/>
      <c r="AJ449" s="836"/>
      <c r="AK449" s="836"/>
      <c r="AL449" s="809"/>
      <c r="AM449" s="132"/>
      <c r="AN449" s="132"/>
      <c r="AO449" s="132"/>
      <c r="AP449" s="132"/>
      <c r="AQ449" s="132"/>
      <c r="AR449" s="132"/>
      <c r="AS449" s="132"/>
      <c r="AT449" s="132"/>
      <c r="AU449" s="132"/>
      <c r="AV449" s="132"/>
      <c r="AW449" s="132"/>
      <c r="AX449" s="132"/>
      <c r="AY449" s="132"/>
      <c r="AZ449" s="132"/>
      <c r="BA449" s="132"/>
      <c r="BB449" s="132"/>
      <c r="BC449" s="132"/>
      <c r="BD449" s="132"/>
      <c r="BE449" s="132"/>
      <c r="BF449" s="132"/>
    </row>
    <row r="450" customFormat="false" ht="11.25" hidden="false" customHeight="true" outlineLevel="0" collapsed="false">
      <c r="A450" s="113" t="s">
        <v>1026</v>
      </c>
      <c r="E450" s="80"/>
      <c r="F450" s="810"/>
      <c r="G450" s="138"/>
      <c r="H450" s="811" t="s">
        <v>102</v>
      </c>
      <c r="I450" s="831"/>
      <c r="J450" s="335"/>
      <c r="K450" s="333"/>
      <c r="L450" s="204"/>
      <c r="M450" s="198"/>
      <c r="N450" s="837"/>
      <c r="O450" s="838"/>
      <c r="P450" s="76"/>
      <c r="Q450" s="335"/>
      <c r="R450" s="839"/>
      <c r="S450" s="839"/>
      <c r="T450" s="839"/>
      <c r="U450" s="839"/>
      <c r="V450" s="839"/>
      <c r="W450" s="839"/>
      <c r="X450" s="839"/>
      <c r="Y450" s="839"/>
      <c r="Z450" s="844"/>
      <c r="AA450" s="845" t="n">
        <v>1</v>
      </c>
      <c r="AB450" s="846" t="s">
        <v>1069</v>
      </c>
      <c r="AC450" s="756" t="n">
        <v>0</v>
      </c>
      <c r="AD450" s="846" t="str">
        <f aca="false">AB450</f>
        <v>Прочие амортизационные отчисления</v>
      </c>
      <c r="AE450" s="756" t="n">
        <v>236.085</v>
      </c>
      <c r="AF450" s="835"/>
      <c r="AG450" s="836"/>
      <c r="AH450" s="836"/>
      <c r="AI450" s="835"/>
      <c r="AJ450" s="836"/>
      <c r="AK450" s="836"/>
      <c r="AL450" s="809"/>
      <c r="AM450" s="132"/>
      <c r="AN450" s="132"/>
      <c r="AO450" s="132"/>
      <c r="AP450" s="132"/>
      <c r="AQ450" s="132"/>
      <c r="AR450" s="132"/>
      <c r="AS450" s="132"/>
      <c r="AT450" s="132"/>
      <c r="AU450" s="132"/>
      <c r="AV450" s="132"/>
      <c r="AW450" s="132"/>
      <c r="AX450" s="132"/>
      <c r="AY450" s="132"/>
      <c r="AZ450" s="132"/>
      <c r="BA450" s="132"/>
      <c r="BB450" s="132"/>
      <c r="BC450" s="132"/>
      <c r="BD450" s="132"/>
      <c r="BE450" s="132"/>
      <c r="BF450" s="132"/>
    </row>
    <row r="451" customFormat="false" ht="11.25" hidden="false" customHeight="true" outlineLevel="0" collapsed="false">
      <c r="A451" s="113" t="s">
        <v>1026</v>
      </c>
      <c r="E451" s="80"/>
      <c r="F451" s="810"/>
      <c r="G451" s="138"/>
      <c r="H451" s="811" t="s">
        <v>102</v>
      </c>
      <c r="I451" s="831"/>
      <c r="J451" s="335"/>
      <c r="K451" s="333"/>
      <c r="L451" s="204"/>
      <c r="M451" s="198"/>
      <c r="N451" s="837"/>
      <c r="O451" s="838"/>
      <c r="P451" s="76"/>
      <c r="Q451" s="335"/>
      <c r="R451" s="839"/>
      <c r="S451" s="839"/>
      <c r="T451" s="839"/>
      <c r="U451" s="839"/>
      <c r="V451" s="839"/>
      <c r="W451" s="839"/>
      <c r="X451" s="839"/>
      <c r="Y451" s="839"/>
      <c r="Z451" s="840"/>
      <c r="AA451" s="841"/>
      <c r="AB451" s="161" t="s">
        <v>1071</v>
      </c>
      <c r="AC451" s="842"/>
      <c r="AD451" s="842"/>
      <c r="AE451" s="847"/>
      <c r="AF451" s="835"/>
      <c r="AG451" s="836"/>
      <c r="AH451" s="836"/>
      <c r="AI451" s="835"/>
      <c r="AJ451" s="836"/>
      <c r="AK451" s="836"/>
      <c r="AL451" s="809"/>
      <c r="AM451" s="132"/>
      <c r="AN451" s="132"/>
      <c r="AO451" s="132"/>
      <c r="AP451" s="132"/>
      <c r="AQ451" s="132"/>
      <c r="AR451" s="132"/>
      <c r="AS451" s="132"/>
      <c r="AT451" s="132"/>
      <c r="AU451" s="132"/>
      <c r="AV451" s="132"/>
      <c r="AW451" s="132"/>
      <c r="AX451" s="132"/>
      <c r="AY451" s="132"/>
      <c r="AZ451" s="132"/>
      <c r="BA451" s="132"/>
      <c r="BB451" s="132"/>
      <c r="BC451" s="132"/>
      <c r="BD451" s="132"/>
      <c r="BE451" s="132"/>
      <c r="BF451" s="132"/>
    </row>
    <row r="452" customFormat="false" ht="11.25" hidden="false" customHeight="true" outlineLevel="0" collapsed="false">
      <c r="A452" s="113" t="s">
        <v>1026</v>
      </c>
      <c r="E452" s="80"/>
      <c r="F452" s="810"/>
      <c r="G452" s="138"/>
      <c r="H452" s="811" t="s">
        <v>102</v>
      </c>
      <c r="I452" s="831"/>
      <c r="J452" s="335"/>
      <c r="K452" s="333"/>
      <c r="L452" s="204"/>
      <c r="M452" s="198"/>
      <c r="N452" s="840"/>
      <c r="O452" s="841"/>
      <c r="P452" s="161" t="s">
        <v>1072</v>
      </c>
      <c r="Q452" s="841"/>
      <c r="R452" s="841"/>
      <c r="S452" s="841"/>
      <c r="T452" s="841"/>
      <c r="U452" s="841"/>
      <c r="V452" s="841"/>
      <c r="W452" s="841"/>
      <c r="X452" s="841"/>
      <c r="Y452" s="841"/>
      <c r="Z452" s="841"/>
      <c r="AA452" s="841"/>
      <c r="AB452" s="841"/>
      <c r="AC452" s="841"/>
      <c r="AD452" s="841"/>
      <c r="AE452" s="848"/>
      <c r="AF452" s="835"/>
      <c r="AG452" s="836"/>
      <c r="AH452" s="836"/>
      <c r="AI452" s="835"/>
      <c r="AJ452" s="836"/>
      <c r="AK452" s="836"/>
      <c r="AL452" s="809"/>
      <c r="AM452" s="132"/>
      <c r="AN452" s="132"/>
      <c r="AO452" s="132"/>
      <c r="AP452" s="132"/>
      <c r="AQ452" s="132"/>
      <c r="AR452" s="132"/>
      <c r="AS452" s="132"/>
      <c r="AT452" s="132"/>
      <c r="AU452" s="132"/>
      <c r="AV452" s="132"/>
      <c r="AW452" s="132"/>
      <c r="AX452" s="132"/>
      <c r="AY452" s="132"/>
      <c r="AZ452" s="132"/>
      <c r="BA452" s="132"/>
      <c r="BB452" s="132"/>
      <c r="BC452" s="132"/>
      <c r="BD452" s="132"/>
      <c r="BE452" s="132"/>
      <c r="BF452" s="132"/>
    </row>
    <row r="453" customFormat="false" ht="11.25" hidden="false" customHeight="true" outlineLevel="0" collapsed="false">
      <c r="A453" s="113" t="s">
        <v>1026</v>
      </c>
      <c r="E453" s="80"/>
      <c r="F453" s="810"/>
      <c r="G453" s="138" t="s">
        <v>103</v>
      </c>
      <c r="H453" s="811" t="s">
        <v>90</v>
      </c>
      <c r="I453" s="831"/>
      <c r="J453" s="335"/>
      <c r="K453" s="333" t="s">
        <v>1155</v>
      </c>
      <c r="L453" s="204" t="s">
        <v>19</v>
      </c>
      <c r="M453" s="198"/>
      <c r="N453" s="832"/>
      <c r="O453" s="833" t="s">
        <v>389</v>
      </c>
      <c r="P453" s="834"/>
      <c r="Q453" s="834"/>
      <c r="R453" s="834"/>
      <c r="S453" s="834"/>
      <c r="T453" s="834"/>
      <c r="U453" s="834"/>
      <c r="V453" s="834"/>
      <c r="W453" s="834"/>
      <c r="X453" s="834"/>
      <c r="Y453" s="834"/>
      <c r="Z453" s="834"/>
      <c r="AA453" s="834"/>
      <c r="AB453" s="834"/>
      <c r="AC453" s="834"/>
      <c r="AD453" s="834"/>
      <c r="AE453" s="834"/>
      <c r="AF453" s="835" t="n">
        <v>2021</v>
      </c>
      <c r="AG453" s="836" t="s">
        <v>1059</v>
      </c>
      <c r="AH453" s="836" t="s">
        <v>1096</v>
      </c>
      <c r="AI453" s="835" t="n">
        <v>2022</v>
      </c>
      <c r="AJ453" s="836" t="s">
        <v>1059</v>
      </c>
      <c r="AK453" s="836" t="s">
        <v>1096</v>
      </c>
      <c r="AL453" s="809"/>
      <c r="AM453" s="132"/>
      <c r="AN453" s="132"/>
      <c r="AO453" s="132"/>
      <c r="AP453" s="132"/>
      <c r="AQ453" s="132"/>
      <c r="AR453" s="132"/>
      <c r="AS453" s="132"/>
      <c r="AT453" s="132"/>
      <c r="AU453" s="132"/>
      <c r="AV453" s="132"/>
      <c r="AW453" s="132"/>
      <c r="AX453" s="132"/>
      <c r="AY453" s="132"/>
      <c r="AZ453" s="132"/>
      <c r="BA453" s="132"/>
      <c r="BB453" s="132"/>
      <c r="BC453" s="132"/>
      <c r="BD453" s="132"/>
      <c r="BE453" s="132"/>
      <c r="BF453" s="132"/>
    </row>
    <row r="454" customFormat="false" ht="11.25" hidden="false" customHeight="true" outlineLevel="0" collapsed="false">
      <c r="A454" s="113" t="s">
        <v>1026</v>
      </c>
      <c r="E454" s="80"/>
      <c r="F454" s="810"/>
      <c r="G454" s="138"/>
      <c r="H454" s="811" t="s">
        <v>89</v>
      </c>
      <c r="I454" s="831"/>
      <c r="J454" s="335"/>
      <c r="K454" s="333"/>
      <c r="L454" s="204"/>
      <c r="M454" s="198"/>
      <c r="N454" s="837"/>
      <c r="O454" s="838" t="n">
        <v>1</v>
      </c>
      <c r="P454" s="76" t="s">
        <v>61</v>
      </c>
      <c r="Q454" s="335" t="s">
        <v>1063</v>
      </c>
      <c r="R454" s="839" t="s">
        <v>1064</v>
      </c>
      <c r="S454" s="839" t="s">
        <v>99</v>
      </c>
      <c r="T454" s="839" t="s">
        <v>99</v>
      </c>
      <c r="U454" s="839" t="s">
        <v>100</v>
      </c>
      <c r="V454" s="839" t="s">
        <v>1065</v>
      </c>
      <c r="W454" s="839" t="s">
        <v>1066</v>
      </c>
      <c r="X454" s="839" t="s">
        <v>1067</v>
      </c>
      <c r="Y454" s="839" t="s">
        <v>1068</v>
      </c>
      <c r="Z454" s="840"/>
      <c r="AA454" s="841"/>
      <c r="AB454" s="841"/>
      <c r="AC454" s="842"/>
      <c r="AD454" s="842"/>
      <c r="AE454" s="843"/>
      <c r="AF454" s="835"/>
      <c r="AG454" s="836"/>
      <c r="AH454" s="836"/>
      <c r="AI454" s="835"/>
      <c r="AJ454" s="836"/>
      <c r="AK454" s="836"/>
      <c r="AL454" s="809"/>
      <c r="AM454" s="132"/>
      <c r="AN454" s="132"/>
      <c r="AO454" s="132"/>
      <c r="AP454" s="132"/>
      <c r="AQ454" s="132"/>
      <c r="AR454" s="132"/>
      <c r="AS454" s="132"/>
      <c r="AT454" s="132"/>
      <c r="AU454" s="132"/>
      <c r="AV454" s="132"/>
      <c r="AW454" s="132"/>
      <c r="AX454" s="132"/>
      <c r="AY454" s="132"/>
      <c r="AZ454" s="132"/>
      <c r="BA454" s="132"/>
      <c r="BB454" s="132"/>
      <c r="BC454" s="132"/>
      <c r="BD454" s="132"/>
      <c r="BE454" s="132"/>
      <c r="BF454" s="132"/>
    </row>
    <row r="455" customFormat="false" ht="11.25" hidden="false" customHeight="true" outlineLevel="0" collapsed="false">
      <c r="A455" s="113" t="s">
        <v>1026</v>
      </c>
      <c r="E455" s="80"/>
      <c r="F455" s="810"/>
      <c r="G455" s="138"/>
      <c r="H455" s="811" t="s">
        <v>89</v>
      </c>
      <c r="I455" s="831"/>
      <c r="J455" s="335"/>
      <c r="K455" s="333"/>
      <c r="L455" s="204"/>
      <c r="M455" s="198"/>
      <c r="N455" s="837"/>
      <c r="O455" s="838"/>
      <c r="P455" s="76"/>
      <c r="Q455" s="335"/>
      <c r="R455" s="839"/>
      <c r="S455" s="839"/>
      <c r="T455" s="839"/>
      <c r="U455" s="839"/>
      <c r="V455" s="839"/>
      <c r="W455" s="839"/>
      <c r="X455" s="839"/>
      <c r="Y455" s="839"/>
      <c r="Z455" s="844"/>
      <c r="AA455" s="845" t="n">
        <v>1</v>
      </c>
      <c r="AB455" s="846" t="s">
        <v>1069</v>
      </c>
      <c r="AC455" s="756" t="n">
        <v>272.99253</v>
      </c>
      <c r="AD455" s="846" t="str">
        <f aca="false">AB455</f>
        <v>Прочие амортизационные отчисления</v>
      </c>
      <c r="AE455" s="756" t="n">
        <v>1404.408</v>
      </c>
      <c r="AF455" s="835"/>
      <c r="AG455" s="836"/>
      <c r="AH455" s="836"/>
      <c r="AI455" s="835"/>
      <c r="AJ455" s="836"/>
      <c r="AK455" s="836"/>
      <c r="AL455" s="809"/>
      <c r="AM455" s="132"/>
      <c r="AN455" s="132"/>
      <c r="AO455" s="132"/>
      <c r="AP455" s="132"/>
      <c r="AQ455" s="132"/>
      <c r="AR455" s="132"/>
      <c r="AS455" s="132"/>
      <c r="AT455" s="132"/>
      <c r="AU455" s="132"/>
      <c r="AV455" s="132"/>
      <c r="AW455" s="132"/>
      <c r="AX455" s="132"/>
      <c r="AY455" s="132"/>
      <c r="AZ455" s="132"/>
      <c r="BA455" s="132"/>
      <c r="BB455" s="132"/>
      <c r="BC455" s="132"/>
      <c r="BD455" s="132"/>
      <c r="BE455" s="132"/>
      <c r="BF455" s="132"/>
    </row>
    <row r="456" customFormat="false" ht="11.25" hidden="false" customHeight="true" outlineLevel="0" collapsed="false">
      <c r="A456" s="113" t="s">
        <v>1026</v>
      </c>
      <c r="E456" s="80"/>
      <c r="F456" s="810"/>
      <c r="G456" s="138"/>
      <c r="H456" s="811" t="s">
        <v>89</v>
      </c>
      <c r="I456" s="831"/>
      <c r="J456" s="335"/>
      <c r="K456" s="333"/>
      <c r="L456" s="204"/>
      <c r="M456" s="198"/>
      <c r="N456" s="837"/>
      <c r="O456" s="838"/>
      <c r="P456" s="76"/>
      <c r="Q456" s="335"/>
      <c r="R456" s="839"/>
      <c r="S456" s="839"/>
      <c r="T456" s="839"/>
      <c r="U456" s="839"/>
      <c r="V456" s="839"/>
      <c r="W456" s="839"/>
      <c r="X456" s="839"/>
      <c r="Y456" s="839"/>
      <c r="Z456" s="840"/>
      <c r="AA456" s="841"/>
      <c r="AB456" s="161" t="s">
        <v>1071</v>
      </c>
      <c r="AC456" s="842"/>
      <c r="AD456" s="842"/>
      <c r="AE456" s="847"/>
      <c r="AF456" s="835"/>
      <c r="AG456" s="836"/>
      <c r="AH456" s="836"/>
      <c r="AI456" s="835"/>
      <c r="AJ456" s="836"/>
      <c r="AK456" s="836"/>
      <c r="AL456" s="809"/>
      <c r="AM456" s="132"/>
      <c r="AN456" s="132"/>
      <c r="AO456" s="132"/>
      <c r="AP456" s="132"/>
      <c r="AQ456" s="132"/>
      <c r="AR456" s="132"/>
      <c r="AS456" s="132"/>
      <c r="AT456" s="132"/>
      <c r="AU456" s="132"/>
      <c r="AV456" s="132"/>
      <c r="AW456" s="132"/>
      <c r="AX456" s="132"/>
      <c r="AY456" s="132"/>
      <c r="AZ456" s="132"/>
      <c r="BA456" s="132"/>
      <c r="BB456" s="132"/>
      <c r="BC456" s="132"/>
      <c r="BD456" s="132"/>
      <c r="BE456" s="132"/>
      <c r="BF456" s="132"/>
    </row>
    <row r="457" customFormat="false" ht="11.25" hidden="false" customHeight="true" outlineLevel="0" collapsed="false">
      <c r="A457" s="113" t="s">
        <v>1026</v>
      </c>
      <c r="E457" s="80"/>
      <c r="F457" s="810"/>
      <c r="G457" s="138"/>
      <c r="H457" s="811" t="s">
        <v>89</v>
      </c>
      <c r="I457" s="831"/>
      <c r="J457" s="335"/>
      <c r="K457" s="333"/>
      <c r="L457" s="204"/>
      <c r="M457" s="198"/>
      <c r="N457" s="840"/>
      <c r="O457" s="841"/>
      <c r="P457" s="161" t="s">
        <v>1072</v>
      </c>
      <c r="Q457" s="841"/>
      <c r="R457" s="841"/>
      <c r="S457" s="841"/>
      <c r="T457" s="841"/>
      <c r="U457" s="841"/>
      <c r="V457" s="841"/>
      <c r="W457" s="841"/>
      <c r="X457" s="841"/>
      <c r="Y457" s="841"/>
      <c r="Z457" s="841"/>
      <c r="AA457" s="841"/>
      <c r="AB457" s="841"/>
      <c r="AC457" s="841"/>
      <c r="AD457" s="841"/>
      <c r="AE457" s="848"/>
      <c r="AF457" s="835"/>
      <c r="AG457" s="836"/>
      <c r="AH457" s="836"/>
      <c r="AI457" s="835"/>
      <c r="AJ457" s="836"/>
      <c r="AK457" s="836"/>
      <c r="AL457" s="809"/>
      <c r="AM457" s="132"/>
      <c r="AN457" s="132"/>
      <c r="AO457" s="132"/>
      <c r="AP457" s="132"/>
      <c r="AQ457" s="132"/>
      <c r="AR457" s="132"/>
      <c r="AS457" s="132"/>
      <c r="AT457" s="132"/>
      <c r="AU457" s="132"/>
      <c r="AV457" s="132"/>
      <c r="AW457" s="132"/>
      <c r="AX457" s="132"/>
      <c r="AY457" s="132"/>
      <c r="AZ457" s="132"/>
      <c r="BA457" s="132"/>
      <c r="BB457" s="132"/>
      <c r="BC457" s="132"/>
      <c r="BD457" s="132"/>
      <c r="BE457" s="132"/>
      <c r="BF457" s="132"/>
    </row>
    <row r="458" customFormat="false" ht="11.25" hidden="false" customHeight="true" outlineLevel="0" collapsed="false">
      <c r="A458" s="113" t="s">
        <v>1026</v>
      </c>
      <c r="E458" s="80"/>
      <c r="F458" s="810"/>
      <c r="G458" s="138" t="s">
        <v>103</v>
      </c>
      <c r="H458" s="811" t="s">
        <v>121</v>
      </c>
      <c r="I458" s="831"/>
      <c r="J458" s="335"/>
      <c r="K458" s="333" t="s">
        <v>1167</v>
      </c>
      <c r="L458" s="204" t="s">
        <v>19</v>
      </c>
      <c r="M458" s="198"/>
      <c r="N458" s="832"/>
      <c r="O458" s="833" t="s">
        <v>389</v>
      </c>
      <c r="P458" s="834"/>
      <c r="Q458" s="834"/>
      <c r="R458" s="834"/>
      <c r="S458" s="834"/>
      <c r="T458" s="834"/>
      <c r="U458" s="834"/>
      <c r="V458" s="834"/>
      <c r="W458" s="834"/>
      <c r="X458" s="834"/>
      <c r="Y458" s="834"/>
      <c r="Z458" s="834"/>
      <c r="AA458" s="834"/>
      <c r="AB458" s="834"/>
      <c r="AC458" s="834"/>
      <c r="AD458" s="834"/>
      <c r="AE458" s="834"/>
      <c r="AF458" s="835" t="n">
        <v>2023</v>
      </c>
      <c r="AG458" s="836" t="s">
        <v>1059</v>
      </c>
      <c r="AH458" s="836" t="s">
        <v>1104</v>
      </c>
      <c r="AI458" s="835" t="n">
        <v>2023</v>
      </c>
      <c r="AJ458" s="836" t="s">
        <v>1086</v>
      </c>
      <c r="AK458" s="836" t="s">
        <v>1104</v>
      </c>
      <c r="AL458" s="809"/>
      <c r="AM458" s="132"/>
      <c r="AN458" s="132"/>
      <c r="AO458" s="132"/>
      <c r="AP458" s="132"/>
      <c r="AQ458" s="132"/>
      <c r="AR458" s="132"/>
      <c r="AS458" s="132"/>
      <c r="AT458" s="132"/>
      <c r="AU458" s="132"/>
      <c r="AV458" s="132"/>
      <c r="AW458" s="132"/>
      <c r="AX458" s="132"/>
      <c r="AY458" s="132"/>
      <c r="AZ458" s="132"/>
      <c r="BA458" s="132"/>
      <c r="BB458" s="132"/>
      <c r="BC458" s="132"/>
      <c r="BD458" s="132"/>
      <c r="BE458" s="132"/>
      <c r="BF458" s="132"/>
    </row>
    <row r="459" customFormat="false" ht="11.25" hidden="false" customHeight="true" outlineLevel="0" collapsed="false">
      <c r="A459" s="113" t="s">
        <v>1026</v>
      </c>
      <c r="E459" s="80"/>
      <c r="F459" s="810"/>
      <c r="G459" s="138"/>
      <c r="H459" s="811" t="s">
        <v>90</v>
      </c>
      <c r="I459" s="831"/>
      <c r="J459" s="335"/>
      <c r="K459" s="333"/>
      <c r="L459" s="204"/>
      <c r="M459" s="198"/>
      <c r="N459" s="837"/>
      <c r="O459" s="838" t="n">
        <v>1</v>
      </c>
      <c r="P459" s="76" t="s">
        <v>61</v>
      </c>
      <c r="Q459" s="335" t="s">
        <v>1063</v>
      </c>
      <c r="R459" s="839" t="s">
        <v>1064</v>
      </c>
      <c r="S459" s="839" t="s">
        <v>99</v>
      </c>
      <c r="T459" s="839" t="s">
        <v>99</v>
      </c>
      <c r="U459" s="839" t="s">
        <v>100</v>
      </c>
      <c r="V459" s="839" t="s">
        <v>1065</v>
      </c>
      <c r="W459" s="839" t="s">
        <v>1066</v>
      </c>
      <c r="X459" s="839" t="s">
        <v>1067</v>
      </c>
      <c r="Y459" s="839" t="s">
        <v>1068</v>
      </c>
      <c r="Z459" s="840"/>
      <c r="AA459" s="841"/>
      <c r="AB459" s="841"/>
      <c r="AC459" s="842"/>
      <c r="AD459" s="842"/>
      <c r="AE459" s="843"/>
      <c r="AF459" s="835"/>
      <c r="AG459" s="836"/>
      <c r="AH459" s="836"/>
      <c r="AI459" s="835"/>
      <c r="AJ459" s="836"/>
      <c r="AK459" s="836"/>
      <c r="AL459" s="809"/>
      <c r="AM459" s="132"/>
      <c r="AN459" s="132"/>
      <c r="AO459" s="132"/>
      <c r="AP459" s="132"/>
      <c r="AQ459" s="132"/>
      <c r="AR459" s="132"/>
      <c r="AS459" s="132"/>
      <c r="AT459" s="132"/>
      <c r="AU459" s="132"/>
      <c r="AV459" s="132"/>
      <c r="AW459" s="132"/>
      <c r="AX459" s="132"/>
      <c r="AY459" s="132"/>
      <c r="AZ459" s="132"/>
      <c r="BA459" s="132"/>
      <c r="BB459" s="132"/>
      <c r="BC459" s="132"/>
      <c r="BD459" s="132"/>
      <c r="BE459" s="132"/>
      <c r="BF459" s="132"/>
    </row>
    <row r="460" customFormat="false" ht="11.25" hidden="false" customHeight="true" outlineLevel="0" collapsed="false">
      <c r="A460" s="113" t="s">
        <v>1026</v>
      </c>
      <c r="E460" s="80"/>
      <c r="F460" s="810"/>
      <c r="G460" s="138"/>
      <c r="H460" s="811" t="s">
        <v>90</v>
      </c>
      <c r="I460" s="831"/>
      <c r="J460" s="335"/>
      <c r="K460" s="333"/>
      <c r="L460" s="204"/>
      <c r="M460" s="198"/>
      <c r="N460" s="837"/>
      <c r="O460" s="838"/>
      <c r="P460" s="76"/>
      <c r="Q460" s="335"/>
      <c r="R460" s="839"/>
      <c r="S460" s="839"/>
      <c r="T460" s="839"/>
      <c r="U460" s="839"/>
      <c r="V460" s="839"/>
      <c r="W460" s="839"/>
      <c r="X460" s="839"/>
      <c r="Y460" s="839"/>
      <c r="Z460" s="844"/>
      <c r="AA460" s="845" t="n">
        <v>1</v>
      </c>
      <c r="AB460" s="846" t="s">
        <v>1069</v>
      </c>
      <c r="AC460" s="756" t="n">
        <v>0</v>
      </c>
      <c r="AD460" s="846" t="str">
        <f aca="false">AB460</f>
        <v>Прочие амортизационные отчисления</v>
      </c>
      <c r="AE460" s="756" t="n">
        <v>17.0064</v>
      </c>
      <c r="AF460" s="835"/>
      <c r="AG460" s="836"/>
      <c r="AH460" s="836"/>
      <c r="AI460" s="835"/>
      <c r="AJ460" s="836"/>
      <c r="AK460" s="836"/>
      <c r="AL460" s="809"/>
      <c r="AM460" s="132"/>
      <c r="AN460" s="132"/>
      <c r="AO460" s="132"/>
      <c r="AP460" s="132"/>
      <c r="AQ460" s="132"/>
      <c r="AR460" s="132"/>
      <c r="AS460" s="132"/>
      <c r="AT460" s="132"/>
      <c r="AU460" s="132"/>
      <c r="AV460" s="132"/>
      <c r="AW460" s="132"/>
      <c r="AX460" s="132"/>
      <c r="AY460" s="132"/>
      <c r="AZ460" s="132"/>
      <c r="BA460" s="132"/>
      <c r="BB460" s="132"/>
      <c r="BC460" s="132"/>
      <c r="BD460" s="132"/>
      <c r="BE460" s="132"/>
      <c r="BF460" s="132"/>
    </row>
    <row r="461" customFormat="false" ht="11.25" hidden="false" customHeight="true" outlineLevel="0" collapsed="false">
      <c r="A461" s="113" t="s">
        <v>1026</v>
      </c>
      <c r="E461" s="80"/>
      <c r="F461" s="810"/>
      <c r="G461" s="138"/>
      <c r="H461" s="811" t="s">
        <v>90</v>
      </c>
      <c r="I461" s="831"/>
      <c r="J461" s="335"/>
      <c r="K461" s="333"/>
      <c r="L461" s="204"/>
      <c r="M461" s="198"/>
      <c r="N461" s="837"/>
      <c r="O461" s="838"/>
      <c r="P461" s="76"/>
      <c r="Q461" s="335"/>
      <c r="R461" s="839"/>
      <c r="S461" s="839"/>
      <c r="T461" s="839"/>
      <c r="U461" s="839"/>
      <c r="V461" s="839"/>
      <c r="W461" s="839"/>
      <c r="X461" s="839"/>
      <c r="Y461" s="839"/>
      <c r="Z461" s="840"/>
      <c r="AA461" s="841"/>
      <c r="AB461" s="161" t="s">
        <v>1071</v>
      </c>
      <c r="AC461" s="842"/>
      <c r="AD461" s="842"/>
      <c r="AE461" s="847"/>
      <c r="AF461" s="835"/>
      <c r="AG461" s="836"/>
      <c r="AH461" s="836"/>
      <c r="AI461" s="835"/>
      <c r="AJ461" s="836"/>
      <c r="AK461" s="836"/>
      <c r="AL461" s="809"/>
      <c r="AM461" s="132"/>
      <c r="AN461" s="132"/>
      <c r="AO461" s="132"/>
      <c r="AP461" s="132"/>
      <c r="AQ461" s="132"/>
      <c r="AR461" s="132"/>
      <c r="AS461" s="132"/>
      <c r="AT461" s="132"/>
      <c r="AU461" s="132"/>
      <c r="AV461" s="132"/>
      <c r="AW461" s="132"/>
      <c r="AX461" s="132"/>
      <c r="AY461" s="132"/>
      <c r="AZ461" s="132"/>
      <c r="BA461" s="132"/>
      <c r="BB461" s="132"/>
      <c r="BC461" s="132"/>
      <c r="BD461" s="132"/>
      <c r="BE461" s="132"/>
      <c r="BF461" s="132"/>
    </row>
    <row r="462" customFormat="false" ht="11.25" hidden="false" customHeight="true" outlineLevel="0" collapsed="false">
      <c r="A462" s="113" t="s">
        <v>1026</v>
      </c>
      <c r="E462" s="80"/>
      <c r="F462" s="810"/>
      <c r="G462" s="138"/>
      <c r="H462" s="811" t="s">
        <v>90</v>
      </c>
      <c r="I462" s="831"/>
      <c r="J462" s="335"/>
      <c r="K462" s="333"/>
      <c r="L462" s="204"/>
      <c r="M462" s="198"/>
      <c r="N462" s="840"/>
      <c r="O462" s="841"/>
      <c r="P462" s="161" t="s">
        <v>1072</v>
      </c>
      <c r="Q462" s="841"/>
      <c r="R462" s="841"/>
      <c r="S462" s="841"/>
      <c r="T462" s="841"/>
      <c r="U462" s="841"/>
      <c r="V462" s="841"/>
      <c r="W462" s="841"/>
      <c r="X462" s="841"/>
      <c r="Y462" s="841"/>
      <c r="Z462" s="841"/>
      <c r="AA462" s="841"/>
      <c r="AB462" s="841"/>
      <c r="AC462" s="841"/>
      <c r="AD462" s="841"/>
      <c r="AE462" s="848"/>
      <c r="AF462" s="835"/>
      <c r="AG462" s="836"/>
      <c r="AH462" s="836"/>
      <c r="AI462" s="835"/>
      <c r="AJ462" s="836"/>
      <c r="AK462" s="836"/>
      <c r="AL462" s="809"/>
      <c r="AM462" s="132"/>
      <c r="AN462" s="132"/>
      <c r="AO462" s="132"/>
      <c r="AP462" s="132"/>
      <c r="AQ462" s="132"/>
      <c r="AR462" s="132"/>
      <c r="AS462" s="132"/>
      <c r="AT462" s="132"/>
      <c r="AU462" s="132"/>
      <c r="AV462" s="132"/>
      <c r="AW462" s="132"/>
      <c r="AX462" s="132"/>
      <c r="AY462" s="132"/>
      <c r="AZ462" s="132"/>
      <c r="BA462" s="132"/>
      <c r="BB462" s="132"/>
      <c r="BC462" s="132"/>
      <c r="BD462" s="132"/>
      <c r="BE462" s="132"/>
      <c r="BF462" s="132"/>
    </row>
    <row r="463" customFormat="false" ht="11.25" hidden="false" customHeight="true" outlineLevel="0" collapsed="false">
      <c r="A463" s="113" t="s">
        <v>1026</v>
      </c>
      <c r="E463" s="80"/>
      <c r="F463" s="810"/>
      <c r="G463" s="138" t="s">
        <v>103</v>
      </c>
      <c r="H463" s="811" t="s">
        <v>91</v>
      </c>
      <c r="I463" s="831"/>
      <c r="J463" s="335"/>
      <c r="K463" s="333" t="s">
        <v>1168</v>
      </c>
      <c r="L463" s="204" t="s">
        <v>19</v>
      </c>
      <c r="M463" s="198"/>
      <c r="N463" s="832"/>
      <c r="O463" s="833" t="s">
        <v>389</v>
      </c>
      <c r="P463" s="834"/>
      <c r="Q463" s="834"/>
      <c r="R463" s="834"/>
      <c r="S463" s="834"/>
      <c r="T463" s="834"/>
      <c r="U463" s="834"/>
      <c r="V463" s="834"/>
      <c r="W463" s="834"/>
      <c r="X463" s="834"/>
      <c r="Y463" s="834"/>
      <c r="Z463" s="834"/>
      <c r="AA463" s="834"/>
      <c r="AB463" s="834"/>
      <c r="AC463" s="834"/>
      <c r="AD463" s="834"/>
      <c r="AE463" s="834"/>
      <c r="AF463" s="835" t="n">
        <v>2023</v>
      </c>
      <c r="AG463" s="836" t="s">
        <v>1059</v>
      </c>
      <c r="AH463" s="836" t="s">
        <v>1104</v>
      </c>
      <c r="AI463" s="835" t="n">
        <v>2023</v>
      </c>
      <c r="AJ463" s="836" t="s">
        <v>1093</v>
      </c>
      <c r="AK463" s="836" t="s">
        <v>1104</v>
      </c>
      <c r="AL463" s="809"/>
      <c r="AM463" s="132"/>
      <c r="AN463" s="132"/>
      <c r="AO463" s="132"/>
      <c r="AP463" s="132"/>
      <c r="AQ463" s="132"/>
      <c r="AR463" s="132"/>
      <c r="AS463" s="132"/>
      <c r="AT463" s="132"/>
      <c r="AU463" s="132"/>
      <c r="AV463" s="132"/>
      <c r="AW463" s="132"/>
      <c r="AX463" s="132"/>
      <c r="AY463" s="132"/>
      <c r="AZ463" s="132"/>
      <c r="BA463" s="132"/>
      <c r="BB463" s="132"/>
      <c r="BC463" s="132"/>
      <c r="BD463" s="132"/>
      <c r="BE463" s="132"/>
      <c r="BF463" s="132"/>
    </row>
    <row r="464" customFormat="false" ht="11.25" hidden="false" customHeight="true" outlineLevel="0" collapsed="false">
      <c r="A464" s="113" t="s">
        <v>1026</v>
      </c>
      <c r="E464" s="80"/>
      <c r="F464" s="810"/>
      <c r="G464" s="138"/>
      <c r="H464" s="811" t="s">
        <v>121</v>
      </c>
      <c r="I464" s="831"/>
      <c r="J464" s="335"/>
      <c r="K464" s="333"/>
      <c r="L464" s="204"/>
      <c r="M464" s="198"/>
      <c r="N464" s="837"/>
      <c r="O464" s="838" t="n">
        <v>1</v>
      </c>
      <c r="P464" s="76" t="s">
        <v>61</v>
      </c>
      <c r="Q464" s="335" t="s">
        <v>1063</v>
      </c>
      <c r="R464" s="839" t="s">
        <v>1064</v>
      </c>
      <c r="S464" s="839" t="s">
        <v>99</v>
      </c>
      <c r="T464" s="839" t="s">
        <v>99</v>
      </c>
      <c r="U464" s="839" t="s">
        <v>100</v>
      </c>
      <c r="V464" s="839" t="s">
        <v>1065</v>
      </c>
      <c r="W464" s="839" t="s">
        <v>1066</v>
      </c>
      <c r="X464" s="839" t="s">
        <v>1067</v>
      </c>
      <c r="Y464" s="839" t="s">
        <v>1068</v>
      </c>
      <c r="Z464" s="840"/>
      <c r="AA464" s="841"/>
      <c r="AB464" s="841"/>
      <c r="AC464" s="842"/>
      <c r="AD464" s="842"/>
      <c r="AE464" s="843"/>
      <c r="AF464" s="835"/>
      <c r="AG464" s="836"/>
      <c r="AH464" s="836"/>
      <c r="AI464" s="835"/>
      <c r="AJ464" s="836"/>
      <c r="AK464" s="836"/>
      <c r="AL464" s="809"/>
      <c r="AM464" s="132"/>
      <c r="AN464" s="132"/>
      <c r="AO464" s="132"/>
      <c r="AP464" s="132"/>
      <c r="AQ464" s="132"/>
      <c r="AR464" s="132"/>
      <c r="AS464" s="132"/>
      <c r="AT464" s="132"/>
      <c r="AU464" s="132"/>
      <c r="AV464" s="132"/>
      <c r="AW464" s="132"/>
      <c r="AX464" s="132"/>
      <c r="AY464" s="132"/>
      <c r="AZ464" s="132"/>
      <c r="BA464" s="132"/>
      <c r="BB464" s="132"/>
      <c r="BC464" s="132"/>
      <c r="BD464" s="132"/>
      <c r="BE464" s="132"/>
      <c r="BF464" s="132"/>
    </row>
    <row r="465" customFormat="false" ht="11.25" hidden="false" customHeight="true" outlineLevel="0" collapsed="false">
      <c r="A465" s="113" t="s">
        <v>1026</v>
      </c>
      <c r="E465" s="80"/>
      <c r="F465" s="810"/>
      <c r="G465" s="138"/>
      <c r="H465" s="811" t="s">
        <v>121</v>
      </c>
      <c r="I465" s="831"/>
      <c r="J465" s="335"/>
      <c r="K465" s="333"/>
      <c r="L465" s="204"/>
      <c r="M465" s="198"/>
      <c r="N465" s="837"/>
      <c r="O465" s="838"/>
      <c r="P465" s="76"/>
      <c r="Q465" s="335"/>
      <c r="R465" s="839"/>
      <c r="S465" s="839"/>
      <c r="T465" s="839"/>
      <c r="U465" s="839"/>
      <c r="V465" s="839"/>
      <c r="W465" s="839"/>
      <c r="X465" s="839"/>
      <c r="Y465" s="839"/>
      <c r="Z465" s="844"/>
      <c r="AA465" s="845" t="n">
        <v>1</v>
      </c>
      <c r="AB465" s="846" t="s">
        <v>1069</v>
      </c>
      <c r="AC465" s="756" t="n">
        <v>0</v>
      </c>
      <c r="AD465" s="846" t="str">
        <f aca="false">AB465</f>
        <v>Прочие амортизационные отчисления</v>
      </c>
      <c r="AE465" s="756" t="n">
        <v>17.0064</v>
      </c>
      <c r="AF465" s="835"/>
      <c r="AG465" s="836"/>
      <c r="AH465" s="836"/>
      <c r="AI465" s="835"/>
      <c r="AJ465" s="836"/>
      <c r="AK465" s="836"/>
      <c r="AL465" s="809"/>
      <c r="AM465" s="132"/>
      <c r="AN465" s="132"/>
      <c r="AO465" s="132"/>
      <c r="AP465" s="132"/>
      <c r="AQ465" s="132"/>
      <c r="AR465" s="132"/>
      <c r="AS465" s="132"/>
      <c r="AT465" s="132"/>
      <c r="AU465" s="132"/>
      <c r="AV465" s="132"/>
      <c r="AW465" s="132"/>
      <c r="AX465" s="132"/>
      <c r="AY465" s="132"/>
      <c r="AZ465" s="132"/>
      <c r="BA465" s="132"/>
      <c r="BB465" s="132"/>
      <c r="BC465" s="132"/>
      <c r="BD465" s="132"/>
      <c r="BE465" s="132"/>
      <c r="BF465" s="132"/>
    </row>
    <row r="466" customFormat="false" ht="11.25" hidden="false" customHeight="true" outlineLevel="0" collapsed="false">
      <c r="A466" s="113" t="s">
        <v>1026</v>
      </c>
      <c r="E466" s="80"/>
      <c r="F466" s="810"/>
      <c r="G466" s="138"/>
      <c r="H466" s="811" t="s">
        <v>121</v>
      </c>
      <c r="I466" s="831"/>
      <c r="J466" s="335"/>
      <c r="K466" s="333"/>
      <c r="L466" s="204"/>
      <c r="M466" s="198"/>
      <c r="N466" s="837"/>
      <c r="O466" s="838"/>
      <c r="P466" s="76"/>
      <c r="Q466" s="335"/>
      <c r="R466" s="839"/>
      <c r="S466" s="839"/>
      <c r="T466" s="839"/>
      <c r="U466" s="839"/>
      <c r="V466" s="839"/>
      <c r="W466" s="839"/>
      <c r="X466" s="839"/>
      <c r="Y466" s="839"/>
      <c r="Z466" s="840"/>
      <c r="AA466" s="841"/>
      <c r="AB466" s="161" t="s">
        <v>1071</v>
      </c>
      <c r="AC466" s="842"/>
      <c r="AD466" s="842"/>
      <c r="AE466" s="847"/>
      <c r="AF466" s="835"/>
      <c r="AG466" s="836"/>
      <c r="AH466" s="836"/>
      <c r="AI466" s="835"/>
      <c r="AJ466" s="836"/>
      <c r="AK466" s="836"/>
      <c r="AL466" s="809"/>
      <c r="AM466" s="132"/>
      <c r="AN466" s="132"/>
      <c r="AO466" s="132"/>
      <c r="AP466" s="132"/>
      <c r="AQ466" s="132"/>
      <c r="AR466" s="132"/>
      <c r="AS466" s="132"/>
      <c r="AT466" s="132"/>
      <c r="AU466" s="132"/>
      <c r="AV466" s="132"/>
      <c r="AW466" s="132"/>
      <c r="AX466" s="132"/>
      <c r="AY466" s="132"/>
      <c r="AZ466" s="132"/>
      <c r="BA466" s="132"/>
      <c r="BB466" s="132"/>
      <c r="BC466" s="132"/>
      <c r="BD466" s="132"/>
      <c r="BE466" s="132"/>
      <c r="BF466" s="132"/>
    </row>
    <row r="467" customFormat="false" ht="11.25" hidden="false" customHeight="true" outlineLevel="0" collapsed="false">
      <c r="A467" s="113" t="s">
        <v>1026</v>
      </c>
      <c r="E467" s="80"/>
      <c r="F467" s="810"/>
      <c r="G467" s="138"/>
      <c r="H467" s="811" t="s">
        <v>121</v>
      </c>
      <c r="I467" s="831"/>
      <c r="J467" s="335"/>
      <c r="K467" s="333"/>
      <c r="L467" s="204"/>
      <c r="M467" s="198"/>
      <c r="N467" s="840"/>
      <c r="O467" s="841"/>
      <c r="P467" s="161" t="s">
        <v>1072</v>
      </c>
      <c r="Q467" s="841"/>
      <c r="R467" s="841"/>
      <c r="S467" s="841"/>
      <c r="T467" s="841"/>
      <c r="U467" s="841"/>
      <c r="V467" s="841"/>
      <c r="W467" s="841"/>
      <c r="X467" s="841"/>
      <c r="Y467" s="841"/>
      <c r="Z467" s="841"/>
      <c r="AA467" s="841"/>
      <c r="AB467" s="841"/>
      <c r="AC467" s="841"/>
      <c r="AD467" s="841"/>
      <c r="AE467" s="848"/>
      <c r="AF467" s="835"/>
      <c r="AG467" s="836"/>
      <c r="AH467" s="836"/>
      <c r="AI467" s="835"/>
      <c r="AJ467" s="836"/>
      <c r="AK467" s="836"/>
      <c r="AL467" s="809"/>
      <c r="AM467" s="132"/>
      <c r="AN467" s="132"/>
      <c r="AO467" s="132"/>
      <c r="AP467" s="132"/>
      <c r="AQ467" s="132"/>
      <c r="AR467" s="132"/>
      <c r="AS467" s="132"/>
      <c r="AT467" s="132"/>
      <c r="AU467" s="132"/>
      <c r="AV467" s="132"/>
      <c r="AW467" s="132"/>
      <c r="AX467" s="132"/>
      <c r="AY467" s="132"/>
      <c r="AZ467" s="132"/>
      <c r="BA467" s="132"/>
      <c r="BB467" s="132"/>
      <c r="BC467" s="132"/>
      <c r="BD467" s="132"/>
      <c r="BE467" s="132"/>
      <c r="BF467" s="132"/>
    </row>
    <row r="468" customFormat="false" ht="11.25" hidden="false" customHeight="true" outlineLevel="0" collapsed="false">
      <c r="A468" s="113" t="s">
        <v>1026</v>
      </c>
      <c r="E468" s="80"/>
      <c r="F468" s="810"/>
      <c r="G468" s="138" t="s">
        <v>103</v>
      </c>
      <c r="H468" s="811" t="s">
        <v>92</v>
      </c>
      <c r="I468" s="831"/>
      <c r="J468" s="335"/>
      <c r="K468" s="333" t="s">
        <v>1169</v>
      </c>
      <c r="L468" s="204" t="s">
        <v>19</v>
      </c>
      <c r="M468" s="198"/>
      <c r="N468" s="832"/>
      <c r="O468" s="833" t="s">
        <v>389</v>
      </c>
      <c r="P468" s="834"/>
      <c r="Q468" s="834"/>
      <c r="R468" s="834"/>
      <c r="S468" s="834"/>
      <c r="T468" s="834"/>
      <c r="U468" s="834"/>
      <c r="V468" s="834"/>
      <c r="W468" s="834"/>
      <c r="X468" s="834"/>
      <c r="Y468" s="834"/>
      <c r="Z468" s="834"/>
      <c r="AA468" s="834"/>
      <c r="AB468" s="834"/>
      <c r="AC468" s="834"/>
      <c r="AD468" s="834"/>
      <c r="AE468" s="834"/>
      <c r="AF468" s="835" t="n">
        <v>2023</v>
      </c>
      <c r="AG468" s="836" t="s">
        <v>1059</v>
      </c>
      <c r="AH468" s="836" t="s">
        <v>1104</v>
      </c>
      <c r="AI468" s="835" t="n">
        <v>2023</v>
      </c>
      <c r="AJ468" s="836" t="s">
        <v>1093</v>
      </c>
      <c r="AK468" s="836" t="s">
        <v>1104</v>
      </c>
      <c r="AL468" s="809"/>
      <c r="AM468" s="132"/>
      <c r="AN468" s="132"/>
      <c r="AO468" s="132"/>
      <c r="AP468" s="132"/>
      <c r="AQ468" s="132"/>
      <c r="AR468" s="132"/>
      <c r="AS468" s="132"/>
      <c r="AT468" s="132"/>
      <c r="AU468" s="132"/>
      <c r="AV468" s="132"/>
      <c r="AW468" s="132"/>
      <c r="AX468" s="132"/>
      <c r="AY468" s="132"/>
      <c r="AZ468" s="132"/>
      <c r="BA468" s="132"/>
      <c r="BB468" s="132"/>
      <c r="BC468" s="132"/>
      <c r="BD468" s="132"/>
      <c r="BE468" s="132"/>
      <c r="BF468" s="132"/>
    </row>
    <row r="469" customFormat="false" ht="11.25" hidden="false" customHeight="true" outlineLevel="0" collapsed="false">
      <c r="A469" s="113" t="s">
        <v>1026</v>
      </c>
      <c r="E469" s="80"/>
      <c r="F469" s="810"/>
      <c r="G469" s="138"/>
      <c r="H469" s="811" t="s">
        <v>91</v>
      </c>
      <c r="I469" s="831"/>
      <c r="J469" s="335"/>
      <c r="K469" s="333"/>
      <c r="L469" s="204"/>
      <c r="M469" s="198"/>
      <c r="N469" s="837"/>
      <c r="O469" s="838" t="n">
        <v>1</v>
      </c>
      <c r="P469" s="76" t="s">
        <v>61</v>
      </c>
      <c r="Q469" s="335" t="s">
        <v>1063</v>
      </c>
      <c r="R469" s="839" t="s">
        <v>1064</v>
      </c>
      <c r="S469" s="839" t="s">
        <v>99</v>
      </c>
      <c r="T469" s="839" t="s">
        <v>99</v>
      </c>
      <c r="U469" s="839" t="s">
        <v>100</v>
      </c>
      <c r="V469" s="839" t="s">
        <v>1065</v>
      </c>
      <c r="W469" s="839" t="s">
        <v>1066</v>
      </c>
      <c r="X469" s="839" t="s">
        <v>1067</v>
      </c>
      <c r="Y469" s="839" t="s">
        <v>1068</v>
      </c>
      <c r="Z469" s="840"/>
      <c r="AA469" s="841"/>
      <c r="AB469" s="841"/>
      <c r="AC469" s="842"/>
      <c r="AD469" s="842"/>
      <c r="AE469" s="843"/>
      <c r="AF469" s="835"/>
      <c r="AG469" s="836"/>
      <c r="AH469" s="836"/>
      <c r="AI469" s="835"/>
      <c r="AJ469" s="836"/>
      <c r="AK469" s="836"/>
      <c r="AL469" s="809"/>
      <c r="AM469" s="132"/>
      <c r="AN469" s="132"/>
      <c r="AO469" s="132"/>
      <c r="AP469" s="132"/>
      <c r="AQ469" s="132"/>
      <c r="AR469" s="132"/>
      <c r="AS469" s="132"/>
      <c r="AT469" s="132"/>
      <c r="AU469" s="132"/>
      <c r="AV469" s="132"/>
      <c r="AW469" s="132"/>
      <c r="AX469" s="132"/>
      <c r="AY469" s="132"/>
      <c r="AZ469" s="132"/>
      <c r="BA469" s="132"/>
      <c r="BB469" s="132"/>
      <c r="BC469" s="132"/>
      <c r="BD469" s="132"/>
      <c r="BE469" s="132"/>
      <c r="BF469" s="132"/>
    </row>
    <row r="470" customFormat="false" ht="11.25" hidden="false" customHeight="true" outlineLevel="0" collapsed="false">
      <c r="A470" s="113" t="s">
        <v>1026</v>
      </c>
      <c r="E470" s="80"/>
      <c r="F470" s="810"/>
      <c r="G470" s="138"/>
      <c r="H470" s="811" t="s">
        <v>91</v>
      </c>
      <c r="I470" s="831"/>
      <c r="J470" s="335"/>
      <c r="K470" s="333"/>
      <c r="L470" s="204"/>
      <c r="M470" s="198"/>
      <c r="N470" s="837"/>
      <c r="O470" s="838"/>
      <c r="P470" s="76"/>
      <c r="Q470" s="335"/>
      <c r="R470" s="839"/>
      <c r="S470" s="839"/>
      <c r="T470" s="839"/>
      <c r="U470" s="839"/>
      <c r="V470" s="839"/>
      <c r="W470" s="839"/>
      <c r="X470" s="839"/>
      <c r="Y470" s="839"/>
      <c r="Z470" s="844"/>
      <c r="AA470" s="845" t="n">
        <v>1</v>
      </c>
      <c r="AB470" s="846" t="s">
        <v>1069</v>
      </c>
      <c r="AC470" s="756" t="n">
        <v>0</v>
      </c>
      <c r="AD470" s="846" t="str">
        <f aca="false">AB470</f>
        <v>Прочие амортизационные отчисления</v>
      </c>
      <c r="AE470" s="756" t="n">
        <v>17.0064</v>
      </c>
      <c r="AF470" s="835"/>
      <c r="AG470" s="836"/>
      <c r="AH470" s="836"/>
      <c r="AI470" s="835"/>
      <c r="AJ470" s="836"/>
      <c r="AK470" s="836"/>
      <c r="AL470" s="809"/>
      <c r="AM470" s="132"/>
      <c r="AN470" s="132"/>
      <c r="AO470" s="132"/>
      <c r="AP470" s="132"/>
      <c r="AQ470" s="132"/>
      <c r="AR470" s="132"/>
      <c r="AS470" s="132"/>
      <c r="AT470" s="132"/>
      <c r="AU470" s="132"/>
      <c r="AV470" s="132"/>
      <c r="AW470" s="132"/>
      <c r="AX470" s="132"/>
      <c r="AY470" s="132"/>
      <c r="AZ470" s="132"/>
      <c r="BA470" s="132"/>
      <c r="BB470" s="132"/>
      <c r="BC470" s="132"/>
      <c r="BD470" s="132"/>
      <c r="BE470" s="132"/>
      <c r="BF470" s="132"/>
    </row>
    <row r="471" customFormat="false" ht="11.25" hidden="false" customHeight="true" outlineLevel="0" collapsed="false">
      <c r="A471" s="113" t="s">
        <v>1026</v>
      </c>
      <c r="E471" s="80"/>
      <c r="F471" s="810"/>
      <c r="G471" s="138"/>
      <c r="H471" s="811" t="s">
        <v>91</v>
      </c>
      <c r="I471" s="831"/>
      <c r="J471" s="335"/>
      <c r="K471" s="333"/>
      <c r="L471" s="204"/>
      <c r="M471" s="198"/>
      <c r="N471" s="837"/>
      <c r="O471" s="838"/>
      <c r="P471" s="76"/>
      <c r="Q471" s="335"/>
      <c r="R471" s="839"/>
      <c r="S471" s="839"/>
      <c r="T471" s="839"/>
      <c r="U471" s="839"/>
      <c r="V471" s="839"/>
      <c r="W471" s="839"/>
      <c r="X471" s="839"/>
      <c r="Y471" s="839"/>
      <c r="Z471" s="840"/>
      <c r="AA471" s="841"/>
      <c r="AB471" s="161" t="s">
        <v>1071</v>
      </c>
      <c r="AC471" s="842"/>
      <c r="AD471" s="842"/>
      <c r="AE471" s="847"/>
      <c r="AF471" s="835"/>
      <c r="AG471" s="836"/>
      <c r="AH471" s="836"/>
      <c r="AI471" s="835"/>
      <c r="AJ471" s="836"/>
      <c r="AK471" s="836"/>
      <c r="AL471" s="809"/>
      <c r="AM471" s="132"/>
      <c r="AN471" s="132"/>
      <c r="AO471" s="132"/>
      <c r="AP471" s="132"/>
      <c r="AQ471" s="132"/>
      <c r="AR471" s="132"/>
      <c r="AS471" s="132"/>
      <c r="AT471" s="132"/>
      <c r="AU471" s="132"/>
      <c r="AV471" s="132"/>
      <c r="AW471" s="132"/>
      <c r="AX471" s="132"/>
      <c r="AY471" s="132"/>
      <c r="AZ471" s="132"/>
      <c r="BA471" s="132"/>
      <c r="BB471" s="132"/>
      <c r="BC471" s="132"/>
      <c r="BD471" s="132"/>
      <c r="BE471" s="132"/>
      <c r="BF471" s="132"/>
    </row>
    <row r="472" customFormat="false" ht="11.25" hidden="false" customHeight="true" outlineLevel="0" collapsed="false">
      <c r="A472" s="113" t="s">
        <v>1026</v>
      </c>
      <c r="E472" s="80"/>
      <c r="F472" s="810"/>
      <c r="G472" s="138"/>
      <c r="H472" s="811" t="s">
        <v>91</v>
      </c>
      <c r="I472" s="831"/>
      <c r="J472" s="335"/>
      <c r="K472" s="333"/>
      <c r="L472" s="204"/>
      <c r="M472" s="198"/>
      <c r="N472" s="840"/>
      <c r="O472" s="841"/>
      <c r="P472" s="161" t="s">
        <v>1072</v>
      </c>
      <c r="Q472" s="841"/>
      <c r="R472" s="841"/>
      <c r="S472" s="841"/>
      <c r="T472" s="841"/>
      <c r="U472" s="841"/>
      <c r="V472" s="841"/>
      <c r="W472" s="841"/>
      <c r="X472" s="841"/>
      <c r="Y472" s="841"/>
      <c r="Z472" s="841"/>
      <c r="AA472" s="841"/>
      <c r="AB472" s="841"/>
      <c r="AC472" s="841"/>
      <c r="AD472" s="841"/>
      <c r="AE472" s="848"/>
      <c r="AF472" s="835"/>
      <c r="AG472" s="836"/>
      <c r="AH472" s="836"/>
      <c r="AI472" s="835"/>
      <c r="AJ472" s="836"/>
      <c r="AK472" s="836"/>
      <c r="AL472" s="809"/>
      <c r="AM472" s="132"/>
      <c r="AN472" s="132"/>
      <c r="AO472" s="132"/>
      <c r="AP472" s="132"/>
      <c r="AQ472" s="132"/>
      <c r="AR472" s="132"/>
      <c r="AS472" s="132"/>
      <c r="AT472" s="132"/>
      <c r="AU472" s="132"/>
      <c r="AV472" s="132"/>
      <c r="AW472" s="132"/>
      <c r="AX472" s="132"/>
      <c r="AY472" s="132"/>
      <c r="AZ472" s="132"/>
      <c r="BA472" s="132"/>
      <c r="BB472" s="132"/>
      <c r="BC472" s="132"/>
      <c r="BD472" s="132"/>
      <c r="BE472" s="132"/>
      <c r="BF472" s="132"/>
    </row>
    <row r="473" customFormat="false" ht="11.25" hidden="false" customHeight="true" outlineLevel="0" collapsed="false">
      <c r="A473" s="113" t="s">
        <v>1026</v>
      </c>
      <c r="E473" s="80"/>
      <c r="F473" s="810"/>
      <c r="G473" s="138" t="s">
        <v>103</v>
      </c>
      <c r="H473" s="811" t="s">
        <v>122</v>
      </c>
      <c r="I473" s="831"/>
      <c r="J473" s="335"/>
      <c r="K473" s="333" t="s">
        <v>1170</v>
      </c>
      <c r="L473" s="204" t="s">
        <v>19</v>
      </c>
      <c r="M473" s="198"/>
      <c r="N473" s="832"/>
      <c r="O473" s="833" t="s">
        <v>389</v>
      </c>
      <c r="P473" s="834"/>
      <c r="Q473" s="834"/>
      <c r="R473" s="834"/>
      <c r="S473" s="834"/>
      <c r="T473" s="834"/>
      <c r="U473" s="834"/>
      <c r="V473" s="834"/>
      <c r="W473" s="834"/>
      <c r="X473" s="834"/>
      <c r="Y473" s="834"/>
      <c r="Z473" s="834"/>
      <c r="AA473" s="834"/>
      <c r="AB473" s="834"/>
      <c r="AC473" s="834"/>
      <c r="AD473" s="834"/>
      <c r="AE473" s="834"/>
      <c r="AF473" s="835" t="n">
        <v>2023</v>
      </c>
      <c r="AG473" s="836" t="s">
        <v>1059</v>
      </c>
      <c r="AH473" s="836" t="s">
        <v>1104</v>
      </c>
      <c r="AI473" s="835" t="n">
        <v>2023</v>
      </c>
      <c r="AJ473" s="836" t="s">
        <v>1076</v>
      </c>
      <c r="AK473" s="836" t="s">
        <v>1104</v>
      </c>
      <c r="AL473" s="809"/>
      <c r="AM473" s="132"/>
      <c r="AN473" s="132"/>
      <c r="AO473" s="132"/>
      <c r="AP473" s="132"/>
      <c r="AQ473" s="132"/>
      <c r="AR473" s="132"/>
      <c r="AS473" s="132"/>
      <c r="AT473" s="132"/>
      <c r="AU473" s="132"/>
      <c r="AV473" s="132"/>
      <c r="AW473" s="132"/>
      <c r="AX473" s="132"/>
      <c r="AY473" s="132"/>
      <c r="AZ473" s="132"/>
      <c r="BA473" s="132"/>
      <c r="BB473" s="132"/>
      <c r="BC473" s="132"/>
      <c r="BD473" s="132"/>
      <c r="BE473" s="132"/>
      <c r="BF473" s="132"/>
    </row>
    <row r="474" customFormat="false" ht="11.25" hidden="false" customHeight="true" outlineLevel="0" collapsed="false">
      <c r="A474" s="113" t="s">
        <v>1026</v>
      </c>
      <c r="E474" s="80"/>
      <c r="F474" s="810"/>
      <c r="G474" s="138"/>
      <c r="H474" s="811" t="s">
        <v>92</v>
      </c>
      <c r="I474" s="831"/>
      <c r="J474" s="335"/>
      <c r="K474" s="333"/>
      <c r="L474" s="204"/>
      <c r="M474" s="198"/>
      <c r="N474" s="837"/>
      <c r="O474" s="838" t="n">
        <v>1</v>
      </c>
      <c r="P474" s="76" t="s">
        <v>61</v>
      </c>
      <c r="Q474" s="335" t="s">
        <v>1063</v>
      </c>
      <c r="R474" s="839" t="s">
        <v>1064</v>
      </c>
      <c r="S474" s="839" t="s">
        <v>99</v>
      </c>
      <c r="T474" s="839" t="s">
        <v>99</v>
      </c>
      <c r="U474" s="839" t="s">
        <v>100</v>
      </c>
      <c r="V474" s="839" t="s">
        <v>1065</v>
      </c>
      <c r="W474" s="839" t="s">
        <v>1066</v>
      </c>
      <c r="X474" s="839" t="s">
        <v>1067</v>
      </c>
      <c r="Y474" s="839" t="s">
        <v>1068</v>
      </c>
      <c r="Z474" s="840"/>
      <c r="AA474" s="841"/>
      <c r="AB474" s="841"/>
      <c r="AC474" s="842"/>
      <c r="AD474" s="842"/>
      <c r="AE474" s="843"/>
      <c r="AF474" s="835"/>
      <c r="AG474" s="836"/>
      <c r="AH474" s="836"/>
      <c r="AI474" s="835"/>
      <c r="AJ474" s="836"/>
      <c r="AK474" s="836"/>
      <c r="AL474" s="809"/>
      <c r="AM474" s="132"/>
      <c r="AN474" s="132"/>
      <c r="AO474" s="132"/>
      <c r="AP474" s="132"/>
      <c r="AQ474" s="132"/>
      <c r="AR474" s="132"/>
      <c r="AS474" s="132"/>
      <c r="AT474" s="132"/>
      <c r="AU474" s="132"/>
      <c r="AV474" s="132"/>
      <c r="AW474" s="132"/>
      <c r="AX474" s="132"/>
      <c r="AY474" s="132"/>
      <c r="AZ474" s="132"/>
      <c r="BA474" s="132"/>
      <c r="BB474" s="132"/>
      <c r="BC474" s="132"/>
      <c r="BD474" s="132"/>
      <c r="BE474" s="132"/>
      <c r="BF474" s="132"/>
    </row>
    <row r="475" customFormat="false" ht="11.25" hidden="false" customHeight="true" outlineLevel="0" collapsed="false">
      <c r="A475" s="113" t="s">
        <v>1026</v>
      </c>
      <c r="E475" s="80"/>
      <c r="F475" s="810"/>
      <c r="G475" s="138"/>
      <c r="H475" s="811" t="s">
        <v>92</v>
      </c>
      <c r="I475" s="831"/>
      <c r="J475" s="335"/>
      <c r="K475" s="333"/>
      <c r="L475" s="204"/>
      <c r="M475" s="198"/>
      <c r="N475" s="837"/>
      <c r="O475" s="838"/>
      <c r="P475" s="76"/>
      <c r="Q475" s="335"/>
      <c r="R475" s="839"/>
      <c r="S475" s="839"/>
      <c r="T475" s="839"/>
      <c r="U475" s="839"/>
      <c r="V475" s="839"/>
      <c r="W475" s="839"/>
      <c r="X475" s="839"/>
      <c r="Y475" s="839"/>
      <c r="Z475" s="844"/>
      <c r="AA475" s="845" t="n">
        <v>1</v>
      </c>
      <c r="AB475" s="846" t="s">
        <v>1069</v>
      </c>
      <c r="AC475" s="756" t="n">
        <v>0</v>
      </c>
      <c r="AD475" s="846" t="str">
        <f aca="false">AB475</f>
        <v>Прочие амортизационные отчисления</v>
      </c>
      <c r="AE475" s="756" t="n">
        <v>17.0064</v>
      </c>
      <c r="AF475" s="835"/>
      <c r="AG475" s="836"/>
      <c r="AH475" s="836"/>
      <c r="AI475" s="835"/>
      <c r="AJ475" s="836"/>
      <c r="AK475" s="836"/>
      <c r="AL475" s="809"/>
      <c r="AM475" s="132"/>
      <c r="AN475" s="132"/>
      <c r="AO475" s="132"/>
      <c r="AP475" s="132"/>
      <c r="AQ475" s="132"/>
      <c r="AR475" s="132"/>
      <c r="AS475" s="132"/>
      <c r="AT475" s="132"/>
      <c r="AU475" s="132"/>
      <c r="AV475" s="132"/>
      <c r="AW475" s="132"/>
      <c r="AX475" s="132"/>
      <c r="AY475" s="132"/>
      <c r="AZ475" s="132"/>
      <c r="BA475" s="132"/>
      <c r="BB475" s="132"/>
      <c r="BC475" s="132"/>
      <c r="BD475" s="132"/>
      <c r="BE475" s="132"/>
      <c r="BF475" s="132"/>
    </row>
    <row r="476" customFormat="false" ht="11.25" hidden="false" customHeight="true" outlineLevel="0" collapsed="false">
      <c r="A476" s="113" t="s">
        <v>1026</v>
      </c>
      <c r="E476" s="80"/>
      <c r="F476" s="810"/>
      <c r="G476" s="138"/>
      <c r="H476" s="811" t="s">
        <v>92</v>
      </c>
      <c r="I476" s="831"/>
      <c r="J476" s="335"/>
      <c r="K476" s="333"/>
      <c r="L476" s="204"/>
      <c r="M476" s="198"/>
      <c r="N476" s="837"/>
      <c r="O476" s="838"/>
      <c r="P476" s="76"/>
      <c r="Q476" s="335"/>
      <c r="R476" s="839"/>
      <c r="S476" s="839"/>
      <c r="T476" s="839"/>
      <c r="U476" s="839"/>
      <c r="V476" s="839"/>
      <c r="W476" s="839"/>
      <c r="X476" s="839"/>
      <c r="Y476" s="839"/>
      <c r="Z476" s="840"/>
      <c r="AA476" s="841"/>
      <c r="AB476" s="161" t="s">
        <v>1071</v>
      </c>
      <c r="AC476" s="842"/>
      <c r="AD476" s="842"/>
      <c r="AE476" s="847"/>
      <c r="AF476" s="835"/>
      <c r="AG476" s="836"/>
      <c r="AH476" s="836"/>
      <c r="AI476" s="835"/>
      <c r="AJ476" s="836"/>
      <c r="AK476" s="836"/>
      <c r="AL476" s="809"/>
      <c r="AM476" s="132"/>
      <c r="AN476" s="132"/>
      <c r="AO476" s="132"/>
      <c r="AP476" s="132"/>
      <c r="AQ476" s="132"/>
      <c r="AR476" s="132"/>
      <c r="AS476" s="132"/>
      <c r="AT476" s="132"/>
      <c r="AU476" s="132"/>
      <c r="AV476" s="132"/>
      <c r="AW476" s="132"/>
      <c r="AX476" s="132"/>
      <c r="AY476" s="132"/>
      <c r="AZ476" s="132"/>
      <c r="BA476" s="132"/>
      <c r="BB476" s="132"/>
      <c r="BC476" s="132"/>
      <c r="BD476" s="132"/>
      <c r="BE476" s="132"/>
      <c r="BF476" s="132"/>
    </row>
    <row r="477" customFormat="false" ht="11.25" hidden="false" customHeight="true" outlineLevel="0" collapsed="false">
      <c r="A477" s="113" t="s">
        <v>1026</v>
      </c>
      <c r="E477" s="80"/>
      <c r="F477" s="810"/>
      <c r="G477" s="138"/>
      <c r="H477" s="811" t="s">
        <v>92</v>
      </c>
      <c r="I477" s="831"/>
      <c r="J477" s="335"/>
      <c r="K477" s="333"/>
      <c r="L477" s="204"/>
      <c r="M477" s="198"/>
      <c r="N477" s="840"/>
      <c r="O477" s="841"/>
      <c r="P477" s="161" t="s">
        <v>1072</v>
      </c>
      <c r="Q477" s="841"/>
      <c r="R477" s="841"/>
      <c r="S477" s="841"/>
      <c r="T477" s="841"/>
      <c r="U477" s="841"/>
      <c r="V477" s="841"/>
      <c r="W477" s="841"/>
      <c r="X477" s="841"/>
      <c r="Y477" s="841"/>
      <c r="Z477" s="841"/>
      <c r="AA477" s="841"/>
      <c r="AB477" s="841"/>
      <c r="AC477" s="841"/>
      <c r="AD477" s="841"/>
      <c r="AE477" s="848"/>
      <c r="AF477" s="835"/>
      <c r="AG477" s="836"/>
      <c r="AH477" s="836"/>
      <c r="AI477" s="835"/>
      <c r="AJ477" s="836"/>
      <c r="AK477" s="836"/>
      <c r="AL477" s="809"/>
      <c r="AM477" s="132"/>
      <c r="AN477" s="132"/>
      <c r="AO477" s="132"/>
      <c r="AP477" s="132"/>
      <c r="AQ477" s="132"/>
      <c r="AR477" s="132"/>
      <c r="AS477" s="132"/>
      <c r="AT477" s="132"/>
      <c r="AU477" s="132"/>
      <c r="AV477" s="132"/>
      <c r="AW477" s="132"/>
      <c r="AX477" s="132"/>
      <c r="AY477" s="132"/>
      <c r="AZ477" s="132"/>
      <c r="BA477" s="132"/>
      <c r="BB477" s="132"/>
      <c r="BC477" s="132"/>
      <c r="BD477" s="132"/>
      <c r="BE477" s="132"/>
      <c r="BF477" s="132"/>
    </row>
    <row r="478" customFormat="false" ht="11.25" hidden="false" customHeight="true" outlineLevel="0" collapsed="false">
      <c r="A478" s="113" t="s">
        <v>1026</v>
      </c>
      <c r="E478" s="80"/>
      <c r="F478" s="810"/>
      <c r="G478" s="138" t="s">
        <v>103</v>
      </c>
      <c r="H478" s="811" t="s">
        <v>163</v>
      </c>
      <c r="I478" s="831"/>
      <c r="J478" s="335"/>
      <c r="K478" s="333" t="s">
        <v>1140</v>
      </c>
      <c r="L478" s="204" t="s">
        <v>19</v>
      </c>
      <c r="M478" s="198"/>
      <c r="N478" s="832"/>
      <c r="O478" s="833" t="s">
        <v>389</v>
      </c>
      <c r="P478" s="834"/>
      <c r="Q478" s="834"/>
      <c r="R478" s="834"/>
      <c r="S478" s="834"/>
      <c r="T478" s="834"/>
      <c r="U478" s="834"/>
      <c r="V478" s="834"/>
      <c r="W478" s="834"/>
      <c r="X478" s="834"/>
      <c r="Y478" s="834"/>
      <c r="Z478" s="834"/>
      <c r="AA478" s="834"/>
      <c r="AB478" s="834"/>
      <c r="AC478" s="834"/>
      <c r="AD478" s="834"/>
      <c r="AE478" s="834"/>
      <c r="AF478" s="835" t="n">
        <v>2020</v>
      </c>
      <c r="AG478" s="836" t="s">
        <v>1059</v>
      </c>
      <c r="AH478" s="836" t="s">
        <v>1075</v>
      </c>
      <c r="AI478" s="835" t="n">
        <v>2022</v>
      </c>
      <c r="AJ478" s="836" t="s">
        <v>1059</v>
      </c>
      <c r="AK478" s="836" t="s">
        <v>1096</v>
      </c>
      <c r="AL478" s="809"/>
      <c r="AM478" s="132"/>
      <c r="AN478" s="132"/>
      <c r="AO478" s="132"/>
      <c r="AP478" s="132"/>
      <c r="AQ478" s="132"/>
      <c r="AR478" s="132"/>
      <c r="AS478" s="132"/>
      <c r="AT478" s="132"/>
      <c r="AU478" s="132"/>
      <c r="AV478" s="132"/>
      <c r="AW478" s="132"/>
      <c r="AX478" s="132"/>
      <c r="AY478" s="132"/>
      <c r="AZ478" s="132"/>
      <c r="BA478" s="132"/>
      <c r="BB478" s="132"/>
      <c r="BC478" s="132"/>
      <c r="BD478" s="132"/>
      <c r="BE478" s="132"/>
      <c r="BF478" s="132"/>
    </row>
    <row r="479" customFormat="false" ht="11.25" hidden="false" customHeight="true" outlineLevel="0" collapsed="false">
      <c r="A479" s="113" t="s">
        <v>1026</v>
      </c>
      <c r="E479" s="80"/>
      <c r="F479" s="810"/>
      <c r="G479" s="138"/>
      <c r="H479" s="811" t="s">
        <v>164</v>
      </c>
      <c r="I479" s="831"/>
      <c r="J479" s="335"/>
      <c r="K479" s="333"/>
      <c r="L479" s="204"/>
      <c r="M479" s="198"/>
      <c r="N479" s="837"/>
      <c r="O479" s="838" t="n">
        <v>1</v>
      </c>
      <c r="P479" s="76" t="s">
        <v>61</v>
      </c>
      <c r="Q479" s="335" t="s">
        <v>1080</v>
      </c>
      <c r="R479" s="839" t="s">
        <v>1064</v>
      </c>
      <c r="S479" s="839" t="s">
        <v>99</v>
      </c>
      <c r="T479" s="839" t="s">
        <v>99</v>
      </c>
      <c r="U479" s="839" t="s">
        <v>100</v>
      </c>
      <c r="V479" s="839" t="s">
        <v>1065</v>
      </c>
      <c r="W479" s="839" t="s">
        <v>1066</v>
      </c>
      <c r="X479" s="839" t="s">
        <v>1081</v>
      </c>
      <c r="Y479" s="839" t="s">
        <v>1082</v>
      </c>
      <c r="Z479" s="840"/>
      <c r="AA479" s="841"/>
      <c r="AB479" s="841"/>
      <c r="AC479" s="842"/>
      <c r="AD479" s="842"/>
      <c r="AE479" s="843"/>
      <c r="AF479" s="835"/>
      <c r="AG479" s="836"/>
      <c r="AH479" s="836"/>
      <c r="AI479" s="835"/>
      <c r="AJ479" s="836"/>
      <c r="AK479" s="836"/>
      <c r="AL479" s="809"/>
      <c r="AM479" s="132"/>
      <c r="AN479" s="132"/>
      <c r="AO479" s="132"/>
      <c r="AP479" s="132"/>
      <c r="AQ479" s="132"/>
      <c r="AR479" s="132"/>
      <c r="AS479" s="132"/>
      <c r="AT479" s="132"/>
      <c r="AU479" s="132"/>
      <c r="AV479" s="132"/>
      <c r="AW479" s="132"/>
      <c r="AX479" s="132"/>
      <c r="AY479" s="132"/>
      <c r="AZ479" s="132"/>
      <c r="BA479" s="132"/>
      <c r="BB479" s="132"/>
      <c r="BC479" s="132"/>
      <c r="BD479" s="132"/>
      <c r="BE479" s="132"/>
      <c r="BF479" s="132"/>
    </row>
    <row r="480" customFormat="false" ht="11.25" hidden="false" customHeight="true" outlineLevel="0" collapsed="false">
      <c r="A480" s="113" t="s">
        <v>1026</v>
      </c>
      <c r="E480" s="80"/>
      <c r="F480" s="810"/>
      <c r="G480" s="138"/>
      <c r="H480" s="811" t="s">
        <v>164</v>
      </c>
      <c r="I480" s="831"/>
      <c r="J480" s="335"/>
      <c r="K480" s="333"/>
      <c r="L480" s="204"/>
      <c r="M480" s="198"/>
      <c r="N480" s="837"/>
      <c r="O480" s="838"/>
      <c r="P480" s="76"/>
      <c r="Q480" s="335"/>
      <c r="R480" s="839"/>
      <c r="S480" s="839"/>
      <c r="T480" s="839"/>
      <c r="U480" s="839"/>
      <c r="V480" s="839"/>
      <c r="W480" s="839"/>
      <c r="X480" s="839"/>
      <c r="Y480" s="839"/>
      <c r="Z480" s="844"/>
      <c r="AA480" s="845" t="n">
        <v>1</v>
      </c>
      <c r="AB480" s="846" t="s">
        <v>1069</v>
      </c>
      <c r="AC480" s="756" t="n">
        <v>0</v>
      </c>
      <c r="AD480" s="846" t="str">
        <f aca="false">AB480</f>
        <v>Прочие амортизационные отчисления</v>
      </c>
      <c r="AE480" s="756" t="n">
        <v>716.703</v>
      </c>
      <c r="AF480" s="835"/>
      <c r="AG480" s="836"/>
      <c r="AH480" s="836"/>
      <c r="AI480" s="835"/>
      <c r="AJ480" s="836"/>
      <c r="AK480" s="836"/>
      <c r="AL480" s="809"/>
      <c r="AM480" s="132"/>
      <c r="AN480" s="132"/>
      <c r="AO480" s="132"/>
      <c r="AP480" s="132"/>
      <c r="AQ480" s="132"/>
      <c r="AR480" s="132"/>
      <c r="AS480" s="132"/>
      <c r="AT480" s="132"/>
      <c r="AU480" s="132"/>
      <c r="AV480" s="132"/>
      <c r="AW480" s="132"/>
      <c r="AX480" s="132"/>
      <c r="AY480" s="132"/>
      <c r="AZ480" s="132"/>
      <c r="BA480" s="132"/>
      <c r="BB480" s="132"/>
      <c r="BC480" s="132"/>
      <c r="BD480" s="132"/>
      <c r="BE480" s="132"/>
      <c r="BF480" s="132"/>
    </row>
    <row r="481" customFormat="false" ht="11.25" hidden="false" customHeight="true" outlineLevel="0" collapsed="false">
      <c r="A481" s="113" t="s">
        <v>1026</v>
      </c>
      <c r="E481" s="80"/>
      <c r="F481" s="810"/>
      <c r="G481" s="138"/>
      <c r="H481" s="811" t="s">
        <v>164</v>
      </c>
      <c r="I481" s="831"/>
      <c r="J481" s="335"/>
      <c r="K481" s="333"/>
      <c r="L481" s="204"/>
      <c r="M481" s="198"/>
      <c r="N481" s="837"/>
      <c r="O481" s="838"/>
      <c r="P481" s="76"/>
      <c r="Q481" s="335"/>
      <c r="R481" s="839"/>
      <c r="S481" s="839"/>
      <c r="T481" s="839"/>
      <c r="U481" s="839"/>
      <c r="V481" s="839"/>
      <c r="W481" s="839"/>
      <c r="X481" s="839"/>
      <c r="Y481" s="839"/>
      <c r="Z481" s="840"/>
      <c r="AA481" s="841"/>
      <c r="AB481" s="161" t="s">
        <v>1071</v>
      </c>
      <c r="AC481" s="842"/>
      <c r="AD481" s="842"/>
      <c r="AE481" s="847"/>
      <c r="AF481" s="835"/>
      <c r="AG481" s="836"/>
      <c r="AH481" s="836"/>
      <c r="AI481" s="835"/>
      <c r="AJ481" s="836"/>
      <c r="AK481" s="836"/>
      <c r="AL481" s="809"/>
      <c r="AM481" s="132"/>
      <c r="AN481" s="132"/>
      <c r="AO481" s="132"/>
      <c r="AP481" s="132"/>
      <c r="AQ481" s="132"/>
      <c r="AR481" s="132"/>
      <c r="AS481" s="132"/>
      <c r="AT481" s="132"/>
      <c r="AU481" s="132"/>
      <c r="AV481" s="132"/>
      <c r="AW481" s="132"/>
      <c r="AX481" s="132"/>
      <c r="AY481" s="132"/>
      <c r="AZ481" s="132"/>
      <c r="BA481" s="132"/>
      <c r="BB481" s="132"/>
      <c r="BC481" s="132"/>
      <c r="BD481" s="132"/>
      <c r="BE481" s="132"/>
      <c r="BF481" s="132"/>
    </row>
    <row r="482" customFormat="false" ht="11.25" hidden="false" customHeight="true" outlineLevel="0" collapsed="false">
      <c r="A482" s="113" t="s">
        <v>1026</v>
      </c>
      <c r="E482" s="80"/>
      <c r="F482" s="810"/>
      <c r="G482" s="138"/>
      <c r="H482" s="811" t="s">
        <v>164</v>
      </c>
      <c r="I482" s="831"/>
      <c r="J482" s="335"/>
      <c r="K482" s="333"/>
      <c r="L482" s="204"/>
      <c r="M482" s="198"/>
      <c r="N482" s="840"/>
      <c r="O482" s="841"/>
      <c r="P482" s="161" t="s">
        <v>1072</v>
      </c>
      <c r="Q482" s="841"/>
      <c r="R482" s="841"/>
      <c r="S482" s="841"/>
      <c r="T482" s="841"/>
      <c r="U482" s="841"/>
      <c r="V482" s="841"/>
      <c r="W482" s="841"/>
      <c r="X482" s="841"/>
      <c r="Y482" s="841"/>
      <c r="Z482" s="841"/>
      <c r="AA482" s="841"/>
      <c r="AB482" s="841"/>
      <c r="AC482" s="841"/>
      <c r="AD482" s="841"/>
      <c r="AE482" s="848"/>
      <c r="AF482" s="835"/>
      <c r="AG482" s="836"/>
      <c r="AH482" s="836"/>
      <c r="AI482" s="835"/>
      <c r="AJ482" s="836"/>
      <c r="AK482" s="836"/>
      <c r="AL482" s="809"/>
      <c r="AM482" s="132"/>
      <c r="AN482" s="132"/>
      <c r="AO482" s="132"/>
      <c r="AP482" s="132"/>
      <c r="AQ482" s="132"/>
      <c r="AR482" s="132"/>
      <c r="AS482" s="132"/>
      <c r="AT482" s="132"/>
      <c r="AU482" s="132"/>
      <c r="AV482" s="132"/>
      <c r="AW482" s="132"/>
      <c r="AX482" s="132"/>
      <c r="AY482" s="132"/>
      <c r="AZ482" s="132"/>
      <c r="BA482" s="132"/>
      <c r="BB482" s="132"/>
      <c r="BC482" s="132"/>
      <c r="BD482" s="132"/>
      <c r="BE482" s="132"/>
      <c r="BF482" s="132"/>
    </row>
    <row r="483" customFormat="false" ht="11.25" hidden="false" customHeight="true" outlineLevel="0" collapsed="false">
      <c r="A483" s="113" t="s">
        <v>1026</v>
      </c>
      <c r="E483" s="80"/>
      <c r="F483" s="810"/>
      <c r="G483" s="138" t="s">
        <v>103</v>
      </c>
      <c r="H483" s="811" t="s">
        <v>164</v>
      </c>
      <c r="I483" s="831"/>
      <c r="J483" s="335"/>
      <c r="K483" s="333" t="s">
        <v>1171</v>
      </c>
      <c r="L483" s="204" t="s">
        <v>19</v>
      </c>
      <c r="M483" s="198"/>
      <c r="N483" s="832"/>
      <c r="O483" s="833" t="s">
        <v>389</v>
      </c>
      <c r="P483" s="834"/>
      <c r="Q483" s="834"/>
      <c r="R483" s="834"/>
      <c r="S483" s="834"/>
      <c r="T483" s="834"/>
      <c r="U483" s="834"/>
      <c r="V483" s="834"/>
      <c r="W483" s="834"/>
      <c r="X483" s="834"/>
      <c r="Y483" s="834"/>
      <c r="Z483" s="834"/>
      <c r="AA483" s="834"/>
      <c r="AB483" s="834"/>
      <c r="AC483" s="834"/>
      <c r="AD483" s="834"/>
      <c r="AE483" s="834"/>
      <c r="AF483" s="835" t="n">
        <v>2023</v>
      </c>
      <c r="AG483" s="836" t="s">
        <v>1059</v>
      </c>
      <c r="AH483" s="836" t="s">
        <v>1104</v>
      </c>
      <c r="AI483" s="835" t="n">
        <v>2023</v>
      </c>
      <c r="AJ483" s="836" t="s">
        <v>1086</v>
      </c>
      <c r="AK483" s="836" t="s">
        <v>1104</v>
      </c>
      <c r="AL483" s="809"/>
      <c r="AM483" s="132"/>
      <c r="AN483" s="132"/>
      <c r="AO483" s="132"/>
      <c r="AP483" s="132"/>
      <c r="AQ483" s="132"/>
      <c r="AR483" s="132"/>
      <c r="AS483" s="132"/>
      <c r="AT483" s="132"/>
      <c r="AU483" s="132"/>
      <c r="AV483" s="132"/>
      <c r="AW483" s="132"/>
      <c r="AX483" s="132"/>
      <c r="AY483" s="132"/>
      <c r="AZ483" s="132"/>
      <c r="BA483" s="132"/>
      <c r="BB483" s="132"/>
      <c r="BC483" s="132"/>
      <c r="BD483" s="132"/>
      <c r="BE483" s="132"/>
      <c r="BF483" s="132"/>
    </row>
    <row r="484" customFormat="false" ht="11.25" hidden="false" customHeight="true" outlineLevel="0" collapsed="false">
      <c r="A484" s="113" t="s">
        <v>1026</v>
      </c>
      <c r="E484" s="80"/>
      <c r="F484" s="810"/>
      <c r="G484" s="138"/>
      <c r="H484" s="811" t="s">
        <v>165</v>
      </c>
      <c r="I484" s="831"/>
      <c r="J484" s="335"/>
      <c r="K484" s="333"/>
      <c r="L484" s="204"/>
      <c r="M484" s="198"/>
      <c r="N484" s="837"/>
      <c r="O484" s="838" t="n">
        <v>1</v>
      </c>
      <c r="P484" s="76" t="s">
        <v>61</v>
      </c>
      <c r="Q484" s="335" t="s">
        <v>1080</v>
      </c>
      <c r="R484" s="839" t="s">
        <v>1064</v>
      </c>
      <c r="S484" s="839" t="s">
        <v>99</v>
      </c>
      <c r="T484" s="839" t="s">
        <v>99</v>
      </c>
      <c r="U484" s="839" t="s">
        <v>100</v>
      </c>
      <c r="V484" s="839" t="s">
        <v>1065</v>
      </c>
      <c r="W484" s="839" t="s">
        <v>1066</v>
      </c>
      <c r="X484" s="839" t="s">
        <v>1081</v>
      </c>
      <c r="Y484" s="839" t="s">
        <v>1082</v>
      </c>
      <c r="Z484" s="840"/>
      <c r="AA484" s="841"/>
      <c r="AB484" s="841"/>
      <c r="AC484" s="842"/>
      <c r="AD484" s="842"/>
      <c r="AE484" s="843"/>
      <c r="AF484" s="835"/>
      <c r="AG484" s="836"/>
      <c r="AH484" s="836"/>
      <c r="AI484" s="835"/>
      <c r="AJ484" s="836"/>
      <c r="AK484" s="836"/>
      <c r="AL484" s="809"/>
      <c r="AM484" s="132"/>
      <c r="AN484" s="132"/>
      <c r="AO484" s="132"/>
      <c r="AP484" s="132"/>
      <c r="AQ484" s="132"/>
      <c r="AR484" s="132"/>
      <c r="AS484" s="132"/>
      <c r="AT484" s="132"/>
      <c r="AU484" s="132"/>
      <c r="AV484" s="132"/>
      <c r="AW484" s="132"/>
      <c r="AX484" s="132"/>
      <c r="AY484" s="132"/>
      <c r="AZ484" s="132"/>
      <c r="BA484" s="132"/>
      <c r="BB484" s="132"/>
      <c r="BC484" s="132"/>
      <c r="BD484" s="132"/>
      <c r="BE484" s="132"/>
      <c r="BF484" s="132"/>
    </row>
    <row r="485" customFormat="false" ht="11.25" hidden="false" customHeight="true" outlineLevel="0" collapsed="false">
      <c r="A485" s="113" t="s">
        <v>1026</v>
      </c>
      <c r="E485" s="80"/>
      <c r="F485" s="810"/>
      <c r="G485" s="138"/>
      <c r="H485" s="811" t="s">
        <v>165</v>
      </c>
      <c r="I485" s="831"/>
      <c r="J485" s="335"/>
      <c r="K485" s="333"/>
      <c r="L485" s="204"/>
      <c r="M485" s="198"/>
      <c r="N485" s="837"/>
      <c r="O485" s="838"/>
      <c r="P485" s="76"/>
      <c r="Q485" s="335"/>
      <c r="R485" s="839"/>
      <c r="S485" s="839"/>
      <c r="T485" s="839"/>
      <c r="U485" s="839"/>
      <c r="V485" s="839"/>
      <c r="W485" s="839"/>
      <c r="X485" s="839"/>
      <c r="Y485" s="839"/>
      <c r="Z485" s="844"/>
      <c r="AA485" s="845" t="n">
        <v>1</v>
      </c>
      <c r="AB485" s="846" t="s">
        <v>1069</v>
      </c>
      <c r="AC485" s="756" t="n">
        <v>0</v>
      </c>
      <c r="AD485" s="846" t="str">
        <f aca="false">AB485</f>
        <v>Прочие амортизационные отчисления</v>
      </c>
      <c r="AE485" s="756" t="n">
        <v>57.04</v>
      </c>
      <c r="AF485" s="835"/>
      <c r="AG485" s="836"/>
      <c r="AH485" s="836"/>
      <c r="AI485" s="835"/>
      <c r="AJ485" s="836"/>
      <c r="AK485" s="836"/>
      <c r="AL485" s="809"/>
      <c r="AM485" s="132"/>
      <c r="AN485" s="132"/>
      <c r="AO485" s="132"/>
      <c r="AP485" s="132"/>
      <c r="AQ485" s="132"/>
      <c r="AR485" s="132"/>
      <c r="AS485" s="132"/>
      <c r="AT485" s="132"/>
      <c r="AU485" s="132"/>
      <c r="AV485" s="132"/>
      <c r="AW485" s="132"/>
      <c r="AX485" s="132"/>
      <c r="AY485" s="132"/>
      <c r="AZ485" s="132"/>
      <c r="BA485" s="132"/>
      <c r="BB485" s="132"/>
      <c r="BC485" s="132"/>
      <c r="BD485" s="132"/>
      <c r="BE485" s="132"/>
      <c r="BF485" s="132"/>
    </row>
    <row r="486" customFormat="false" ht="11.25" hidden="false" customHeight="true" outlineLevel="0" collapsed="false">
      <c r="A486" s="113" t="s">
        <v>1026</v>
      </c>
      <c r="E486" s="80"/>
      <c r="F486" s="810"/>
      <c r="G486" s="138"/>
      <c r="H486" s="811" t="s">
        <v>165</v>
      </c>
      <c r="I486" s="831"/>
      <c r="J486" s="335"/>
      <c r="K486" s="333"/>
      <c r="L486" s="204"/>
      <c r="M486" s="198"/>
      <c r="N486" s="837"/>
      <c r="O486" s="838"/>
      <c r="P486" s="76"/>
      <c r="Q486" s="335"/>
      <c r="R486" s="839"/>
      <c r="S486" s="839"/>
      <c r="T486" s="839"/>
      <c r="U486" s="839"/>
      <c r="V486" s="839"/>
      <c r="W486" s="839"/>
      <c r="X486" s="839"/>
      <c r="Y486" s="839"/>
      <c r="Z486" s="840"/>
      <c r="AA486" s="841"/>
      <c r="AB486" s="161" t="s">
        <v>1071</v>
      </c>
      <c r="AC486" s="842"/>
      <c r="AD486" s="842"/>
      <c r="AE486" s="847"/>
      <c r="AF486" s="835"/>
      <c r="AG486" s="836"/>
      <c r="AH486" s="836"/>
      <c r="AI486" s="835"/>
      <c r="AJ486" s="836"/>
      <c r="AK486" s="836"/>
      <c r="AL486" s="809"/>
      <c r="AM486" s="132"/>
      <c r="AN486" s="132"/>
      <c r="AO486" s="132"/>
      <c r="AP486" s="132"/>
      <c r="AQ486" s="132"/>
      <c r="AR486" s="132"/>
      <c r="AS486" s="132"/>
      <c r="AT486" s="132"/>
      <c r="AU486" s="132"/>
      <c r="AV486" s="132"/>
      <c r="AW486" s="132"/>
      <c r="AX486" s="132"/>
      <c r="AY486" s="132"/>
      <c r="AZ486" s="132"/>
      <c r="BA486" s="132"/>
      <c r="BB486" s="132"/>
      <c r="BC486" s="132"/>
      <c r="BD486" s="132"/>
      <c r="BE486" s="132"/>
      <c r="BF486" s="132"/>
    </row>
    <row r="487" customFormat="false" ht="11.25" hidden="false" customHeight="true" outlineLevel="0" collapsed="false">
      <c r="A487" s="113" t="s">
        <v>1026</v>
      </c>
      <c r="E487" s="80"/>
      <c r="F487" s="810"/>
      <c r="G487" s="138"/>
      <c r="H487" s="811" t="s">
        <v>165</v>
      </c>
      <c r="I487" s="831"/>
      <c r="J487" s="335"/>
      <c r="K487" s="333"/>
      <c r="L487" s="204"/>
      <c r="M487" s="198"/>
      <c r="N487" s="840"/>
      <c r="O487" s="841"/>
      <c r="P487" s="161" t="s">
        <v>1072</v>
      </c>
      <c r="Q487" s="841"/>
      <c r="R487" s="841"/>
      <c r="S487" s="841"/>
      <c r="T487" s="841"/>
      <c r="U487" s="841"/>
      <c r="V487" s="841"/>
      <c r="W487" s="841"/>
      <c r="X487" s="841"/>
      <c r="Y487" s="841"/>
      <c r="Z487" s="841"/>
      <c r="AA487" s="841"/>
      <c r="AB487" s="841"/>
      <c r="AC487" s="841"/>
      <c r="AD487" s="841"/>
      <c r="AE487" s="848"/>
      <c r="AF487" s="835"/>
      <c r="AG487" s="836"/>
      <c r="AH487" s="836"/>
      <c r="AI487" s="835"/>
      <c r="AJ487" s="836"/>
      <c r="AK487" s="836"/>
      <c r="AL487" s="809"/>
      <c r="AM487" s="132"/>
      <c r="AN487" s="132"/>
      <c r="AO487" s="132"/>
      <c r="AP487" s="132"/>
      <c r="AQ487" s="132"/>
      <c r="AR487" s="132"/>
      <c r="AS487" s="132"/>
      <c r="AT487" s="132"/>
      <c r="AU487" s="132"/>
      <c r="AV487" s="132"/>
      <c r="AW487" s="132"/>
      <c r="AX487" s="132"/>
      <c r="AY487" s="132"/>
      <c r="AZ487" s="132"/>
      <c r="BA487" s="132"/>
      <c r="BB487" s="132"/>
      <c r="BC487" s="132"/>
      <c r="BD487" s="132"/>
      <c r="BE487" s="132"/>
      <c r="BF487" s="132"/>
    </row>
    <row r="488" customFormat="false" ht="11.25" hidden="false" customHeight="true" outlineLevel="0" collapsed="false">
      <c r="A488" s="113" t="s">
        <v>1026</v>
      </c>
      <c r="E488" s="80"/>
      <c r="F488" s="810"/>
      <c r="G488" s="138" t="s">
        <v>103</v>
      </c>
      <c r="H488" s="811" t="s">
        <v>165</v>
      </c>
      <c r="I488" s="831"/>
      <c r="J488" s="335"/>
      <c r="K488" s="333" t="s">
        <v>1158</v>
      </c>
      <c r="L488" s="204" t="s">
        <v>19</v>
      </c>
      <c r="M488" s="198"/>
      <c r="N488" s="832"/>
      <c r="O488" s="833" t="s">
        <v>389</v>
      </c>
      <c r="P488" s="834"/>
      <c r="Q488" s="834"/>
      <c r="R488" s="834"/>
      <c r="S488" s="834"/>
      <c r="T488" s="834"/>
      <c r="U488" s="834"/>
      <c r="V488" s="834"/>
      <c r="W488" s="834"/>
      <c r="X488" s="834"/>
      <c r="Y488" s="834"/>
      <c r="Z488" s="834"/>
      <c r="AA488" s="834"/>
      <c r="AB488" s="834"/>
      <c r="AC488" s="834"/>
      <c r="AD488" s="834"/>
      <c r="AE488" s="834"/>
      <c r="AF488" s="835" t="n">
        <v>2021</v>
      </c>
      <c r="AG488" s="836" t="s">
        <v>1059</v>
      </c>
      <c r="AH488" s="836" t="s">
        <v>1075</v>
      </c>
      <c r="AI488" s="835" t="n">
        <v>2022</v>
      </c>
      <c r="AJ488" s="836" t="s">
        <v>1059</v>
      </c>
      <c r="AK488" s="836" t="s">
        <v>1096</v>
      </c>
      <c r="AL488" s="809"/>
      <c r="AM488" s="132"/>
      <c r="AN488" s="132"/>
      <c r="AO488" s="132"/>
      <c r="AP488" s="132"/>
      <c r="AQ488" s="132"/>
      <c r="AR488" s="132"/>
      <c r="AS488" s="132"/>
      <c r="AT488" s="132"/>
      <c r="AU488" s="132"/>
      <c r="AV488" s="132"/>
      <c r="AW488" s="132"/>
      <c r="AX488" s="132"/>
      <c r="AY488" s="132"/>
      <c r="AZ488" s="132"/>
      <c r="BA488" s="132"/>
      <c r="BB488" s="132"/>
      <c r="BC488" s="132"/>
      <c r="BD488" s="132"/>
      <c r="BE488" s="132"/>
      <c r="BF488" s="132"/>
    </row>
    <row r="489" customFormat="false" ht="11.25" hidden="false" customHeight="true" outlineLevel="0" collapsed="false">
      <c r="A489" s="113" t="s">
        <v>1026</v>
      </c>
      <c r="E489" s="80"/>
      <c r="F489" s="810"/>
      <c r="G489" s="138"/>
      <c r="H489" s="811" t="s">
        <v>166</v>
      </c>
      <c r="I489" s="831"/>
      <c r="J489" s="335"/>
      <c r="K489" s="333"/>
      <c r="L489" s="204"/>
      <c r="M489" s="198"/>
      <c r="N489" s="837"/>
      <c r="O489" s="838" t="n">
        <v>1</v>
      </c>
      <c r="P489" s="76" t="s">
        <v>61</v>
      </c>
      <c r="Q489" s="335" t="s">
        <v>1080</v>
      </c>
      <c r="R489" s="839" t="s">
        <v>1064</v>
      </c>
      <c r="S489" s="839" t="s">
        <v>99</v>
      </c>
      <c r="T489" s="839" t="s">
        <v>99</v>
      </c>
      <c r="U489" s="839" t="s">
        <v>100</v>
      </c>
      <c r="V489" s="839" t="s">
        <v>1065</v>
      </c>
      <c r="W489" s="839" t="s">
        <v>1066</v>
      </c>
      <c r="X489" s="839" t="s">
        <v>1081</v>
      </c>
      <c r="Y489" s="839" t="s">
        <v>1082</v>
      </c>
      <c r="Z489" s="840"/>
      <c r="AA489" s="841"/>
      <c r="AB489" s="841"/>
      <c r="AC489" s="842"/>
      <c r="AD489" s="842"/>
      <c r="AE489" s="843"/>
      <c r="AF489" s="835"/>
      <c r="AG489" s="836"/>
      <c r="AH489" s="836"/>
      <c r="AI489" s="835"/>
      <c r="AJ489" s="836"/>
      <c r="AK489" s="836"/>
      <c r="AL489" s="809"/>
      <c r="AM489" s="132"/>
      <c r="AN489" s="132"/>
      <c r="AO489" s="132"/>
      <c r="AP489" s="132"/>
      <c r="AQ489" s="132"/>
      <c r="AR489" s="132"/>
      <c r="AS489" s="132"/>
      <c r="AT489" s="132"/>
      <c r="AU489" s="132"/>
      <c r="AV489" s="132"/>
      <c r="AW489" s="132"/>
      <c r="AX489" s="132"/>
      <c r="AY489" s="132"/>
      <c r="AZ489" s="132"/>
      <c r="BA489" s="132"/>
      <c r="BB489" s="132"/>
      <c r="BC489" s="132"/>
      <c r="BD489" s="132"/>
      <c r="BE489" s="132"/>
      <c r="BF489" s="132"/>
    </row>
    <row r="490" customFormat="false" ht="11.25" hidden="false" customHeight="true" outlineLevel="0" collapsed="false">
      <c r="A490" s="113" t="s">
        <v>1026</v>
      </c>
      <c r="E490" s="80"/>
      <c r="F490" s="810"/>
      <c r="G490" s="138"/>
      <c r="H490" s="811" t="s">
        <v>166</v>
      </c>
      <c r="I490" s="831"/>
      <c r="J490" s="335"/>
      <c r="K490" s="333"/>
      <c r="L490" s="204"/>
      <c r="M490" s="198"/>
      <c r="N490" s="837"/>
      <c r="O490" s="838"/>
      <c r="P490" s="76"/>
      <c r="Q490" s="335"/>
      <c r="R490" s="839"/>
      <c r="S490" s="839"/>
      <c r="T490" s="839"/>
      <c r="U490" s="839"/>
      <c r="V490" s="839"/>
      <c r="W490" s="839"/>
      <c r="X490" s="839"/>
      <c r="Y490" s="839"/>
      <c r="Z490" s="844"/>
      <c r="AA490" s="845" t="n">
        <v>1</v>
      </c>
      <c r="AB490" s="846" t="s">
        <v>1069</v>
      </c>
      <c r="AC490" s="756" t="n">
        <v>0</v>
      </c>
      <c r="AD490" s="846" t="str">
        <f aca="false">AB490</f>
        <v>Прочие амортизационные отчисления</v>
      </c>
      <c r="AE490" s="756" t="n">
        <v>231.204</v>
      </c>
      <c r="AF490" s="835"/>
      <c r="AG490" s="836"/>
      <c r="AH490" s="836"/>
      <c r="AI490" s="835"/>
      <c r="AJ490" s="836"/>
      <c r="AK490" s="836"/>
      <c r="AL490" s="809"/>
      <c r="AM490" s="132"/>
      <c r="AN490" s="132"/>
      <c r="AO490" s="132"/>
      <c r="AP490" s="132"/>
      <c r="AQ490" s="132"/>
      <c r="AR490" s="132"/>
      <c r="AS490" s="132"/>
      <c r="AT490" s="132"/>
      <c r="AU490" s="132"/>
      <c r="AV490" s="132"/>
      <c r="AW490" s="132"/>
      <c r="AX490" s="132"/>
      <c r="AY490" s="132"/>
      <c r="AZ490" s="132"/>
      <c r="BA490" s="132"/>
      <c r="BB490" s="132"/>
      <c r="BC490" s="132"/>
      <c r="BD490" s="132"/>
      <c r="BE490" s="132"/>
      <c r="BF490" s="132"/>
    </row>
    <row r="491" customFormat="false" ht="11.25" hidden="false" customHeight="true" outlineLevel="0" collapsed="false">
      <c r="A491" s="113" t="s">
        <v>1026</v>
      </c>
      <c r="E491" s="80"/>
      <c r="F491" s="810"/>
      <c r="G491" s="138"/>
      <c r="H491" s="811" t="s">
        <v>166</v>
      </c>
      <c r="I491" s="831"/>
      <c r="J491" s="335"/>
      <c r="K491" s="333"/>
      <c r="L491" s="204"/>
      <c r="M491" s="198"/>
      <c r="N491" s="837"/>
      <c r="O491" s="838"/>
      <c r="P491" s="76"/>
      <c r="Q491" s="335"/>
      <c r="R491" s="839"/>
      <c r="S491" s="839"/>
      <c r="T491" s="839"/>
      <c r="U491" s="839"/>
      <c r="V491" s="839"/>
      <c r="W491" s="839"/>
      <c r="X491" s="839"/>
      <c r="Y491" s="839"/>
      <c r="Z491" s="840"/>
      <c r="AA491" s="841"/>
      <c r="AB491" s="161" t="s">
        <v>1071</v>
      </c>
      <c r="AC491" s="842"/>
      <c r="AD491" s="842"/>
      <c r="AE491" s="847"/>
      <c r="AF491" s="835"/>
      <c r="AG491" s="836"/>
      <c r="AH491" s="836"/>
      <c r="AI491" s="835"/>
      <c r="AJ491" s="836"/>
      <c r="AK491" s="836"/>
      <c r="AL491" s="809"/>
      <c r="AM491" s="132"/>
      <c r="AN491" s="132"/>
      <c r="AO491" s="132"/>
      <c r="AP491" s="132"/>
      <c r="AQ491" s="132"/>
      <c r="AR491" s="132"/>
      <c r="AS491" s="132"/>
      <c r="AT491" s="132"/>
      <c r="AU491" s="132"/>
      <c r="AV491" s="132"/>
      <c r="AW491" s="132"/>
      <c r="AX491" s="132"/>
      <c r="AY491" s="132"/>
      <c r="AZ491" s="132"/>
      <c r="BA491" s="132"/>
      <c r="BB491" s="132"/>
      <c r="BC491" s="132"/>
      <c r="BD491" s="132"/>
      <c r="BE491" s="132"/>
      <c r="BF491" s="132"/>
    </row>
    <row r="492" customFormat="false" ht="11.25" hidden="false" customHeight="true" outlineLevel="0" collapsed="false">
      <c r="A492" s="113" t="s">
        <v>1026</v>
      </c>
      <c r="E492" s="80"/>
      <c r="F492" s="810"/>
      <c r="G492" s="138"/>
      <c r="H492" s="811" t="s">
        <v>166</v>
      </c>
      <c r="I492" s="831"/>
      <c r="J492" s="335"/>
      <c r="K492" s="333"/>
      <c r="L492" s="204"/>
      <c r="M492" s="198"/>
      <c r="N492" s="840"/>
      <c r="O492" s="841"/>
      <c r="P492" s="161" t="s">
        <v>1072</v>
      </c>
      <c r="Q492" s="841"/>
      <c r="R492" s="841"/>
      <c r="S492" s="841"/>
      <c r="T492" s="841"/>
      <c r="U492" s="841"/>
      <c r="V492" s="841"/>
      <c r="W492" s="841"/>
      <c r="X492" s="841"/>
      <c r="Y492" s="841"/>
      <c r="Z492" s="841"/>
      <c r="AA492" s="841"/>
      <c r="AB492" s="841"/>
      <c r="AC492" s="841"/>
      <c r="AD492" s="841"/>
      <c r="AE492" s="848"/>
      <c r="AF492" s="835"/>
      <c r="AG492" s="836"/>
      <c r="AH492" s="836"/>
      <c r="AI492" s="835"/>
      <c r="AJ492" s="836"/>
      <c r="AK492" s="836"/>
      <c r="AL492" s="809"/>
      <c r="AM492" s="132"/>
      <c r="AN492" s="132"/>
      <c r="AO492" s="132"/>
      <c r="AP492" s="132"/>
      <c r="AQ492" s="132"/>
      <c r="AR492" s="132"/>
      <c r="AS492" s="132"/>
      <c r="AT492" s="132"/>
      <c r="AU492" s="132"/>
      <c r="AV492" s="132"/>
      <c r="AW492" s="132"/>
      <c r="AX492" s="132"/>
      <c r="AY492" s="132"/>
      <c r="AZ492" s="132"/>
      <c r="BA492" s="132"/>
      <c r="BB492" s="132"/>
      <c r="BC492" s="132"/>
      <c r="BD492" s="132"/>
      <c r="BE492" s="132"/>
      <c r="BF492" s="132"/>
    </row>
    <row r="493" customFormat="false" ht="11.25" hidden="false" customHeight="true" outlineLevel="0" collapsed="false">
      <c r="A493" s="113" t="s">
        <v>1026</v>
      </c>
      <c r="E493" s="80"/>
      <c r="F493" s="810"/>
      <c r="G493" s="138" t="s">
        <v>103</v>
      </c>
      <c r="H493" s="811" t="s">
        <v>166</v>
      </c>
      <c r="I493" s="831"/>
      <c r="J493" s="335"/>
      <c r="K493" s="333" t="s">
        <v>1154</v>
      </c>
      <c r="L493" s="204" t="s">
        <v>19</v>
      </c>
      <c r="M493" s="198"/>
      <c r="N493" s="832"/>
      <c r="O493" s="833" t="s">
        <v>389</v>
      </c>
      <c r="P493" s="834"/>
      <c r="Q493" s="834"/>
      <c r="R493" s="834"/>
      <c r="S493" s="834"/>
      <c r="T493" s="834"/>
      <c r="U493" s="834"/>
      <c r="V493" s="834"/>
      <c r="W493" s="834"/>
      <c r="X493" s="834"/>
      <c r="Y493" s="834"/>
      <c r="Z493" s="834"/>
      <c r="AA493" s="834"/>
      <c r="AB493" s="834"/>
      <c r="AC493" s="834"/>
      <c r="AD493" s="834"/>
      <c r="AE493" s="834"/>
      <c r="AF493" s="835" t="n">
        <v>2021</v>
      </c>
      <c r="AG493" s="836" t="s">
        <v>1059</v>
      </c>
      <c r="AH493" s="836" t="s">
        <v>1075</v>
      </c>
      <c r="AI493" s="835" t="n">
        <v>2022</v>
      </c>
      <c r="AJ493" s="836" t="s">
        <v>1059</v>
      </c>
      <c r="AK493" s="836" t="s">
        <v>1096</v>
      </c>
      <c r="AL493" s="809"/>
      <c r="AM493" s="132"/>
      <c r="AN493" s="132"/>
      <c r="AO493" s="132"/>
      <c r="AP493" s="132"/>
      <c r="AQ493" s="132"/>
      <c r="AR493" s="132"/>
      <c r="AS493" s="132"/>
      <c r="AT493" s="132"/>
      <c r="AU493" s="132"/>
      <c r="AV493" s="132"/>
      <c r="AW493" s="132"/>
      <c r="AX493" s="132"/>
      <c r="AY493" s="132"/>
      <c r="AZ493" s="132"/>
      <c r="BA493" s="132"/>
      <c r="BB493" s="132"/>
      <c r="BC493" s="132"/>
      <c r="BD493" s="132"/>
      <c r="BE493" s="132"/>
      <c r="BF493" s="132"/>
    </row>
    <row r="494" customFormat="false" ht="11.25" hidden="false" customHeight="true" outlineLevel="0" collapsed="false">
      <c r="A494" s="113" t="s">
        <v>1026</v>
      </c>
      <c r="E494" s="80"/>
      <c r="F494" s="810"/>
      <c r="G494" s="138"/>
      <c r="H494" s="811" t="s">
        <v>167</v>
      </c>
      <c r="I494" s="831"/>
      <c r="J494" s="335"/>
      <c r="K494" s="333"/>
      <c r="L494" s="204"/>
      <c r="M494" s="198"/>
      <c r="N494" s="837"/>
      <c r="O494" s="838" t="n">
        <v>1</v>
      </c>
      <c r="P494" s="76" t="s">
        <v>61</v>
      </c>
      <c r="Q494" s="335" t="s">
        <v>1080</v>
      </c>
      <c r="R494" s="839" t="s">
        <v>1064</v>
      </c>
      <c r="S494" s="839" t="s">
        <v>99</v>
      </c>
      <c r="T494" s="839" t="s">
        <v>99</v>
      </c>
      <c r="U494" s="839" t="s">
        <v>100</v>
      </c>
      <c r="V494" s="839" t="s">
        <v>1065</v>
      </c>
      <c r="W494" s="839" t="s">
        <v>1066</v>
      </c>
      <c r="X494" s="839" t="s">
        <v>1081</v>
      </c>
      <c r="Y494" s="839" t="s">
        <v>1082</v>
      </c>
      <c r="Z494" s="840"/>
      <c r="AA494" s="841"/>
      <c r="AB494" s="841"/>
      <c r="AC494" s="842"/>
      <c r="AD494" s="842"/>
      <c r="AE494" s="843"/>
      <c r="AF494" s="835"/>
      <c r="AG494" s="836"/>
      <c r="AH494" s="836"/>
      <c r="AI494" s="835"/>
      <c r="AJ494" s="836"/>
      <c r="AK494" s="836"/>
      <c r="AL494" s="809"/>
      <c r="AM494" s="132"/>
      <c r="AN494" s="132"/>
      <c r="AO494" s="132"/>
      <c r="AP494" s="132"/>
      <c r="AQ494" s="132"/>
      <c r="AR494" s="132"/>
      <c r="AS494" s="132"/>
      <c r="AT494" s="132"/>
      <c r="AU494" s="132"/>
      <c r="AV494" s="132"/>
      <c r="AW494" s="132"/>
      <c r="AX494" s="132"/>
      <c r="AY494" s="132"/>
      <c r="AZ494" s="132"/>
      <c r="BA494" s="132"/>
      <c r="BB494" s="132"/>
      <c r="BC494" s="132"/>
      <c r="BD494" s="132"/>
      <c r="BE494" s="132"/>
      <c r="BF494" s="132"/>
    </row>
    <row r="495" customFormat="false" ht="11.25" hidden="false" customHeight="true" outlineLevel="0" collapsed="false">
      <c r="A495" s="113" t="s">
        <v>1026</v>
      </c>
      <c r="E495" s="80"/>
      <c r="F495" s="810"/>
      <c r="G495" s="138"/>
      <c r="H495" s="811" t="s">
        <v>167</v>
      </c>
      <c r="I495" s="831"/>
      <c r="J495" s="335"/>
      <c r="K495" s="333"/>
      <c r="L495" s="204"/>
      <c r="M495" s="198"/>
      <c r="N495" s="837"/>
      <c r="O495" s="838"/>
      <c r="P495" s="76"/>
      <c r="Q495" s="335"/>
      <c r="R495" s="839"/>
      <c r="S495" s="839"/>
      <c r="T495" s="839"/>
      <c r="U495" s="839"/>
      <c r="V495" s="839"/>
      <c r="W495" s="839"/>
      <c r="X495" s="839"/>
      <c r="Y495" s="839"/>
      <c r="Z495" s="844"/>
      <c r="AA495" s="845" t="n">
        <v>1</v>
      </c>
      <c r="AB495" s="846" t="s">
        <v>1069</v>
      </c>
      <c r="AC495" s="756" t="n">
        <v>0</v>
      </c>
      <c r="AD495" s="846" t="str">
        <f aca="false">AB495</f>
        <v>Прочие амортизационные отчисления</v>
      </c>
      <c r="AE495" s="756" t="n">
        <v>223.58</v>
      </c>
      <c r="AF495" s="835"/>
      <c r="AG495" s="836"/>
      <c r="AH495" s="836"/>
      <c r="AI495" s="835"/>
      <c r="AJ495" s="836"/>
      <c r="AK495" s="836"/>
      <c r="AL495" s="809"/>
      <c r="AM495" s="132"/>
      <c r="AN495" s="132"/>
      <c r="AO495" s="132"/>
      <c r="AP495" s="132"/>
      <c r="AQ495" s="132"/>
      <c r="AR495" s="132"/>
      <c r="AS495" s="132"/>
      <c r="AT495" s="132"/>
      <c r="AU495" s="132"/>
      <c r="AV495" s="132"/>
      <c r="AW495" s="132"/>
      <c r="AX495" s="132"/>
      <c r="AY495" s="132"/>
      <c r="AZ495" s="132"/>
      <c r="BA495" s="132"/>
      <c r="BB495" s="132"/>
      <c r="BC495" s="132"/>
      <c r="BD495" s="132"/>
      <c r="BE495" s="132"/>
      <c r="BF495" s="132"/>
    </row>
    <row r="496" customFormat="false" ht="11.25" hidden="false" customHeight="true" outlineLevel="0" collapsed="false">
      <c r="A496" s="113" t="s">
        <v>1026</v>
      </c>
      <c r="E496" s="80"/>
      <c r="F496" s="810"/>
      <c r="G496" s="138"/>
      <c r="H496" s="811" t="s">
        <v>167</v>
      </c>
      <c r="I496" s="831"/>
      <c r="J496" s="335"/>
      <c r="K496" s="333"/>
      <c r="L496" s="204"/>
      <c r="M496" s="198"/>
      <c r="N496" s="837"/>
      <c r="O496" s="838"/>
      <c r="P496" s="76"/>
      <c r="Q496" s="335"/>
      <c r="R496" s="839"/>
      <c r="S496" s="839"/>
      <c r="T496" s="839"/>
      <c r="U496" s="839"/>
      <c r="V496" s="839"/>
      <c r="W496" s="839"/>
      <c r="X496" s="839"/>
      <c r="Y496" s="839"/>
      <c r="Z496" s="840"/>
      <c r="AA496" s="841"/>
      <c r="AB496" s="161" t="s">
        <v>1071</v>
      </c>
      <c r="AC496" s="842"/>
      <c r="AD496" s="842"/>
      <c r="AE496" s="847"/>
      <c r="AF496" s="835"/>
      <c r="AG496" s="836"/>
      <c r="AH496" s="836"/>
      <c r="AI496" s="835"/>
      <c r="AJ496" s="836"/>
      <c r="AK496" s="836"/>
      <c r="AL496" s="809"/>
      <c r="AM496" s="132"/>
      <c r="AN496" s="132"/>
      <c r="AO496" s="132"/>
      <c r="AP496" s="132"/>
      <c r="AQ496" s="132"/>
      <c r="AR496" s="132"/>
      <c r="AS496" s="132"/>
      <c r="AT496" s="132"/>
      <c r="AU496" s="132"/>
      <c r="AV496" s="132"/>
      <c r="AW496" s="132"/>
      <c r="AX496" s="132"/>
      <c r="AY496" s="132"/>
      <c r="AZ496" s="132"/>
      <c r="BA496" s="132"/>
      <c r="BB496" s="132"/>
      <c r="BC496" s="132"/>
      <c r="BD496" s="132"/>
      <c r="BE496" s="132"/>
      <c r="BF496" s="132"/>
    </row>
    <row r="497" customFormat="false" ht="11.25" hidden="false" customHeight="true" outlineLevel="0" collapsed="false">
      <c r="A497" s="113" t="s">
        <v>1026</v>
      </c>
      <c r="E497" s="80"/>
      <c r="F497" s="810"/>
      <c r="G497" s="138"/>
      <c r="H497" s="811" t="s">
        <v>167</v>
      </c>
      <c r="I497" s="831"/>
      <c r="J497" s="335"/>
      <c r="K497" s="333"/>
      <c r="L497" s="204"/>
      <c r="M497" s="198"/>
      <c r="N497" s="840"/>
      <c r="O497" s="841"/>
      <c r="P497" s="161" t="s">
        <v>1072</v>
      </c>
      <c r="Q497" s="841"/>
      <c r="R497" s="841"/>
      <c r="S497" s="841"/>
      <c r="T497" s="841"/>
      <c r="U497" s="841"/>
      <c r="V497" s="841"/>
      <c r="W497" s="841"/>
      <c r="X497" s="841"/>
      <c r="Y497" s="841"/>
      <c r="Z497" s="841"/>
      <c r="AA497" s="841"/>
      <c r="AB497" s="841"/>
      <c r="AC497" s="841"/>
      <c r="AD497" s="841"/>
      <c r="AE497" s="848"/>
      <c r="AF497" s="835"/>
      <c r="AG497" s="836"/>
      <c r="AH497" s="836"/>
      <c r="AI497" s="835"/>
      <c r="AJ497" s="836"/>
      <c r="AK497" s="836"/>
      <c r="AL497" s="809"/>
      <c r="AM497" s="132"/>
      <c r="AN497" s="132"/>
      <c r="AO497" s="132"/>
      <c r="AP497" s="132"/>
      <c r="AQ497" s="132"/>
      <c r="AR497" s="132"/>
      <c r="AS497" s="132"/>
      <c r="AT497" s="132"/>
      <c r="AU497" s="132"/>
      <c r="AV497" s="132"/>
      <c r="AW497" s="132"/>
      <c r="AX497" s="132"/>
      <c r="AY497" s="132"/>
      <c r="AZ497" s="132"/>
      <c r="BA497" s="132"/>
      <c r="BB497" s="132"/>
      <c r="BC497" s="132"/>
      <c r="BD497" s="132"/>
      <c r="BE497" s="132"/>
      <c r="BF497" s="132"/>
    </row>
    <row r="498" customFormat="false" ht="11.25" hidden="false" customHeight="true" outlineLevel="0" collapsed="false">
      <c r="A498" s="113" t="s">
        <v>1026</v>
      </c>
      <c r="E498" s="80"/>
      <c r="F498" s="810"/>
      <c r="G498" s="138" t="s">
        <v>103</v>
      </c>
      <c r="H498" s="811" t="s">
        <v>167</v>
      </c>
      <c r="I498" s="831"/>
      <c r="J498" s="335"/>
      <c r="K498" s="333" t="s">
        <v>1135</v>
      </c>
      <c r="L498" s="204" t="s">
        <v>19</v>
      </c>
      <c r="M498" s="198"/>
      <c r="N498" s="832"/>
      <c r="O498" s="833" t="s">
        <v>389</v>
      </c>
      <c r="P498" s="834"/>
      <c r="Q498" s="834"/>
      <c r="R498" s="834"/>
      <c r="S498" s="834"/>
      <c r="T498" s="834"/>
      <c r="U498" s="834"/>
      <c r="V498" s="834"/>
      <c r="W498" s="834"/>
      <c r="X498" s="834"/>
      <c r="Y498" s="834"/>
      <c r="Z498" s="834"/>
      <c r="AA498" s="834"/>
      <c r="AB498" s="834"/>
      <c r="AC498" s="834"/>
      <c r="AD498" s="834"/>
      <c r="AE498" s="834"/>
      <c r="AF498" s="835" t="n">
        <v>2019</v>
      </c>
      <c r="AG498" s="836" t="s">
        <v>1059</v>
      </c>
      <c r="AH498" s="836" t="s">
        <v>1060</v>
      </c>
      <c r="AI498" s="835" t="n">
        <v>2022</v>
      </c>
      <c r="AJ498" s="836" t="s">
        <v>1076</v>
      </c>
      <c r="AK498" s="836" t="s">
        <v>1096</v>
      </c>
      <c r="AL498" s="809"/>
      <c r="AM498" s="132"/>
      <c r="AN498" s="132"/>
      <c r="AO498" s="132"/>
      <c r="AP498" s="132"/>
      <c r="AQ498" s="132"/>
      <c r="AR498" s="132"/>
      <c r="AS498" s="132"/>
      <c r="AT498" s="132"/>
      <c r="AU498" s="132"/>
      <c r="AV498" s="132"/>
      <c r="AW498" s="132"/>
      <c r="AX498" s="132"/>
      <c r="AY498" s="132"/>
      <c r="AZ498" s="132"/>
      <c r="BA498" s="132"/>
      <c r="BB498" s="132"/>
      <c r="BC498" s="132"/>
      <c r="BD498" s="132"/>
      <c r="BE498" s="132"/>
      <c r="BF498" s="132"/>
    </row>
    <row r="499" customFormat="false" ht="11.25" hidden="false" customHeight="true" outlineLevel="0" collapsed="false">
      <c r="A499" s="113" t="s">
        <v>1026</v>
      </c>
      <c r="E499" s="80"/>
      <c r="F499" s="810"/>
      <c r="G499" s="138"/>
      <c r="H499" s="811" t="s">
        <v>168</v>
      </c>
      <c r="I499" s="831"/>
      <c r="J499" s="335"/>
      <c r="K499" s="333"/>
      <c r="L499" s="204"/>
      <c r="M499" s="198"/>
      <c r="N499" s="837"/>
      <c r="O499" s="838" t="n">
        <v>1</v>
      </c>
      <c r="P499" s="76" t="s">
        <v>61</v>
      </c>
      <c r="Q499" s="335" t="s">
        <v>1080</v>
      </c>
      <c r="R499" s="839" t="s">
        <v>1064</v>
      </c>
      <c r="S499" s="839" t="s">
        <v>99</v>
      </c>
      <c r="T499" s="839" t="s">
        <v>99</v>
      </c>
      <c r="U499" s="839" t="s">
        <v>100</v>
      </c>
      <c r="V499" s="839" t="s">
        <v>1065</v>
      </c>
      <c r="W499" s="839" t="s">
        <v>1066</v>
      </c>
      <c r="X499" s="839" t="s">
        <v>1081</v>
      </c>
      <c r="Y499" s="839" t="s">
        <v>1082</v>
      </c>
      <c r="Z499" s="840"/>
      <c r="AA499" s="841"/>
      <c r="AB499" s="841"/>
      <c r="AC499" s="842"/>
      <c r="AD499" s="842"/>
      <c r="AE499" s="843"/>
      <c r="AF499" s="835"/>
      <c r="AG499" s="836"/>
      <c r="AH499" s="836"/>
      <c r="AI499" s="835"/>
      <c r="AJ499" s="836"/>
      <c r="AK499" s="836"/>
      <c r="AL499" s="809"/>
      <c r="AM499" s="132"/>
      <c r="AN499" s="132"/>
      <c r="AO499" s="132"/>
      <c r="AP499" s="132"/>
      <c r="AQ499" s="132"/>
      <c r="AR499" s="132"/>
      <c r="AS499" s="132"/>
      <c r="AT499" s="132"/>
      <c r="AU499" s="132"/>
      <c r="AV499" s="132"/>
      <c r="AW499" s="132"/>
      <c r="AX499" s="132"/>
      <c r="AY499" s="132"/>
      <c r="AZ499" s="132"/>
      <c r="BA499" s="132"/>
      <c r="BB499" s="132"/>
      <c r="BC499" s="132"/>
      <c r="BD499" s="132"/>
      <c r="BE499" s="132"/>
      <c r="BF499" s="132"/>
    </row>
    <row r="500" customFormat="false" ht="11.25" hidden="false" customHeight="true" outlineLevel="0" collapsed="false">
      <c r="A500" s="113" t="s">
        <v>1026</v>
      </c>
      <c r="E500" s="80"/>
      <c r="F500" s="810"/>
      <c r="G500" s="138"/>
      <c r="H500" s="811" t="s">
        <v>168</v>
      </c>
      <c r="I500" s="831"/>
      <c r="J500" s="335"/>
      <c r="K500" s="333"/>
      <c r="L500" s="204"/>
      <c r="M500" s="198"/>
      <c r="N500" s="837"/>
      <c r="O500" s="838"/>
      <c r="P500" s="76"/>
      <c r="Q500" s="335"/>
      <c r="R500" s="839"/>
      <c r="S500" s="839"/>
      <c r="T500" s="839"/>
      <c r="U500" s="839"/>
      <c r="V500" s="839"/>
      <c r="W500" s="839"/>
      <c r="X500" s="839"/>
      <c r="Y500" s="839"/>
      <c r="Z500" s="844"/>
      <c r="AA500" s="845" t="n">
        <v>1</v>
      </c>
      <c r="AB500" s="846" t="s">
        <v>1069</v>
      </c>
      <c r="AC500" s="756" t="n">
        <v>0</v>
      </c>
      <c r="AD500" s="846" t="str">
        <f aca="false">AB500</f>
        <v>Прочие амортизационные отчисления</v>
      </c>
      <c r="AE500" s="756" t="n">
        <v>3376.45</v>
      </c>
      <c r="AF500" s="835"/>
      <c r="AG500" s="836"/>
      <c r="AH500" s="836"/>
      <c r="AI500" s="835"/>
      <c r="AJ500" s="836"/>
      <c r="AK500" s="836"/>
      <c r="AL500" s="809"/>
      <c r="AM500" s="132"/>
      <c r="AN500" s="132"/>
      <c r="AO500" s="132"/>
      <c r="AP500" s="132"/>
      <c r="AQ500" s="132"/>
      <c r="AR500" s="132"/>
      <c r="AS500" s="132"/>
      <c r="AT500" s="132"/>
      <c r="AU500" s="132"/>
      <c r="AV500" s="132"/>
      <c r="AW500" s="132"/>
      <c r="AX500" s="132"/>
      <c r="AY500" s="132"/>
      <c r="AZ500" s="132"/>
      <c r="BA500" s="132"/>
      <c r="BB500" s="132"/>
      <c r="BC500" s="132"/>
      <c r="BD500" s="132"/>
      <c r="BE500" s="132"/>
      <c r="BF500" s="132"/>
    </row>
    <row r="501" customFormat="false" ht="11.25" hidden="false" customHeight="true" outlineLevel="0" collapsed="false">
      <c r="A501" s="113" t="s">
        <v>1026</v>
      </c>
      <c r="E501" s="80"/>
      <c r="F501" s="810"/>
      <c r="G501" s="138"/>
      <c r="H501" s="811" t="s">
        <v>168</v>
      </c>
      <c r="I501" s="831"/>
      <c r="J501" s="335"/>
      <c r="K501" s="333"/>
      <c r="L501" s="204"/>
      <c r="M501" s="198"/>
      <c r="N501" s="837"/>
      <c r="O501" s="838"/>
      <c r="P501" s="76"/>
      <c r="Q501" s="335"/>
      <c r="R501" s="839"/>
      <c r="S501" s="839"/>
      <c r="T501" s="839"/>
      <c r="U501" s="839"/>
      <c r="V501" s="839"/>
      <c r="W501" s="839"/>
      <c r="X501" s="839"/>
      <c r="Y501" s="839"/>
      <c r="Z501" s="840"/>
      <c r="AA501" s="841"/>
      <c r="AB501" s="161" t="s">
        <v>1071</v>
      </c>
      <c r="AC501" s="842"/>
      <c r="AD501" s="842"/>
      <c r="AE501" s="847"/>
      <c r="AF501" s="835"/>
      <c r="AG501" s="836"/>
      <c r="AH501" s="836"/>
      <c r="AI501" s="835"/>
      <c r="AJ501" s="836"/>
      <c r="AK501" s="836"/>
      <c r="AL501" s="809"/>
      <c r="AM501" s="132"/>
      <c r="AN501" s="132"/>
      <c r="AO501" s="132"/>
      <c r="AP501" s="132"/>
      <c r="AQ501" s="132"/>
      <c r="AR501" s="132"/>
      <c r="AS501" s="132"/>
      <c r="AT501" s="132"/>
      <c r="AU501" s="132"/>
      <c r="AV501" s="132"/>
      <c r="AW501" s="132"/>
      <c r="AX501" s="132"/>
      <c r="AY501" s="132"/>
      <c r="AZ501" s="132"/>
      <c r="BA501" s="132"/>
      <c r="BB501" s="132"/>
      <c r="BC501" s="132"/>
      <c r="BD501" s="132"/>
      <c r="BE501" s="132"/>
      <c r="BF501" s="132"/>
    </row>
    <row r="502" customFormat="false" ht="11.25" hidden="false" customHeight="true" outlineLevel="0" collapsed="false">
      <c r="A502" s="113" t="s">
        <v>1026</v>
      </c>
      <c r="E502" s="80"/>
      <c r="F502" s="810"/>
      <c r="G502" s="138"/>
      <c r="H502" s="811" t="s">
        <v>168</v>
      </c>
      <c r="I502" s="831"/>
      <c r="J502" s="335"/>
      <c r="K502" s="333"/>
      <c r="L502" s="204"/>
      <c r="M502" s="198"/>
      <c r="N502" s="840"/>
      <c r="O502" s="841"/>
      <c r="P502" s="161" t="s">
        <v>1072</v>
      </c>
      <c r="Q502" s="841"/>
      <c r="R502" s="841"/>
      <c r="S502" s="841"/>
      <c r="T502" s="841"/>
      <c r="U502" s="841"/>
      <c r="V502" s="841"/>
      <c r="W502" s="841"/>
      <c r="X502" s="841"/>
      <c r="Y502" s="841"/>
      <c r="Z502" s="841"/>
      <c r="AA502" s="841"/>
      <c r="AB502" s="841"/>
      <c r="AC502" s="841"/>
      <c r="AD502" s="841"/>
      <c r="AE502" s="848"/>
      <c r="AF502" s="835"/>
      <c r="AG502" s="836"/>
      <c r="AH502" s="836"/>
      <c r="AI502" s="835"/>
      <c r="AJ502" s="836"/>
      <c r="AK502" s="836"/>
      <c r="AL502" s="809"/>
      <c r="AM502" s="132"/>
      <c r="AN502" s="132"/>
      <c r="AO502" s="132"/>
      <c r="AP502" s="132"/>
      <c r="AQ502" s="132"/>
      <c r="AR502" s="132"/>
      <c r="AS502" s="132"/>
      <c r="AT502" s="132"/>
      <c r="AU502" s="132"/>
      <c r="AV502" s="132"/>
      <c r="AW502" s="132"/>
      <c r="AX502" s="132"/>
      <c r="AY502" s="132"/>
      <c r="AZ502" s="132"/>
      <c r="BA502" s="132"/>
      <c r="BB502" s="132"/>
      <c r="BC502" s="132"/>
      <c r="BD502" s="132"/>
      <c r="BE502" s="132"/>
      <c r="BF502" s="132"/>
    </row>
    <row r="503" customFormat="false" ht="11.25" hidden="false" customHeight="true" outlineLevel="0" collapsed="false">
      <c r="A503" s="113" t="s">
        <v>1026</v>
      </c>
      <c r="E503" s="80"/>
      <c r="F503" s="810"/>
      <c r="G503" s="138" t="s">
        <v>103</v>
      </c>
      <c r="H503" s="811" t="s">
        <v>168</v>
      </c>
      <c r="I503" s="831"/>
      <c r="J503" s="335"/>
      <c r="K503" s="333" t="s">
        <v>1160</v>
      </c>
      <c r="L503" s="204" t="s">
        <v>19</v>
      </c>
      <c r="M503" s="198"/>
      <c r="N503" s="832"/>
      <c r="O503" s="833" t="s">
        <v>389</v>
      </c>
      <c r="P503" s="834"/>
      <c r="Q503" s="834"/>
      <c r="R503" s="834"/>
      <c r="S503" s="834"/>
      <c r="T503" s="834"/>
      <c r="U503" s="834"/>
      <c r="V503" s="834"/>
      <c r="W503" s="834"/>
      <c r="X503" s="834"/>
      <c r="Y503" s="834"/>
      <c r="Z503" s="834"/>
      <c r="AA503" s="834"/>
      <c r="AB503" s="834"/>
      <c r="AC503" s="834"/>
      <c r="AD503" s="834"/>
      <c r="AE503" s="834"/>
      <c r="AF503" s="835" t="n">
        <v>2021</v>
      </c>
      <c r="AG503" s="836" t="s">
        <v>1059</v>
      </c>
      <c r="AH503" s="836" t="s">
        <v>1075</v>
      </c>
      <c r="AI503" s="835" t="n">
        <v>2022</v>
      </c>
      <c r="AJ503" s="836" t="s">
        <v>1105</v>
      </c>
      <c r="AK503" s="836" t="s">
        <v>1096</v>
      </c>
      <c r="AL503" s="809"/>
      <c r="AM503" s="132"/>
      <c r="AN503" s="132"/>
      <c r="AO503" s="132"/>
      <c r="AP503" s="132"/>
      <c r="AQ503" s="132"/>
      <c r="AR503" s="132"/>
      <c r="AS503" s="132"/>
      <c r="AT503" s="132"/>
      <c r="AU503" s="132"/>
      <c r="AV503" s="132"/>
      <c r="AW503" s="132"/>
      <c r="AX503" s="132"/>
      <c r="AY503" s="132"/>
      <c r="AZ503" s="132"/>
      <c r="BA503" s="132"/>
      <c r="BB503" s="132"/>
      <c r="BC503" s="132"/>
      <c r="BD503" s="132"/>
      <c r="BE503" s="132"/>
      <c r="BF503" s="132"/>
    </row>
    <row r="504" customFormat="false" ht="11.25" hidden="false" customHeight="true" outlineLevel="0" collapsed="false">
      <c r="A504" s="113" t="s">
        <v>1026</v>
      </c>
      <c r="E504" s="80"/>
      <c r="F504" s="810"/>
      <c r="G504" s="138"/>
      <c r="H504" s="811" t="s">
        <v>1094</v>
      </c>
      <c r="I504" s="831"/>
      <c r="J504" s="335"/>
      <c r="K504" s="333"/>
      <c r="L504" s="204"/>
      <c r="M504" s="198"/>
      <c r="N504" s="837"/>
      <c r="O504" s="838" t="n">
        <v>1</v>
      </c>
      <c r="P504" s="76" t="s">
        <v>61</v>
      </c>
      <c r="Q504" s="335" t="s">
        <v>1080</v>
      </c>
      <c r="R504" s="839" t="s">
        <v>1064</v>
      </c>
      <c r="S504" s="839" t="s">
        <v>99</v>
      </c>
      <c r="T504" s="839" t="s">
        <v>99</v>
      </c>
      <c r="U504" s="839" t="s">
        <v>100</v>
      </c>
      <c r="V504" s="839" t="s">
        <v>1065</v>
      </c>
      <c r="W504" s="839" t="s">
        <v>1066</v>
      </c>
      <c r="X504" s="839" t="s">
        <v>1081</v>
      </c>
      <c r="Y504" s="839" t="s">
        <v>1082</v>
      </c>
      <c r="Z504" s="840"/>
      <c r="AA504" s="841"/>
      <c r="AB504" s="841"/>
      <c r="AC504" s="842"/>
      <c r="AD504" s="842"/>
      <c r="AE504" s="843"/>
      <c r="AF504" s="835"/>
      <c r="AG504" s="836"/>
      <c r="AH504" s="836"/>
      <c r="AI504" s="835"/>
      <c r="AJ504" s="836"/>
      <c r="AK504" s="836"/>
      <c r="AL504" s="809"/>
      <c r="AM504" s="132"/>
      <c r="AN504" s="132"/>
      <c r="AO504" s="132"/>
      <c r="AP504" s="132"/>
      <c r="AQ504" s="132"/>
      <c r="AR504" s="132"/>
      <c r="AS504" s="132"/>
      <c r="AT504" s="132"/>
      <c r="AU504" s="132"/>
      <c r="AV504" s="132"/>
      <c r="AW504" s="132"/>
      <c r="AX504" s="132"/>
      <c r="AY504" s="132"/>
      <c r="AZ504" s="132"/>
      <c r="BA504" s="132"/>
      <c r="BB504" s="132"/>
      <c r="BC504" s="132"/>
      <c r="BD504" s="132"/>
      <c r="BE504" s="132"/>
      <c r="BF504" s="132"/>
    </row>
    <row r="505" customFormat="false" ht="11.25" hidden="false" customHeight="true" outlineLevel="0" collapsed="false">
      <c r="A505" s="113" t="s">
        <v>1026</v>
      </c>
      <c r="E505" s="80"/>
      <c r="F505" s="810"/>
      <c r="G505" s="138"/>
      <c r="H505" s="811" t="s">
        <v>1094</v>
      </c>
      <c r="I505" s="831"/>
      <c r="J505" s="335"/>
      <c r="K505" s="333"/>
      <c r="L505" s="204"/>
      <c r="M505" s="198"/>
      <c r="N505" s="837"/>
      <c r="O505" s="838"/>
      <c r="P505" s="76"/>
      <c r="Q505" s="335"/>
      <c r="R505" s="839"/>
      <c r="S505" s="839"/>
      <c r="T505" s="839"/>
      <c r="U505" s="839"/>
      <c r="V505" s="839"/>
      <c r="W505" s="839"/>
      <c r="X505" s="839"/>
      <c r="Y505" s="839"/>
      <c r="Z505" s="844"/>
      <c r="AA505" s="845" t="n">
        <v>1</v>
      </c>
      <c r="AB505" s="846" t="s">
        <v>1069</v>
      </c>
      <c r="AC505" s="756" t="n">
        <v>0</v>
      </c>
      <c r="AD505" s="846" t="str">
        <f aca="false">AB505</f>
        <v>Прочие амортизационные отчисления</v>
      </c>
      <c r="AE505" s="756" t="n">
        <v>368.511</v>
      </c>
      <c r="AF505" s="835"/>
      <c r="AG505" s="836"/>
      <c r="AH505" s="836"/>
      <c r="AI505" s="835"/>
      <c r="AJ505" s="836"/>
      <c r="AK505" s="836"/>
      <c r="AL505" s="809"/>
      <c r="AM505" s="132"/>
      <c r="AN505" s="132"/>
      <c r="AO505" s="132"/>
      <c r="AP505" s="132"/>
      <c r="AQ505" s="132"/>
      <c r="AR505" s="132"/>
      <c r="AS505" s="132"/>
      <c r="AT505" s="132"/>
      <c r="AU505" s="132"/>
      <c r="AV505" s="132"/>
      <c r="AW505" s="132"/>
      <c r="AX505" s="132"/>
      <c r="AY505" s="132"/>
      <c r="AZ505" s="132"/>
      <c r="BA505" s="132"/>
      <c r="BB505" s="132"/>
      <c r="BC505" s="132"/>
      <c r="BD505" s="132"/>
      <c r="BE505" s="132"/>
      <c r="BF505" s="132"/>
    </row>
    <row r="506" customFormat="false" ht="11.25" hidden="false" customHeight="true" outlineLevel="0" collapsed="false">
      <c r="A506" s="113" t="s">
        <v>1026</v>
      </c>
      <c r="E506" s="80"/>
      <c r="F506" s="810"/>
      <c r="G506" s="138"/>
      <c r="H506" s="811" t="s">
        <v>1094</v>
      </c>
      <c r="I506" s="831"/>
      <c r="J506" s="335"/>
      <c r="K506" s="333"/>
      <c r="L506" s="204"/>
      <c r="M506" s="198"/>
      <c r="N506" s="837"/>
      <c r="O506" s="838"/>
      <c r="P506" s="76"/>
      <c r="Q506" s="335"/>
      <c r="R506" s="839"/>
      <c r="S506" s="839"/>
      <c r="T506" s="839"/>
      <c r="U506" s="839"/>
      <c r="V506" s="839"/>
      <c r="W506" s="839"/>
      <c r="X506" s="839"/>
      <c r="Y506" s="839"/>
      <c r="Z506" s="840"/>
      <c r="AA506" s="841"/>
      <c r="AB506" s="161" t="s">
        <v>1071</v>
      </c>
      <c r="AC506" s="842"/>
      <c r="AD506" s="842"/>
      <c r="AE506" s="847"/>
      <c r="AF506" s="835"/>
      <c r="AG506" s="836"/>
      <c r="AH506" s="836"/>
      <c r="AI506" s="835"/>
      <c r="AJ506" s="836"/>
      <c r="AK506" s="836"/>
      <c r="AL506" s="809"/>
      <c r="AM506" s="132"/>
      <c r="AN506" s="132"/>
      <c r="AO506" s="132"/>
      <c r="AP506" s="132"/>
      <c r="AQ506" s="132"/>
      <c r="AR506" s="132"/>
      <c r="AS506" s="132"/>
      <c r="AT506" s="132"/>
      <c r="AU506" s="132"/>
      <c r="AV506" s="132"/>
      <c r="AW506" s="132"/>
      <c r="AX506" s="132"/>
      <c r="AY506" s="132"/>
      <c r="AZ506" s="132"/>
      <c r="BA506" s="132"/>
      <c r="BB506" s="132"/>
      <c r="BC506" s="132"/>
      <c r="BD506" s="132"/>
      <c r="BE506" s="132"/>
      <c r="BF506" s="132"/>
    </row>
    <row r="507" customFormat="false" ht="11.25" hidden="false" customHeight="true" outlineLevel="0" collapsed="false">
      <c r="A507" s="113" t="s">
        <v>1026</v>
      </c>
      <c r="E507" s="80"/>
      <c r="F507" s="810"/>
      <c r="G507" s="138"/>
      <c r="H507" s="811" t="s">
        <v>1094</v>
      </c>
      <c r="I507" s="831"/>
      <c r="J507" s="335"/>
      <c r="K507" s="333"/>
      <c r="L507" s="204"/>
      <c r="M507" s="198"/>
      <c r="N507" s="840"/>
      <c r="O507" s="841"/>
      <c r="P507" s="161" t="s">
        <v>1072</v>
      </c>
      <c r="Q507" s="841"/>
      <c r="R507" s="841"/>
      <c r="S507" s="841"/>
      <c r="T507" s="841"/>
      <c r="U507" s="841"/>
      <c r="V507" s="841"/>
      <c r="W507" s="841"/>
      <c r="X507" s="841"/>
      <c r="Y507" s="841"/>
      <c r="Z507" s="841"/>
      <c r="AA507" s="841"/>
      <c r="AB507" s="841"/>
      <c r="AC507" s="841"/>
      <c r="AD507" s="841"/>
      <c r="AE507" s="848"/>
      <c r="AF507" s="835"/>
      <c r="AG507" s="836"/>
      <c r="AH507" s="836"/>
      <c r="AI507" s="835"/>
      <c r="AJ507" s="836"/>
      <c r="AK507" s="836"/>
      <c r="AL507" s="809"/>
      <c r="AM507" s="132"/>
      <c r="AN507" s="132"/>
      <c r="AO507" s="132"/>
      <c r="AP507" s="132"/>
      <c r="AQ507" s="132"/>
      <c r="AR507" s="132"/>
      <c r="AS507" s="132"/>
      <c r="AT507" s="132"/>
      <c r="AU507" s="132"/>
      <c r="AV507" s="132"/>
      <c r="AW507" s="132"/>
      <c r="AX507" s="132"/>
      <c r="AY507" s="132"/>
      <c r="AZ507" s="132"/>
      <c r="BA507" s="132"/>
      <c r="BB507" s="132"/>
      <c r="BC507" s="132"/>
      <c r="BD507" s="132"/>
      <c r="BE507" s="132"/>
      <c r="BF507" s="132"/>
    </row>
    <row r="508" customFormat="false" ht="11.25" hidden="false" customHeight="true" outlineLevel="0" collapsed="false">
      <c r="A508" s="113" t="s">
        <v>1026</v>
      </c>
      <c r="E508" s="80"/>
      <c r="F508" s="810"/>
      <c r="G508" s="138" t="s">
        <v>103</v>
      </c>
      <c r="H508" s="811" t="s">
        <v>1094</v>
      </c>
      <c r="I508" s="831"/>
      <c r="J508" s="335"/>
      <c r="K508" s="333" t="s">
        <v>1172</v>
      </c>
      <c r="L508" s="204" t="s">
        <v>19</v>
      </c>
      <c r="M508" s="198"/>
      <c r="N508" s="832"/>
      <c r="O508" s="833" t="s">
        <v>389</v>
      </c>
      <c r="P508" s="834"/>
      <c r="Q508" s="834"/>
      <c r="R508" s="834"/>
      <c r="S508" s="834"/>
      <c r="T508" s="834"/>
      <c r="U508" s="834"/>
      <c r="V508" s="834"/>
      <c r="W508" s="834"/>
      <c r="X508" s="834"/>
      <c r="Y508" s="834"/>
      <c r="Z508" s="834"/>
      <c r="AA508" s="834"/>
      <c r="AB508" s="834"/>
      <c r="AC508" s="834"/>
      <c r="AD508" s="834"/>
      <c r="AE508" s="834"/>
      <c r="AF508" s="835" t="n">
        <v>2022</v>
      </c>
      <c r="AG508" s="836" t="s">
        <v>1059</v>
      </c>
      <c r="AH508" s="836" t="s">
        <v>1096</v>
      </c>
      <c r="AI508" s="835" t="n">
        <v>2023</v>
      </c>
      <c r="AJ508" s="836" t="s">
        <v>1113</v>
      </c>
      <c r="AK508" s="836" t="s">
        <v>1104</v>
      </c>
      <c r="AL508" s="809"/>
      <c r="AM508" s="132"/>
      <c r="AN508" s="132"/>
      <c r="AO508" s="132"/>
      <c r="AP508" s="132"/>
      <c r="AQ508" s="132"/>
      <c r="AR508" s="132"/>
      <c r="AS508" s="132"/>
      <c r="AT508" s="132"/>
      <c r="AU508" s="132"/>
      <c r="AV508" s="132"/>
      <c r="AW508" s="132"/>
      <c r="AX508" s="132"/>
      <c r="AY508" s="132"/>
      <c r="AZ508" s="132"/>
      <c r="BA508" s="132"/>
      <c r="BB508" s="132"/>
      <c r="BC508" s="132"/>
      <c r="BD508" s="132"/>
      <c r="BE508" s="132"/>
      <c r="BF508" s="132"/>
    </row>
    <row r="509" customFormat="false" ht="11.25" hidden="false" customHeight="true" outlineLevel="0" collapsed="false">
      <c r="A509" s="113" t="s">
        <v>1026</v>
      </c>
      <c r="E509" s="80"/>
      <c r="F509" s="810"/>
      <c r="G509" s="138"/>
      <c r="H509" s="811" t="s">
        <v>1100</v>
      </c>
      <c r="I509" s="831"/>
      <c r="J509" s="335"/>
      <c r="K509" s="333"/>
      <c r="L509" s="204"/>
      <c r="M509" s="198"/>
      <c r="N509" s="837"/>
      <c r="O509" s="838" t="n">
        <v>1</v>
      </c>
      <c r="P509" s="76" t="s">
        <v>61</v>
      </c>
      <c r="Q509" s="335" t="s">
        <v>1080</v>
      </c>
      <c r="R509" s="839" t="s">
        <v>1064</v>
      </c>
      <c r="S509" s="839" t="s">
        <v>99</v>
      </c>
      <c r="T509" s="839" t="s">
        <v>99</v>
      </c>
      <c r="U509" s="839" t="s">
        <v>100</v>
      </c>
      <c r="V509" s="839" t="s">
        <v>1065</v>
      </c>
      <c r="W509" s="839" t="s">
        <v>1066</v>
      </c>
      <c r="X509" s="839" t="s">
        <v>1081</v>
      </c>
      <c r="Y509" s="839" t="s">
        <v>1082</v>
      </c>
      <c r="Z509" s="840"/>
      <c r="AA509" s="841"/>
      <c r="AB509" s="841"/>
      <c r="AC509" s="842"/>
      <c r="AD509" s="842"/>
      <c r="AE509" s="843"/>
      <c r="AF509" s="835"/>
      <c r="AG509" s="836"/>
      <c r="AH509" s="836"/>
      <c r="AI509" s="835"/>
      <c r="AJ509" s="836"/>
      <c r="AK509" s="836"/>
      <c r="AL509" s="809"/>
      <c r="AM509" s="132"/>
      <c r="AN509" s="132"/>
      <c r="AO509" s="132"/>
      <c r="AP509" s="132"/>
      <c r="AQ509" s="132"/>
      <c r="AR509" s="132"/>
      <c r="AS509" s="132"/>
      <c r="AT509" s="132"/>
      <c r="AU509" s="132"/>
      <c r="AV509" s="132"/>
      <c r="AW509" s="132"/>
      <c r="AX509" s="132"/>
      <c r="AY509" s="132"/>
      <c r="AZ509" s="132"/>
      <c r="BA509" s="132"/>
      <c r="BB509" s="132"/>
      <c r="BC509" s="132"/>
      <c r="BD509" s="132"/>
      <c r="BE509" s="132"/>
      <c r="BF509" s="132"/>
    </row>
    <row r="510" customFormat="false" ht="11.25" hidden="false" customHeight="true" outlineLevel="0" collapsed="false">
      <c r="A510" s="113" t="s">
        <v>1026</v>
      </c>
      <c r="E510" s="80"/>
      <c r="F510" s="810"/>
      <c r="G510" s="138"/>
      <c r="H510" s="811" t="s">
        <v>1100</v>
      </c>
      <c r="I510" s="831"/>
      <c r="J510" s="335"/>
      <c r="K510" s="333"/>
      <c r="L510" s="204"/>
      <c r="M510" s="198"/>
      <c r="N510" s="837"/>
      <c r="O510" s="838"/>
      <c r="P510" s="76"/>
      <c r="Q510" s="335"/>
      <c r="R510" s="839"/>
      <c r="S510" s="839"/>
      <c r="T510" s="839"/>
      <c r="U510" s="839"/>
      <c r="V510" s="839"/>
      <c r="W510" s="839"/>
      <c r="X510" s="839"/>
      <c r="Y510" s="839"/>
      <c r="Z510" s="844"/>
      <c r="AA510" s="845" t="n">
        <v>1</v>
      </c>
      <c r="AB510" s="846" t="s">
        <v>1069</v>
      </c>
      <c r="AC510" s="756" t="n">
        <v>3732.86155</v>
      </c>
      <c r="AD510" s="846" t="str">
        <f aca="false">AB510</f>
        <v>Прочие амортизационные отчисления</v>
      </c>
      <c r="AE510" s="756" t="n">
        <v>4666.34535</v>
      </c>
      <c r="AF510" s="835"/>
      <c r="AG510" s="836"/>
      <c r="AH510" s="836"/>
      <c r="AI510" s="835"/>
      <c r="AJ510" s="836"/>
      <c r="AK510" s="836"/>
      <c r="AL510" s="809"/>
      <c r="AM510" s="132"/>
      <c r="AN510" s="132"/>
      <c r="AO510" s="132"/>
      <c r="AP510" s="132"/>
      <c r="AQ510" s="132"/>
      <c r="AR510" s="132"/>
      <c r="AS510" s="132"/>
      <c r="AT510" s="132"/>
      <c r="AU510" s="132"/>
      <c r="AV510" s="132"/>
      <c r="AW510" s="132"/>
      <c r="AX510" s="132"/>
      <c r="AY510" s="132"/>
      <c r="AZ510" s="132"/>
      <c r="BA510" s="132"/>
      <c r="BB510" s="132"/>
      <c r="BC510" s="132"/>
      <c r="BD510" s="132"/>
      <c r="BE510" s="132"/>
      <c r="BF510" s="132"/>
    </row>
    <row r="511" customFormat="false" ht="11.25" hidden="false" customHeight="true" outlineLevel="0" collapsed="false">
      <c r="A511" s="113" t="s">
        <v>1026</v>
      </c>
      <c r="E511" s="80"/>
      <c r="F511" s="810"/>
      <c r="G511" s="138"/>
      <c r="H511" s="811" t="s">
        <v>1100</v>
      </c>
      <c r="I511" s="831"/>
      <c r="J511" s="335"/>
      <c r="K511" s="333"/>
      <c r="L511" s="204"/>
      <c r="M511" s="198"/>
      <c r="N511" s="837"/>
      <c r="O511" s="838"/>
      <c r="P511" s="76"/>
      <c r="Q511" s="335"/>
      <c r="R511" s="839"/>
      <c r="S511" s="839"/>
      <c r="T511" s="839"/>
      <c r="U511" s="839"/>
      <c r="V511" s="839"/>
      <c r="W511" s="839"/>
      <c r="X511" s="839"/>
      <c r="Y511" s="839"/>
      <c r="Z511" s="840"/>
      <c r="AA511" s="841"/>
      <c r="AB511" s="161" t="s">
        <v>1071</v>
      </c>
      <c r="AC511" s="842"/>
      <c r="AD511" s="842"/>
      <c r="AE511" s="847"/>
      <c r="AF511" s="835"/>
      <c r="AG511" s="836"/>
      <c r="AH511" s="836"/>
      <c r="AI511" s="835"/>
      <c r="AJ511" s="836"/>
      <c r="AK511" s="836"/>
      <c r="AL511" s="809"/>
      <c r="AM511" s="132"/>
      <c r="AN511" s="132"/>
      <c r="AO511" s="132"/>
      <c r="AP511" s="132"/>
      <c r="AQ511" s="132"/>
      <c r="AR511" s="132"/>
      <c r="AS511" s="132"/>
      <c r="AT511" s="132"/>
      <c r="AU511" s="132"/>
      <c r="AV511" s="132"/>
      <c r="AW511" s="132"/>
      <c r="AX511" s="132"/>
      <c r="AY511" s="132"/>
      <c r="AZ511" s="132"/>
      <c r="BA511" s="132"/>
      <c r="BB511" s="132"/>
      <c r="BC511" s="132"/>
      <c r="BD511" s="132"/>
      <c r="BE511" s="132"/>
      <c r="BF511" s="132"/>
    </row>
    <row r="512" customFormat="false" ht="11.25" hidden="false" customHeight="true" outlineLevel="0" collapsed="false">
      <c r="A512" s="113" t="s">
        <v>1026</v>
      </c>
      <c r="E512" s="80"/>
      <c r="F512" s="810"/>
      <c r="G512" s="138"/>
      <c r="H512" s="811" t="s">
        <v>1100</v>
      </c>
      <c r="I512" s="831"/>
      <c r="J512" s="335"/>
      <c r="K512" s="333"/>
      <c r="L512" s="204"/>
      <c r="M512" s="198"/>
      <c r="N512" s="840"/>
      <c r="O512" s="841"/>
      <c r="P512" s="161" t="s">
        <v>1072</v>
      </c>
      <c r="Q512" s="841"/>
      <c r="R512" s="841"/>
      <c r="S512" s="841"/>
      <c r="T512" s="841"/>
      <c r="U512" s="841"/>
      <c r="V512" s="841"/>
      <c r="W512" s="841"/>
      <c r="X512" s="841"/>
      <c r="Y512" s="841"/>
      <c r="Z512" s="841"/>
      <c r="AA512" s="841"/>
      <c r="AB512" s="841"/>
      <c r="AC512" s="841"/>
      <c r="AD512" s="841"/>
      <c r="AE512" s="848"/>
      <c r="AF512" s="835"/>
      <c r="AG512" s="836"/>
      <c r="AH512" s="836"/>
      <c r="AI512" s="835"/>
      <c r="AJ512" s="836"/>
      <c r="AK512" s="836"/>
      <c r="AL512" s="809"/>
      <c r="AM512" s="132"/>
      <c r="AN512" s="132"/>
      <c r="AO512" s="132"/>
      <c r="AP512" s="132"/>
      <c r="AQ512" s="132"/>
      <c r="AR512" s="132"/>
      <c r="AS512" s="132"/>
      <c r="AT512" s="132"/>
      <c r="AU512" s="132"/>
      <c r="AV512" s="132"/>
      <c r="AW512" s="132"/>
      <c r="AX512" s="132"/>
      <c r="AY512" s="132"/>
      <c r="AZ512" s="132"/>
      <c r="BA512" s="132"/>
      <c r="BB512" s="132"/>
      <c r="BC512" s="132"/>
      <c r="BD512" s="132"/>
      <c r="BE512" s="132"/>
      <c r="BF512" s="132"/>
    </row>
    <row r="513" customFormat="false" ht="11.25" hidden="false" customHeight="true" outlineLevel="0" collapsed="false">
      <c r="A513" s="113" t="s">
        <v>1026</v>
      </c>
      <c r="E513" s="80"/>
      <c r="F513" s="810"/>
      <c r="G513" s="138" t="s">
        <v>103</v>
      </c>
      <c r="H513" s="811" t="s">
        <v>1100</v>
      </c>
      <c r="I513" s="831"/>
      <c r="J513" s="335"/>
      <c r="K513" s="333" t="s">
        <v>1137</v>
      </c>
      <c r="L513" s="204" t="s">
        <v>19</v>
      </c>
      <c r="M513" s="198"/>
      <c r="N513" s="832"/>
      <c r="O513" s="833" t="s">
        <v>389</v>
      </c>
      <c r="P513" s="834"/>
      <c r="Q513" s="834"/>
      <c r="R513" s="834"/>
      <c r="S513" s="834"/>
      <c r="T513" s="834"/>
      <c r="U513" s="834"/>
      <c r="V513" s="834"/>
      <c r="W513" s="834"/>
      <c r="X513" s="834"/>
      <c r="Y513" s="834"/>
      <c r="Z513" s="834"/>
      <c r="AA513" s="834"/>
      <c r="AB513" s="834"/>
      <c r="AC513" s="834"/>
      <c r="AD513" s="834"/>
      <c r="AE513" s="834"/>
      <c r="AF513" s="835" t="n">
        <v>2021</v>
      </c>
      <c r="AG513" s="836" t="s">
        <v>1059</v>
      </c>
      <c r="AH513" s="836" t="s">
        <v>1075</v>
      </c>
      <c r="AI513" s="835" t="n">
        <v>2022</v>
      </c>
      <c r="AJ513" s="836" t="s">
        <v>1059</v>
      </c>
      <c r="AK513" s="836" t="s">
        <v>1096</v>
      </c>
      <c r="AL513" s="809"/>
      <c r="AM513" s="132"/>
      <c r="AN513" s="132"/>
      <c r="AO513" s="132"/>
      <c r="AP513" s="132"/>
      <c r="AQ513" s="132"/>
      <c r="AR513" s="132"/>
      <c r="AS513" s="132"/>
      <c r="AT513" s="132"/>
      <c r="AU513" s="132"/>
      <c r="AV513" s="132"/>
      <c r="AW513" s="132"/>
      <c r="AX513" s="132"/>
      <c r="AY513" s="132"/>
      <c r="AZ513" s="132"/>
      <c r="BA513" s="132"/>
      <c r="BB513" s="132"/>
      <c r="BC513" s="132"/>
      <c r="BD513" s="132"/>
      <c r="BE513" s="132"/>
      <c r="BF513" s="132"/>
    </row>
    <row r="514" customFormat="false" ht="11.25" hidden="false" customHeight="true" outlineLevel="0" collapsed="false">
      <c r="A514" s="113" t="s">
        <v>1026</v>
      </c>
      <c r="E514" s="80"/>
      <c r="F514" s="810"/>
      <c r="G514" s="138"/>
      <c r="H514" s="811" t="s">
        <v>1102</v>
      </c>
      <c r="I514" s="831"/>
      <c r="J514" s="335"/>
      <c r="K514" s="333"/>
      <c r="L514" s="204"/>
      <c r="M514" s="198"/>
      <c r="N514" s="837"/>
      <c r="O514" s="838" t="n">
        <v>1</v>
      </c>
      <c r="P514" s="76" t="s">
        <v>61</v>
      </c>
      <c r="Q514" s="335" t="s">
        <v>1097</v>
      </c>
      <c r="R514" s="839" t="s">
        <v>1064</v>
      </c>
      <c r="S514" s="839" t="s">
        <v>99</v>
      </c>
      <c r="T514" s="839" t="s">
        <v>99</v>
      </c>
      <c r="U514" s="839" t="s">
        <v>100</v>
      </c>
      <c r="V514" s="839" t="s">
        <v>1065</v>
      </c>
      <c r="W514" s="839" t="s">
        <v>1066</v>
      </c>
      <c r="X514" s="839" t="s">
        <v>1098</v>
      </c>
      <c r="Y514" s="839" t="s">
        <v>1099</v>
      </c>
      <c r="Z514" s="840"/>
      <c r="AA514" s="841"/>
      <c r="AB514" s="841"/>
      <c r="AC514" s="842"/>
      <c r="AD514" s="842"/>
      <c r="AE514" s="843"/>
      <c r="AF514" s="835"/>
      <c r="AG514" s="836"/>
      <c r="AH514" s="836"/>
      <c r="AI514" s="835"/>
      <c r="AJ514" s="836"/>
      <c r="AK514" s="836"/>
      <c r="AL514" s="809"/>
      <c r="AM514" s="132"/>
      <c r="AN514" s="132"/>
      <c r="AO514" s="132"/>
      <c r="AP514" s="132"/>
      <c r="AQ514" s="132"/>
      <c r="AR514" s="132"/>
      <c r="AS514" s="132"/>
      <c r="AT514" s="132"/>
      <c r="AU514" s="132"/>
      <c r="AV514" s="132"/>
      <c r="AW514" s="132"/>
      <c r="AX514" s="132"/>
      <c r="AY514" s="132"/>
      <c r="AZ514" s="132"/>
      <c r="BA514" s="132"/>
      <c r="BB514" s="132"/>
      <c r="BC514" s="132"/>
      <c r="BD514" s="132"/>
      <c r="BE514" s="132"/>
      <c r="BF514" s="132"/>
    </row>
    <row r="515" customFormat="false" ht="11.25" hidden="false" customHeight="true" outlineLevel="0" collapsed="false">
      <c r="A515" s="113" t="s">
        <v>1026</v>
      </c>
      <c r="E515" s="80"/>
      <c r="F515" s="810"/>
      <c r="G515" s="138"/>
      <c r="H515" s="811" t="s">
        <v>1102</v>
      </c>
      <c r="I515" s="831"/>
      <c r="J515" s="335"/>
      <c r="K515" s="333"/>
      <c r="L515" s="204"/>
      <c r="M515" s="198"/>
      <c r="N515" s="837"/>
      <c r="O515" s="838"/>
      <c r="P515" s="76"/>
      <c r="Q515" s="335"/>
      <c r="R515" s="839"/>
      <c r="S515" s="839"/>
      <c r="T515" s="839"/>
      <c r="U515" s="839"/>
      <c r="V515" s="839"/>
      <c r="W515" s="839"/>
      <c r="X515" s="839"/>
      <c r="Y515" s="839"/>
      <c r="Z515" s="844"/>
      <c r="AA515" s="845" t="n">
        <v>1</v>
      </c>
      <c r="AB515" s="846" t="s">
        <v>1069</v>
      </c>
      <c r="AC515" s="756" t="n">
        <v>0</v>
      </c>
      <c r="AD515" s="846" t="str">
        <f aca="false">AB515</f>
        <v>Прочие амортизационные отчисления</v>
      </c>
      <c r="AE515" s="756" t="n">
        <v>236.64</v>
      </c>
      <c r="AF515" s="835"/>
      <c r="AG515" s="836"/>
      <c r="AH515" s="836"/>
      <c r="AI515" s="835"/>
      <c r="AJ515" s="836"/>
      <c r="AK515" s="836"/>
      <c r="AL515" s="809"/>
      <c r="AM515" s="132"/>
      <c r="AN515" s="132"/>
      <c r="AO515" s="132"/>
      <c r="AP515" s="132"/>
      <c r="AQ515" s="132"/>
      <c r="AR515" s="132"/>
      <c r="AS515" s="132"/>
      <c r="AT515" s="132"/>
      <c r="AU515" s="132"/>
      <c r="AV515" s="132"/>
      <c r="AW515" s="132"/>
      <c r="AX515" s="132"/>
      <c r="AY515" s="132"/>
      <c r="AZ515" s="132"/>
      <c r="BA515" s="132"/>
      <c r="BB515" s="132"/>
      <c r="BC515" s="132"/>
      <c r="BD515" s="132"/>
      <c r="BE515" s="132"/>
      <c r="BF515" s="132"/>
    </row>
    <row r="516" customFormat="false" ht="11.25" hidden="false" customHeight="true" outlineLevel="0" collapsed="false">
      <c r="A516" s="113" t="s">
        <v>1026</v>
      </c>
      <c r="E516" s="80"/>
      <c r="F516" s="810"/>
      <c r="G516" s="138"/>
      <c r="H516" s="811" t="s">
        <v>1102</v>
      </c>
      <c r="I516" s="831"/>
      <c r="J516" s="335"/>
      <c r="K516" s="333"/>
      <c r="L516" s="204"/>
      <c r="M516" s="198"/>
      <c r="N516" s="837"/>
      <c r="O516" s="838"/>
      <c r="P516" s="76"/>
      <c r="Q516" s="335"/>
      <c r="R516" s="839"/>
      <c r="S516" s="839"/>
      <c r="T516" s="839"/>
      <c r="U516" s="839"/>
      <c r="V516" s="839"/>
      <c r="W516" s="839"/>
      <c r="X516" s="839"/>
      <c r="Y516" s="839"/>
      <c r="Z516" s="840"/>
      <c r="AA516" s="841"/>
      <c r="AB516" s="161" t="s">
        <v>1071</v>
      </c>
      <c r="AC516" s="842"/>
      <c r="AD516" s="842"/>
      <c r="AE516" s="847"/>
      <c r="AF516" s="835"/>
      <c r="AG516" s="836"/>
      <c r="AH516" s="836"/>
      <c r="AI516" s="835"/>
      <c r="AJ516" s="836"/>
      <c r="AK516" s="836"/>
      <c r="AL516" s="809"/>
      <c r="AM516" s="132"/>
      <c r="AN516" s="132"/>
      <c r="AO516" s="132"/>
      <c r="AP516" s="132"/>
      <c r="AQ516" s="132"/>
      <c r="AR516" s="132"/>
      <c r="AS516" s="132"/>
      <c r="AT516" s="132"/>
      <c r="AU516" s="132"/>
      <c r="AV516" s="132"/>
      <c r="AW516" s="132"/>
      <c r="AX516" s="132"/>
      <c r="AY516" s="132"/>
      <c r="AZ516" s="132"/>
      <c r="BA516" s="132"/>
      <c r="BB516" s="132"/>
      <c r="BC516" s="132"/>
      <c r="BD516" s="132"/>
      <c r="BE516" s="132"/>
      <c r="BF516" s="132"/>
    </row>
    <row r="517" customFormat="false" ht="11.25" hidden="false" customHeight="true" outlineLevel="0" collapsed="false">
      <c r="A517" s="113" t="s">
        <v>1026</v>
      </c>
      <c r="E517" s="80"/>
      <c r="F517" s="810"/>
      <c r="G517" s="138"/>
      <c r="H517" s="811" t="s">
        <v>1102</v>
      </c>
      <c r="I517" s="831"/>
      <c r="J517" s="335"/>
      <c r="K517" s="333"/>
      <c r="L517" s="204"/>
      <c r="M517" s="198"/>
      <c r="N517" s="840"/>
      <c r="O517" s="841"/>
      <c r="P517" s="161" t="s">
        <v>1072</v>
      </c>
      <c r="Q517" s="841"/>
      <c r="R517" s="841"/>
      <c r="S517" s="841"/>
      <c r="T517" s="841"/>
      <c r="U517" s="841"/>
      <c r="V517" s="841"/>
      <c r="W517" s="841"/>
      <c r="X517" s="841"/>
      <c r="Y517" s="841"/>
      <c r="Z517" s="841"/>
      <c r="AA517" s="841"/>
      <c r="AB517" s="841"/>
      <c r="AC517" s="841"/>
      <c r="AD517" s="841"/>
      <c r="AE517" s="848"/>
      <c r="AF517" s="835"/>
      <c r="AG517" s="836"/>
      <c r="AH517" s="836"/>
      <c r="AI517" s="835"/>
      <c r="AJ517" s="836"/>
      <c r="AK517" s="836"/>
      <c r="AL517" s="809"/>
      <c r="AM517" s="132"/>
      <c r="AN517" s="132"/>
      <c r="AO517" s="132"/>
      <c r="AP517" s="132"/>
      <c r="AQ517" s="132"/>
      <c r="AR517" s="132"/>
      <c r="AS517" s="132"/>
      <c r="AT517" s="132"/>
      <c r="AU517" s="132"/>
      <c r="AV517" s="132"/>
      <c r="AW517" s="132"/>
      <c r="AX517" s="132"/>
      <c r="AY517" s="132"/>
      <c r="AZ517" s="132"/>
      <c r="BA517" s="132"/>
      <c r="BB517" s="132"/>
      <c r="BC517" s="132"/>
      <c r="BD517" s="132"/>
      <c r="BE517" s="132"/>
      <c r="BF517" s="132"/>
    </row>
    <row r="518" customFormat="false" ht="11.25" hidden="false" customHeight="true" outlineLevel="0" collapsed="false">
      <c r="A518" s="113" t="s">
        <v>1026</v>
      </c>
      <c r="E518" s="80"/>
      <c r="F518" s="810"/>
      <c r="G518" s="138" t="s">
        <v>103</v>
      </c>
      <c r="H518" s="811" t="s">
        <v>1102</v>
      </c>
      <c r="I518" s="831"/>
      <c r="J518" s="335"/>
      <c r="K518" s="333" t="s">
        <v>1173</v>
      </c>
      <c r="L518" s="204" t="s">
        <v>19</v>
      </c>
      <c r="M518" s="198"/>
      <c r="N518" s="832"/>
      <c r="O518" s="833" t="s">
        <v>389</v>
      </c>
      <c r="P518" s="834"/>
      <c r="Q518" s="834"/>
      <c r="R518" s="834"/>
      <c r="S518" s="834"/>
      <c r="T518" s="834"/>
      <c r="U518" s="834"/>
      <c r="V518" s="834"/>
      <c r="W518" s="834"/>
      <c r="X518" s="834"/>
      <c r="Y518" s="834"/>
      <c r="Z518" s="834"/>
      <c r="AA518" s="834"/>
      <c r="AB518" s="834"/>
      <c r="AC518" s="834"/>
      <c r="AD518" s="834"/>
      <c r="AE518" s="834"/>
      <c r="AF518" s="835" t="n">
        <v>2022</v>
      </c>
      <c r="AG518" s="836" t="s">
        <v>1059</v>
      </c>
      <c r="AH518" s="836" t="s">
        <v>1096</v>
      </c>
      <c r="AI518" s="835" t="n">
        <v>2022</v>
      </c>
      <c r="AJ518" s="836" t="s">
        <v>1059</v>
      </c>
      <c r="AK518" s="836" t="s">
        <v>1096</v>
      </c>
      <c r="AL518" s="809"/>
      <c r="AM518" s="132"/>
      <c r="AN518" s="132"/>
      <c r="AO518" s="132"/>
      <c r="AP518" s="132"/>
      <c r="AQ518" s="132"/>
      <c r="AR518" s="132"/>
      <c r="AS518" s="132"/>
      <c r="AT518" s="132"/>
      <c r="AU518" s="132"/>
      <c r="AV518" s="132"/>
      <c r="AW518" s="132"/>
      <c r="AX518" s="132"/>
      <c r="AY518" s="132"/>
      <c r="AZ518" s="132"/>
      <c r="BA518" s="132"/>
      <c r="BB518" s="132"/>
      <c r="BC518" s="132"/>
      <c r="BD518" s="132"/>
      <c r="BE518" s="132"/>
      <c r="BF518" s="132"/>
    </row>
    <row r="519" customFormat="false" ht="11.25" hidden="false" customHeight="true" outlineLevel="0" collapsed="false">
      <c r="A519" s="113" t="s">
        <v>1026</v>
      </c>
      <c r="E519" s="80"/>
      <c r="F519" s="810"/>
      <c r="G519" s="138"/>
      <c r="H519" s="811" t="s">
        <v>1111</v>
      </c>
      <c r="I519" s="831"/>
      <c r="J519" s="335"/>
      <c r="K519" s="333"/>
      <c r="L519" s="204"/>
      <c r="M519" s="198"/>
      <c r="N519" s="837"/>
      <c r="O519" s="838" t="n">
        <v>1</v>
      </c>
      <c r="P519" s="76" t="s">
        <v>61</v>
      </c>
      <c r="Q519" s="335" t="s">
        <v>1063</v>
      </c>
      <c r="R519" s="839" t="s">
        <v>1064</v>
      </c>
      <c r="S519" s="839" t="s">
        <v>99</v>
      </c>
      <c r="T519" s="839" t="s">
        <v>99</v>
      </c>
      <c r="U519" s="839" t="s">
        <v>100</v>
      </c>
      <c r="V519" s="839" t="s">
        <v>1065</v>
      </c>
      <c r="W519" s="839" t="s">
        <v>1066</v>
      </c>
      <c r="X519" s="839" t="s">
        <v>1067</v>
      </c>
      <c r="Y519" s="839" t="s">
        <v>1068</v>
      </c>
      <c r="Z519" s="840"/>
      <c r="AA519" s="841"/>
      <c r="AB519" s="841"/>
      <c r="AC519" s="842"/>
      <c r="AD519" s="842"/>
      <c r="AE519" s="843"/>
      <c r="AF519" s="835"/>
      <c r="AG519" s="836"/>
      <c r="AH519" s="836"/>
      <c r="AI519" s="835"/>
      <c r="AJ519" s="836"/>
      <c r="AK519" s="836"/>
      <c r="AL519" s="809"/>
      <c r="AM519" s="132"/>
      <c r="AN519" s="132"/>
      <c r="AO519" s="132"/>
      <c r="AP519" s="132"/>
      <c r="AQ519" s="132"/>
      <c r="AR519" s="132"/>
      <c r="AS519" s="132"/>
      <c r="AT519" s="132"/>
      <c r="AU519" s="132"/>
      <c r="AV519" s="132"/>
      <c r="AW519" s="132"/>
      <c r="AX519" s="132"/>
      <c r="AY519" s="132"/>
      <c r="AZ519" s="132"/>
      <c r="BA519" s="132"/>
      <c r="BB519" s="132"/>
      <c r="BC519" s="132"/>
      <c r="BD519" s="132"/>
      <c r="BE519" s="132"/>
      <c r="BF519" s="132"/>
    </row>
    <row r="520" customFormat="false" ht="11.25" hidden="false" customHeight="true" outlineLevel="0" collapsed="false">
      <c r="A520" s="113" t="s">
        <v>1026</v>
      </c>
      <c r="E520" s="80"/>
      <c r="F520" s="810"/>
      <c r="G520" s="138"/>
      <c r="H520" s="811" t="s">
        <v>1111</v>
      </c>
      <c r="I520" s="831"/>
      <c r="J520" s="335"/>
      <c r="K520" s="333"/>
      <c r="L520" s="204"/>
      <c r="M520" s="198"/>
      <c r="N520" s="837"/>
      <c r="O520" s="838"/>
      <c r="P520" s="76"/>
      <c r="Q520" s="335"/>
      <c r="R520" s="839"/>
      <c r="S520" s="839"/>
      <c r="T520" s="839"/>
      <c r="U520" s="839"/>
      <c r="V520" s="839"/>
      <c r="W520" s="839"/>
      <c r="X520" s="839"/>
      <c r="Y520" s="839"/>
      <c r="Z520" s="844"/>
      <c r="AA520" s="845" t="n">
        <v>1</v>
      </c>
      <c r="AB520" s="846" t="s">
        <v>1069</v>
      </c>
      <c r="AC520" s="756" t="n">
        <v>835</v>
      </c>
      <c r="AD520" s="846" t="str">
        <f aca="false">AB520</f>
        <v>Прочие амортизационные отчисления</v>
      </c>
      <c r="AE520" s="756" t="n">
        <v>835</v>
      </c>
      <c r="AF520" s="835"/>
      <c r="AG520" s="836"/>
      <c r="AH520" s="836"/>
      <c r="AI520" s="835"/>
      <c r="AJ520" s="836"/>
      <c r="AK520" s="836"/>
      <c r="AL520" s="809"/>
      <c r="AM520" s="132"/>
      <c r="AN520" s="132"/>
      <c r="AO520" s="132"/>
      <c r="AP520" s="132"/>
      <c r="AQ520" s="132"/>
      <c r="AR520" s="132"/>
      <c r="AS520" s="132"/>
      <c r="AT520" s="132"/>
      <c r="AU520" s="132"/>
      <c r="AV520" s="132"/>
      <c r="AW520" s="132"/>
      <c r="AX520" s="132"/>
      <c r="AY520" s="132"/>
      <c r="AZ520" s="132"/>
      <c r="BA520" s="132"/>
      <c r="BB520" s="132"/>
      <c r="BC520" s="132"/>
      <c r="BD520" s="132"/>
      <c r="BE520" s="132"/>
      <c r="BF520" s="132"/>
    </row>
    <row r="521" customFormat="false" ht="11.25" hidden="false" customHeight="true" outlineLevel="0" collapsed="false">
      <c r="A521" s="113" t="s">
        <v>1026</v>
      </c>
      <c r="E521" s="80"/>
      <c r="F521" s="810"/>
      <c r="G521" s="138"/>
      <c r="H521" s="811" t="s">
        <v>1111</v>
      </c>
      <c r="I521" s="831"/>
      <c r="J521" s="335"/>
      <c r="K521" s="333"/>
      <c r="L521" s="204"/>
      <c r="M521" s="198"/>
      <c r="N521" s="837"/>
      <c r="O521" s="838"/>
      <c r="P521" s="76"/>
      <c r="Q521" s="335"/>
      <c r="R521" s="839"/>
      <c r="S521" s="839"/>
      <c r="T521" s="839"/>
      <c r="U521" s="839"/>
      <c r="V521" s="839"/>
      <c r="W521" s="839"/>
      <c r="X521" s="839"/>
      <c r="Y521" s="839"/>
      <c r="Z521" s="840"/>
      <c r="AA521" s="841"/>
      <c r="AB521" s="161" t="s">
        <v>1071</v>
      </c>
      <c r="AC521" s="842"/>
      <c r="AD521" s="842"/>
      <c r="AE521" s="847"/>
      <c r="AF521" s="835"/>
      <c r="AG521" s="836"/>
      <c r="AH521" s="836"/>
      <c r="AI521" s="835"/>
      <c r="AJ521" s="836"/>
      <c r="AK521" s="836"/>
      <c r="AL521" s="809"/>
      <c r="AM521" s="132"/>
      <c r="AN521" s="132"/>
      <c r="AO521" s="132"/>
      <c r="AP521" s="132"/>
      <c r="AQ521" s="132"/>
      <c r="AR521" s="132"/>
      <c r="AS521" s="132"/>
      <c r="AT521" s="132"/>
      <c r="AU521" s="132"/>
      <c r="AV521" s="132"/>
      <c r="AW521" s="132"/>
      <c r="AX521" s="132"/>
      <c r="AY521" s="132"/>
      <c r="AZ521" s="132"/>
      <c r="BA521" s="132"/>
      <c r="BB521" s="132"/>
      <c r="BC521" s="132"/>
      <c r="BD521" s="132"/>
      <c r="BE521" s="132"/>
      <c r="BF521" s="132"/>
    </row>
    <row r="522" customFormat="false" ht="11.25" hidden="false" customHeight="true" outlineLevel="0" collapsed="false">
      <c r="A522" s="113" t="s">
        <v>1026</v>
      </c>
      <c r="E522" s="80"/>
      <c r="F522" s="810"/>
      <c r="G522" s="138"/>
      <c r="H522" s="811" t="s">
        <v>1111</v>
      </c>
      <c r="I522" s="831"/>
      <c r="J522" s="335"/>
      <c r="K522" s="333"/>
      <c r="L522" s="204"/>
      <c r="M522" s="198"/>
      <c r="N522" s="840"/>
      <c r="O522" s="841"/>
      <c r="P522" s="161" t="s">
        <v>1072</v>
      </c>
      <c r="Q522" s="841"/>
      <c r="R522" s="841"/>
      <c r="S522" s="841"/>
      <c r="T522" s="841"/>
      <c r="U522" s="841"/>
      <c r="V522" s="841"/>
      <c r="W522" s="841"/>
      <c r="X522" s="841"/>
      <c r="Y522" s="841"/>
      <c r="Z522" s="841"/>
      <c r="AA522" s="841"/>
      <c r="AB522" s="841"/>
      <c r="AC522" s="841"/>
      <c r="AD522" s="841"/>
      <c r="AE522" s="848"/>
      <c r="AF522" s="835"/>
      <c r="AG522" s="836"/>
      <c r="AH522" s="836"/>
      <c r="AI522" s="835"/>
      <c r="AJ522" s="836"/>
      <c r="AK522" s="836"/>
      <c r="AL522" s="809"/>
      <c r="AM522" s="132"/>
      <c r="AN522" s="132"/>
      <c r="AO522" s="132"/>
      <c r="AP522" s="132"/>
      <c r="AQ522" s="132"/>
      <c r="AR522" s="132"/>
      <c r="AS522" s="132"/>
      <c r="AT522" s="132"/>
      <c r="AU522" s="132"/>
      <c r="AV522" s="132"/>
      <c r="AW522" s="132"/>
      <c r="AX522" s="132"/>
      <c r="AY522" s="132"/>
      <c r="AZ522" s="132"/>
      <c r="BA522" s="132"/>
      <c r="BB522" s="132"/>
      <c r="BC522" s="132"/>
      <c r="BD522" s="132"/>
      <c r="BE522" s="132"/>
      <c r="BF522" s="132"/>
    </row>
    <row r="523" customFormat="false" ht="11.25" hidden="false" customHeight="true" outlineLevel="0" collapsed="false">
      <c r="A523" s="113" t="s">
        <v>1026</v>
      </c>
      <c r="E523" s="80"/>
      <c r="F523" s="810"/>
      <c r="G523" s="138" t="s">
        <v>103</v>
      </c>
      <c r="H523" s="811" t="s">
        <v>1111</v>
      </c>
      <c r="I523" s="831"/>
      <c r="J523" s="335"/>
      <c r="K523" s="333" t="s">
        <v>1103</v>
      </c>
      <c r="L523" s="204" t="s">
        <v>19</v>
      </c>
      <c r="M523" s="198"/>
      <c r="N523" s="832"/>
      <c r="O523" s="833" t="s">
        <v>389</v>
      </c>
      <c r="P523" s="834"/>
      <c r="Q523" s="834"/>
      <c r="R523" s="834"/>
      <c r="S523" s="834"/>
      <c r="T523" s="834"/>
      <c r="U523" s="834"/>
      <c r="V523" s="834"/>
      <c r="W523" s="834"/>
      <c r="X523" s="834"/>
      <c r="Y523" s="834"/>
      <c r="Z523" s="834"/>
      <c r="AA523" s="834"/>
      <c r="AB523" s="834"/>
      <c r="AC523" s="834"/>
      <c r="AD523" s="834"/>
      <c r="AE523" s="834"/>
      <c r="AF523" s="835" t="n">
        <v>2021</v>
      </c>
      <c r="AG523" s="836" t="s">
        <v>1059</v>
      </c>
      <c r="AH523" s="836" t="s">
        <v>1104</v>
      </c>
      <c r="AI523" s="835" t="n">
        <v>2022</v>
      </c>
      <c r="AJ523" s="836" t="s">
        <v>1105</v>
      </c>
      <c r="AK523" s="836" t="s">
        <v>1096</v>
      </c>
      <c r="AL523" s="809"/>
      <c r="AM523" s="132"/>
      <c r="AN523" s="132"/>
      <c r="AO523" s="132"/>
      <c r="AP523" s="132"/>
      <c r="AQ523" s="132"/>
      <c r="AR523" s="132"/>
      <c r="AS523" s="132"/>
      <c r="AT523" s="132"/>
      <c r="AU523" s="132"/>
      <c r="AV523" s="132"/>
      <c r="AW523" s="132"/>
      <c r="AX523" s="132"/>
      <c r="AY523" s="132"/>
      <c r="AZ523" s="132"/>
      <c r="BA523" s="132"/>
      <c r="BB523" s="132"/>
      <c r="BC523" s="132"/>
      <c r="BD523" s="132"/>
      <c r="BE523" s="132"/>
      <c r="BF523" s="132"/>
    </row>
    <row r="524" customFormat="false" ht="11.25" hidden="false" customHeight="true" outlineLevel="0" collapsed="false">
      <c r="A524" s="113" t="s">
        <v>1026</v>
      </c>
      <c r="E524" s="80"/>
      <c r="F524" s="810"/>
      <c r="G524" s="138"/>
      <c r="H524" s="811" t="s">
        <v>1114</v>
      </c>
      <c r="I524" s="831"/>
      <c r="J524" s="335"/>
      <c r="K524" s="333"/>
      <c r="L524" s="204"/>
      <c r="M524" s="198"/>
      <c r="N524" s="837"/>
      <c r="O524" s="838" t="n">
        <v>1</v>
      </c>
      <c r="P524" s="76" t="s">
        <v>61</v>
      </c>
      <c r="Q524" s="335" t="s">
        <v>1106</v>
      </c>
      <c r="R524" s="839" t="s">
        <v>1064</v>
      </c>
      <c r="S524" s="839" t="s">
        <v>106</v>
      </c>
      <c r="T524" s="839" t="s">
        <v>107</v>
      </c>
      <c r="U524" s="839" t="s">
        <v>108</v>
      </c>
      <c r="V524" s="839" t="s">
        <v>1107</v>
      </c>
      <c r="W524" s="839" t="s">
        <v>1108</v>
      </c>
      <c r="X524" s="839" t="s">
        <v>1109</v>
      </c>
      <c r="Y524" s="839" t="s">
        <v>1110</v>
      </c>
      <c r="Z524" s="840"/>
      <c r="AA524" s="841"/>
      <c r="AB524" s="841"/>
      <c r="AC524" s="842"/>
      <c r="AD524" s="842"/>
      <c r="AE524" s="843"/>
      <c r="AF524" s="835"/>
      <c r="AG524" s="836"/>
      <c r="AH524" s="836"/>
      <c r="AI524" s="835"/>
      <c r="AJ524" s="836"/>
      <c r="AK524" s="836"/>
      <c r="AL524" s="809"/>
      <c r="AM524" s="132"/>
      <c r="AN524" s="132"/>
      <c r="AO524" s="132"/>
      <c r="AP524" s="132"/>
      <c r="AQ524" s="132"/>
      <c r="AR524" s="132"/>
      <c r="AS524" s="132"/>
      <c r="AT524" s="132"/>
      <c r="AU524" s="132"/>
      <c r="AV524" s="132"/>
      <c r="AW524" s="132"/>
      <c r="AX524" s="132"/>
      <c r="AY524" s="132"/>
      <c r="AZ524" s="132"/>
      <c r="BA524" s="132"/>
      <c r="BB524" s="132"/>
      <c r="BC524" s="132"/>
      <c r="BD524" s="132"/>
      <c r="BE524" s="132"/>
      <c r="BF524" s="132"/>
    </row>
    <row r="525" customFormat="false" ht="11.25" hidden="false" customHeight="true" outlineLevel="0" collapsed="false">
      <c r="A525" s="113" t="s">
        <v>1026</v>
      </c>
      <c r="E525" s="80"/>
      <c r="F525" s="810"/>
      <c r="G525" s="138"/>
      <c r="H525" s="811" t="s">
        <v>1114</v>
      </c>
      <c r="I525" s="831"/>
      <c r="J525" s="335"/>
      <c r="K525" s="333"/>
      <c r="L525" s="204"/>
      <c r="M525" s="198"/>
      <c r="N525" s="837"/>
      <c r="O525" s="838"/>
      <c r="P525" s="76"/>
      <c r="Q525" s="335"/>
      <c r="R525" s="839"/>
      <c r="S525" s="839"/>
      <c r="T525" s="839"/>
      <c r="U525" s="839"/>
      <c r="V525" s="839"/>
      <c r="W525" s="839"/>
      <c r="X525" s="839"/>
      <c r="Y525" s="839"/>
      <c r="Z525" s="844"/>
      <c r="AA525" s="845" t="n">
        <v>1</v>
      </c>
      <c r="AB525" s="846" t="s">
        <v>1069</v>
      </c>
      <c r="AC525" s="756" t="n">
        <v>1971.35</v>
      </c>
      <c r="AD525" s="846" t="str">
        <f aca="false">AB525</f>
        <v>Прочие амортизационные отчисления</v>
      </c>
      <c r="AE525" s="756" t="n">
        <v>4440.44758</v>
      </c>
      <c r="AF525" s="835"/>
      <c r="AG525" s="836"/>
      <c r="AH525" s="836"/>
      <c r="AI525" s="835"/>
      <c r="AJ525" s="836"/>
      <c r="AK525" s="836"/>
      <c r="AL525" s="809"/>
      <c r="AM525" s="132"/>
      <c r="AN525" s="132"/>
      <c r="AO525" s="132"/>
      <c r="AP525" s="132"/>
      <c r="AQ525" s="132"/>
      <c r="AR525" s="132"/>
      <c r="AS525" s="132"/>
      <c r="AT525" s="132"/>
      <c r="AU525" s="132"/>
      <c r="AV525" s="132"/>
      <c r="AW525" s="132"/>
      <c r="AX525" s="132"/>
      <c r="AY525" s="132"/>
      <c r="AZ525" s="132"/>
      <c r="BA525" s="132"/>
      <c r="BB525" s="132"/>
      <c r="BC525" s="132"/>
      <c r="BD525" s="132"/>
      <c r="BE525" s="132"/>
      <c r="BF525" s="132"/>
    </row>
    <row r="526" customFormat="false" ht="11.25" hidden="false" customHeight="true" outlineLevel="0" collapsed="false">
      <c r="A526" s="113" t="s">
        <v>1026</v>
      </c>
      <c r="E526" s="80"/>
      <c r="F526" s="810"/>
      <c r="G526" s="810"/>
      <c r="H526" s="810"/>
      <c r="I526" s="831"/>
      <c r="J526" s="335"/>
      <c r="K526" s="333"/>
      <c r="L526" s="204"/>
      <c r="M526" s="204"/>
      <c r="N526" s="204"/>
      <c r="O526" s="204"/>
      <c r="P526" s="204"/>
      <c r="Q526" s="204"/>
      <c r="R526" s="204"/>
      <c r="S526" s="204"/>
      <c r="T526" s="204"/>
      <c r="U526" s="204"/>
      <c r="V526" s="204"/>
      <c r="W526" s="204"/>
      <c r="X526" s="204"/>
      <c r="Y526" s="204"/>
      <c r="Z526" s="138" t="s">
        <v>103</v>
      </c>
      <c r="AA526" s="838" t="s">
        <v>102</v>
      </c>
      <c r="AB526" s="846" t="s">
        <v>1070</v>
      </c>
      <c r="AC526" s="756" t="n">
        <v>167.32</v>
      </c>
      <c r="AD526" s="846" t="str">
        <f aca="false">AB526</f>
        <v>Прибыль направляемая на инвестиции</v>
      </c>
      <c r="AE526" s="756" t="n">
        <v>165.83621</v>
      </c>
      <c r="AF526" s="835"/>
      <c r="AG526" s="836"/>
      <c r="AH526" s="836"/>
      <c r="AI526" s="835"/>
      <c r="AJ526" s="836"/>
      <c r="AK526" s="836"/>
      <c r="AL526" s="809"/>
      <c r="AM526" s="132"/>
      <c r="AN526" s="132"/>
      <c r="AO526" s="132"/>
      <c r="AP526" s="132"/>
      <c r="AQ526" s="132"/>
      <c r="AR526" s="132"/>
      <c r="AS526" s="132"/>
      <c r="AT526" s="132"/>
      <c r="AU526" s="132"/>
      <c r="AV526" s="132"/>
      <c r="AW526" s="132"/>
      <c r="AX526" s="132"/>
      <c r="AY526" s="132"/>
      <c r="AZ526" s="132"/>
      <c r="BA526" s="132"/>
      <c r="BB526" s="132"/>
      <c r="BC526" s="132"/>
      <c r="BD526" s="132"/>
      <c r="BE526" s="132"/>
      <c r="BF526" s="132"/>
    </row>
    <row r="527" customFormat="false" ht="11.25" hidden="false" customHeight="true" outlineLevel="0" collapsed="false">
      <c r="A527" s="113" t="s">
        <v>1026</v>
      </c>
      <c r="E527" s="80"/>
      <c r="F527" s="810"/>
      <c r="G527" s="138"/>
      <c r="H527" s="811" t="s">
        <v>1114</v>
      </c>
      <c r="I527" s="831"/>
      <c r="J527" s="335"/>
      <c r="K527" s="333"/>
      <c r="L527" s="204"/>
      <c r="M527" s="198"/>
      <c r="N527" s="837"/>
      <c r="O527" s="838"/>
      <c r="P527" s="76"/>
      <c r="Q527" s="335"/>
      <c r="R527" s="839"/>
      <c r="S527" s="839"/>
      <c r="T527" s="839"/>
      <c r="U527" s="839"/>
      <c r="V527" s="839"/>
      <c r="W527" s="839"/>
      <c r="X527" s="839"/>
      <c r="Y527" s="839"/>
      <c r="Z527" s="840"/>
      <c r="AA527" s="841"/>
      <c r="AB527" s="161" t="s">
        <v>1071</v>
      </c>
      <c r="AC527" s="842"/>
      <c r="AD527" s="842"/>
      <c r="AE527" s="847"/>
      <c r="AF527" s="835"/>
      <c r="AG527" s="836"/>
      <c r="AH527" s="836"/>
      <c r="AI527" s="835"/>
      <c r="AJ527" s="836"/>
      <c r="AK527" s="836"/>
      <c r="AL527" s="809"/>
      <c r="AM527" s="132"/>
      <c r="AN527" s="132"/>
      <c r="AO527" s="132"/>
      <c r="AP527" s="132"/>
      <c r="AQ527" s="132"/>
      <c r="AR527" s="132"/>
      <c r="AS527" s="132"/>
      <c r="AT527" s="132"/>
      <c r="AU527" s="132"/>
      <c r="AV527" s="132"/>
      <c r="AW527" s="132"/>
      <c r="AX527" s="132"/>
      <c r="AY527" s="132"/>
      <c r="AZ527" s="132"/>
      <c r="BA527" s="132"/>
      <c r="BB527" s="132"/>
      <c r="BC527" s="132"/>
      <c r="BD527" s="132"/>
      <c r="BE527" s="132"/>
      <c r="BF527" s="132"/>
    </row>
    <row r="528" customFormat="false" ht="11.25" hidden="false" customHeight="true" outlineLevel="0" collapsed="false">
      <c r="A528" s="113" t="s">
        <v>1026</v>
      </c>
      <c r="E528" s="80"/>
      <c r="F528" s="810"/>
      <c r="G528" s="138"/>
      <c r="H528" s="811" t="s">
        <v>1114</v>
      </c>
      <c r="I528" s="831"/>
      <c r="J528" s="335"/>
      <c r="K528" s="333"/>
      <c r="L528" s="204"/>
      <c r="M528" s="198"/>
      <c r="N528" s="840"/>
      <c r="O528" s="841"/>
      <c r="P528" s="161" t="s">
        <v>1072</v>
      </c>
      <c r="Q528" s="841"/>
      <c r="R528" s="841"/>
      <c r="S528" s="841"/>
      <c r="T528" s="841"/>
      <c r="U528" s="841"/>
      <c r="V528" s="841"/>
      <c r="W528" s="841"/>
      <c r="X528" s="841"/>
      <c r="Y528" s="841"/>
      <c r="Z528" s="841"/>
      <c r="AA528" s="841"/>
      <c r="AB528" s="841"/>
      <c r="AC528" s="841"/>
      <c r="AD528" s="841"/>
      <c r="AE528" s="848"/>
      <c r="AF528" s="835"/>
      <c r="AG528" s="836"/>
      <c r="AH528" s="836"/>
      <c r="AI528" s="835"/>
      <c r="AJ528" s="836"/>
      <c r="AK528" s="836"/>
      <c r="AL528" s="809"/>
      <c r="AM528" s="132"/>
      <c r="AN528" s="132"/>
      <c r="AO528" s="132"/>
      <c r="AP528" s="132"/>
      <c r="AQ528" s="132"/>
      <c r="AR528" s="132"/>
      <c r="AS528" s="132"/>
      <c r="AT528" s="132"/>
      <c r="AU528" s="132"/>
      <c r="AV528" s="132"/>
      <c r="AW528" s="132"/>
      <c r="AX528" s="132"/>
      <c r="AY528" s="132"/>
      <c r="AZ528" s="132"/>
      <c r="BA528" s="132"/>
      <c r="BB528" s="132"/>
      <c r="BC528" s="132"/>
      <c r="BD528" s="132"/>
      <c r="BE528" s="132"/>
      <c r="BF528" s="132"/>
    </row>
    <row r="529" customFormat="false" ht="11.25" hidden="false" customHeight="true" outlineLevel="0" collapsed="false">
      <c r="A529" s="113" t="s">
        <v>1026</v>
      </c>
      <c r="E529" s="80"/>
      <c r="F529" s="810"/>
      <c r="G529" s="138" t="s">
        <v>103</v>
      </c>
      <c r="H529" s="811" t="s">
        <v>1114</v>
      </c>
      <c r="I529" s="831"/>
      <c r="J529" s="335"/>
      <c r="K529" s="333" t="s">
        <v>1174</v>
      </c>
      <c r="L529" s="204" t="s">
        <v>19</v>
      </c>
      <c r="M529" s="198"/>
      <c r="N529" s="832"/>
      <c r="O529" s="833" t="s">
        <v>389</v>
      </c>
      <c r="P529" s="834"/>
      <c r="Q529" s="834"/>
      <c r="R529" s="834"/>
      <c r="S529" s="834"/>
      <c r="T529" s="834"/>
      <c r="U529" s="834"/>
      <c r="V529" s="834"/>
      <c r="W529" s="834"/>
      <c r="X529" s="834"/>
      <c r="Y529" s="834"/>
      <c r="Z529" s="834"/>
      <c r="AA529" s="834"/>
      <c r="AB529" s="834"/>
      <c r="AC529" s="834"/>
      <c r="AD529" s="834"/>
      <c r="AE529" s="834"/>
      <c r="AF529" s="835" t="n">
        <v>2022</v>
      </c>
      <c r="AG529" s="836" t="s">
        <v>1059</v>
      </c>
      <c r="AH529" s="836" t="s">
        <v>1104</v>
      </c>
      <c r="AI529" s="835" t="n">
        <v>2023</v>
      </c>
      <c r="AJ529" s="836" t="s">
        <v>1079</v>
      </c>
      <c r="AK529" s="836" t="s">
        <v>1104</v>
      </c>
      <c r="AL529" s="809"/>
      <c r="AM529" s="132"/>
      <c r="AN529" s="132"/>
      <c r="AO529" s="132"/>
      <c r="AP529" s="132"/>
      <c r="AQ529" s="132"/>
      <c r="AR529" s="132"/>
      <c r="AS529" s="132"/>
      <c r="AT529" s="132"/>
      <c r="AU529" s="132"/>
      <c r="AV529" s="132"/>
      <c r="AW529" s="132"/>
      <c r="AX529" s="132"/>
      <c r="AY529" s="132"/>
      <c r="AZ529" s="132"/>
      <c r="BA529" s="132"/>
      <c r="BB529" s="132"/>
      <c r="BC529" s="132"/>
      <c r="BD529" s="132"/>
      <c r="BE529" s="132"/>
      <c r="BF529" s="132"/>
    </row>
    <row r="530" customFormat="false" ht="11.25" hidden="false" customHeight="true" outlineLevel="0" collapsed="false">
      <c r="A530" s="113" t="s">
        <v>1026</v>
      </c>
      <c r="E530" s="80"/>
      <c r="F530" s="810"/>
      <c r="G530" s="138"/>
      <c r="H530" s="811" t="s">
        <v>1116</v>
      </c>
      <c r="I530" s="831"/>
      <c r="J530" s="335"/>
      <c r="K530" s="333"/>
      <c r="L530" s="204"/>
      <c r="M530" s="198"/>
      <c r="N530" s="837"/>
      <c r="O530" s="838" t="n">
        <v>1</v>
      </c>
      <c r="P530" s="76" t="s">
        <v>61</v>
      </c>
      <c r="Q530" s="335" t="s">
        <v>1106</v>
      </c>
      <c r="R530" s="839" t="s">
        <v>1064</v>
      </c>
      <c r="S530" s="839" t="s">
        <v>106</v>
      </c>
      <c r="T530" s="839" t="s">
        <v>107</v>
      </c>
      <c r="U530" s="839" t="s">
        <v>108</v>
      </c>
      <c r="V530" s="839" t="s">
        <v>1107</v>
      </c>
      <c r="W530" s="839" t="s">
        <v>1108</v>
      </c>
      <c r="X530" s="839" t="s">
        <v>1109</v>
      </c>
      <c r="Y530" s="839" t="s">
        <v>1110</v>
      </c>
      <c r="Z530" s="840"/>
      <c r="AA530" s="841"/>
      <c r="AB530" s="841"/>
      <c r="AC530" s="842"/>
      <c r="AD530" s="842"/>
      <c r="AE530" s="843"/>
      <c r="AF530" s="835"/>
      <c r="AG530" s="836"/>
      <c r="AH530" s="836"/>
      <c r="AI530" s="835"/>
      <c r="AJ530" s="836"/>
      <c r="AK530" s="836"/>
      <c r="AL530" s="809"/>
      <c r="AM530" s="132"/>
      <c r="AN530" s="132"/>
      <c r="AO530" s="132"/>
      <c r="AP530" s="132"/>
      <c r="AQ530" s="132"/>
      <c r="AR530" s="132"/>
      <c r="AS530" s="132"/>
      <c r="AT530" s="132"/>
      <c r="AU530" s="132"/>
      <c r="AV530" s="132"/>
      <c r="AW530" s="132"/>
      <c r="AX530" s="132"/>
      <c r="AY530" s="132"/>
      <c r="AZ530" s="132"/>
      <c r="BA530" s="132"/>
      <c r="BB530" s="132"/>
      <c r="BC530" s="132"/>
      <c r="BD530" s="132"/>
      <c r="BE530" s="132"/>
      <c r="BF530" s="132"/>
    </row>
    <row r="531" customFormat="false" ht="11.25" hidden="false" customHeight="true" outlineLevel="0" collapsed="false">
      <c r="A531" s="113" t="s">
        <v>1026</v>
      </c>
      <c r="E531" s="80"/>
      <c r="F531" s="810"/>
      <c r="G531" s="138"/>
      <c r="H531" s="811" t="s">
        <v>1116</v>
      </c>
      <c r="I531" s="831"/>
      <c r="J531" s="335"/>
      <c r="K531" s="333"/>
      <c r="L531" s="204"/>
      <c r="M531" s="198"/>
      <c r="N531" s="837"/>
      <c r="O531" s="838"/>
      <c r="P531" s="76"/>
      <c r="Q531" s="335"/>
      <c r="R531" s="839"/>
      <c r="S531" s="839"/>
      <c r="T531" s="839"/>
      <c r="U531" s="839"/>
      <c r="V531" s="839"/>
      <c r="W531" s="839"/>
      <c r="X531" s="839"/>
      <c r="Y531" s="839"/>
      <c r="Z531" s="844"/>
      <c r="AA531" s="845" t="n">
        <v>1</v>
      </c>
      <c r="AB531" s="846" t="s">
        <v>1069</v>
      </c>
      <c r="AC531" s="756" t="n">
        <v>1920</v>
      </c>
      <c r="AD531" s="846" t="str">
        <f aca="false">AB531</f>
        <v>Прочие амортизационные отчисления</v>
      </c>
      <c r="AE531" s="756" t="n">
        <v>120</v>
      </c>
      <c r="AF531" s="835"/>
      <c r="AG531" s="836"/>
      <c r="AH531" s="836"/>
      <c r="AI531" s="835"/>
      <c r="AJ531" s="836"/>
      <c r="AK531" s="836"/>
      <c r="AL531" s="809"/>
      <c r="AM531" s="132"/>
      <c r="AN531" s="132"/>
      <c r="AO531" s="132"/>
      <c r="AP531" s="132"/>
      <c r="AQ531" s="132"/>
      <c r="AR531" s="132"/>
      <c r="AS531" s="132"/>
      <c r="AT531" s="132"/>
      <c r="AU531" s="132"/>
      <c r="AV531" s="132"/>
      <c r="AW531" s="132"/>
      <c r="AX531" s="132"/>
      <c r="AY531" s="132"/>
      <c r="AZ531" s="132"/>
      <c r="BA531" s="132"/>
      <c r="BB531" s="132"/>
      <c r="BC531" s="132"/>
      <c r="BD531" s="132"/>
      <c r="BE531" s="132"/>
      <c r="BF531" s="132"/>
    </row>
    <row r="532" customFormat="false" ht="11.25" hidden="false" customHeight="true" outlineLevel="0" collapsed="false">
      <c r="A532" s="113" t="s">
        <v>1026</v>
      </c>
      <c r="E532" s="80"/>
      <c r="F532" s="810"/>
      <c r="G532" s="138"/>
      <c r="H532" s="811" t="s">
        <v>1116</v>
      </c>
      <c r="I532" s="831"/>
      <c r="J532" s="335"/>
      <c r="K532" s="333"/>
      <c r="L532" s="204"/>
      <c r="M532" s="198"/>
      <c r="N532" s="837"/>
      <c r="O532" s="838"/>
      <c r="P532" s="76"/>
      <c r="Q532" s="335"/>
      <c r="R532" s="839"/>
      <c r="S532" s="839"/>
      <c r="T532" s="839"/>
      <c r="U532" s="839"/>
      <c r="V532" s="839"/>
      <c r="W532" s="839"/>
      <c r="X532" s="839"/>
      <c r="Y532" s="839"/>
      <c r="Z532" s="840"/>
      <c r="AA532" s="841"/>
      <c r="AB532" s="161" t="s">
        <v>1071</v>
      </c>
      <c r="AC532" s="842"/>
      <c r="AD532" s="842"/>
      <c r="AE532" s="847"/>
      <c r="AF532" s="835"/>
      <c r="AG532" s="836"/>
      <c r="AH532" s="836"/>
      <c r="AI532" s="835"/>
      <c r="AJ532" s="836"/>
      <c r="AK532" s="836"/>
      <c r="AL532" s="809"/>
      <c r="AM532" s="132"/>
      <c r="AN532" s="132"/>
      <c r="AO532" s="132"/>
      <c r="AP532" s="132"/>
      <c r="AQ532" s="132"/>
      <c r="AR532" s="132"/>
      <c r="AS532" s="132"/>
      <c r="AT532" s="132"/>
      <c r="AU532" s="132"/>
      <c r="AV532" s="132"/>
      <c r="AW532" s="132"/>
      <c r="AX532" s="132"/>
      <c r="AY532" s="132"/>
      <c r="AZ532" s="132"/>
      <c r="BA532" s="132"/>
      <c r="BB532" s="132"/>
      <c r="BC532" s="132"/>
      <c r="BD532" s="132"/>
      <c r="BE532" s="132"/>
      <c r="BF532" s="132"/>
    </row>
    <row r="533" customFormat="false" ht="11.25" hidden="false" customHeight="true" outlineLevel="0" collapsed="false">
      <c r="A533" s="113" t="s">
        <v>1026</v>
      </c>
      <c r="E533" s="80"/>
      <c r="F533" s="810"/>
      <c r="G533" s="138"/>
      <c r="H533" s="811" t="s">
        <v>1116</v>
      </c>
      <c r="I533" s="831"/>
      <c r="J533" s="335"/>
      <c r="K533" s="333"/>
      <c r="L533" s="204"/>
      <c r="M533" s="198"/>
      <c r="N533" s="840"/>
      <c r="O533" s="841"/>
      <c r="P533" s="161" t="s">
        <v>1072</v>
      </c>
      <c r="Q533" s="841"/>
      <c r="R533" s="841"/>
      <c r="S533" s="841"/>
      <c r="T533" s="841"/>
      <c r="U533" s="841"/>
      <c r="V533" s="841"/>
      <c r="W533" s="841"/>
      <c r="X533" s="841"/>
      <c r="Y533" s="841"/>
      <c r="Z533" s="841"/>
      <c r="AA533" s="841"/>
      <c r="AB533" s="841"/>
      <c r="AC533" s="841"/>
      <c r="AD533" s="841"/>
      <c r="AE533" s="848"/>
      <c r="AF533" s="835"/>
      <c r="AG533" s="836"/>
      <c r="AH533" s="836"/>
      <c r="AI533" s="835"/>
      <c r="AJ533" s="836"/>
      <c r="AK533" s="836"/>
      <c r="AL533" s="809"/>
      <c r="AM533" s="132"/>
      <c r="AN533" s="132"/>
      <c r="AO533" s="132"/>
      <c r="AP533" s="132"/>
      <c r="AQ533" s="132"/>
      <c r="AR533" s="132"/>
      <c r="AS533" s="132"/>
      <c r="AT533" s="132"/>
      <c r="AU533" s="132"/>
      <c r="AV533" s="132"/>
      <c r="AW533" s="132"/>
      <c r="AX533" s="132"/>
      <c r="AY533" s="132"/>
      <c r="AZ533" s="132"/>
      <c r="BA533" s="132"/>
      <c r="BB533" s="132"/>
      <c r="BC533" s="132"/>
      <c r="BD533" s="132"/>
      <c r="BE533" s="132"/>
      <c r="BF533" s="132"/>
    </row>
    <row r="534" customFormat="false" ht="11.25" hidden="false" customHeight="true" outlineLevel="0" collapsed="false">
      <c r="A534" s="113" t="s">
        <v>1026</v>
      </c>
      <c r="E534" s="80"/>
      <c r="F534" s="810"/>
      <c r="G534" s="138" t="s">
        <v>103</v>
      </c>
      <c r="H534" s="811" t="s">
        <v>1116</v>
      </c>
      <c r="I534" s="831"/>
      <c r="J534" s="335"/>
      <c r="K534" s="333" t="s">
        <v>1175</v>
      </c>
      <c r="L534" s="204" t="s">
        <v>19</v>
      </c>
      <c r="M534" s="198"/>
      <c r="N534" s="832"/>
      <c r="O534" s="833" t="s">
        <v>389</v>
      </c>
      <c r="P534" s="834"/>
      <c r="Q534" s="834"/>
      <c r="R534" s="834"/>
      <c r="S534" s="834"/>
      <c r="T534" s="834"/>
      <c r="U534" s="834"/>
      <c r="V534" s="834"/>
      <c r="W534" s="834"/>
      <c r="X534" s="834"/>
      <c r="Y534" s="834"/>
      <c r="Z534" s="834"/>
      <c r="AA534" s="834"/>
      <c r="AB534" s="834"/>
      <c r="AC534" s="834"/>
      <c r="AD534" s="834"/>
      <c r="AE534" s="834"/>
      <c r="AF534" s="835" t="n">
        <v>2022</v>
      </c>
      <c r="AG534" s="836" t="s">
        <v>1059</v>
      </c>
      <c r="AH534" s="836" t="s">
        <v>1096</v>
      </c>
      <c r="AI534" s="835" t="n">
        <v>2022</v>
      </c>
      <c r="AJ534" s="836" t="s">
        <v>1059</v>
      </c>
      <c r="AK534" s="836" t="s">
        <v>1096</v>
      </c>
      <c r="AL534" s="809"/>
      <c r="AM534" s="132"/>
      <c r="AN534" s="132"/>
      <c r="AO534" s="132"/>
      <c r="AP534" s="132"/>
      <c r="AQ534" s="132"/>
      <c r="AR534" s="132"/>
      <c r="AS534" s="132"/>
      <c r="AT534" s="132"/>
      <c r="AU534" s="132"/>
      <c r="AV534" s="132"/>
      <c r="AW534" s="132"/>
      <c r="AX534" s="132"/>
      <c r="AY534" s="132"/>
      <c r="AZ534" s="132"/>
      <c r="BA534" s="132"/>
      <c r="BB534" s="132"/>
      <c r="BC534" s="132"/>
      <c r="BD534" s="132"/>
      <c r="BE534" s="132"/>
      <c r="BF534" s="132"/>
    </row>
    <row r="535" customFormat="false" ht="11.25" hidden="false" customHeight="true" outlineLevel="0" collapsed="false">
      <c r="A535" s="113" t="s">
        <v>1026</v>
      </c>
      <c r="E535" s="80"/>
      <c r="F535" s="810"/>
      <c r="G535" s="138"/>
      <c r="H535" s="811" t="s">
        <v>1124</v>
      </c>
      <c r="I535" s="831"/>
      <c r="J535" s="335"/>
      <c r="K535" s="333"/>
      <c r="L535" s="204"/>
      <c r="M535" s="198"/>
      <c r="N535" s="837"/>
      <c r="O535" s="838" t="n">
        <v>1</v>
      </c>
      <c r="P535" s="76" t="s">
        <v>61</v>
      </c>
      <c r="Q535" s="335" t="s">
        <v>1118</v>
      </c>
      <c r="R535" s="839" t="s">
        <v>1119</v>
      </c>
      <c r="S535" s="839" t="s">
        <v>111</v>
      </c>
      <c r="T535" s="839" t="s">
        <v>112</v>
      </c>
      <c r="U535" s="839" t="s">
        <v>113</v>
      </c>
      <c r="V535" s="839" t="s">
        <v>1120</v>
      </c>
      <c r="W535" s="839" t="s">
        <v>1121</v>
      </c>
      <c r="X535" s="839" t="s">
        <v>1122</v>
      </c>
      <c r="Y535" s="839" t="s">
        <v>1123</v>
      </c>
      <c r="Z535" s="840"/>
      <c r="AA535" s="841"/>
      <c r="AB535" s="841"/>
      <c r="AC535" s="842"/>
      <c r="AD535" s="842"/>
      <c r="AE535" s="843"/>
      <c r="AF535" s="835"/>
      <c r="AG535" s="836"/>
      <c r="AH535" s="836"/>
      <c r="AI535" s="835"/>
      <c r="AJ535" s="836"/>
      <c r="AK535" s="836"/>
      <c r="AL535" s="809"/>
      <c r="AM535" s="132"/>
      <c r="AN535" s="132"/>
      <c r="AO535" s="132"/>
      <c r="AP535" s="132"/>
      <c r="AQ535" s="132"/>
      <c r="AR535" s="132"/>
      <c r="AS535" s="132"/>
      <c r="AT535" s="132"/>
      <c r="AU535" s="132"/>
      <c r="AV535" s="132"/>
      <c r="AW535" s="132"/>
      <c r="AX535" s="132"/>
      <c r="AY535" s="132"/>
      <c r="AZ535" s="132"/>
      <c r="BA535" s="132"/>
      <c r="BB535" s="132"/>
      <c r="BC535" s="132"/>
      <c r="BD535" s="132"/>
      <c r="BE535" s="132"/>
      <c r="BF535" s="132"/>
    </row>
    <row r="536" customFormat="false" ht="11.25" hidden="false" customHeight="true" outlineLevel="0" collapsed="false">
      <c r="A536" s="113" t="s">
        <v>1026</v>
      </c>
      <c r="E536" s="80"/>
      <c r="F536" s="810"/>
      <c r="G536" s="138"/>
      <c r="H536" s="811" t="s">
        <v>1124</v>
      </c>
      <c r="I536" s="831"/>
      <c r="J536" s="335"/>
      <c r="K536" s="333"/>
      <c r="L536" s="204"/>
      <c r="M536" s="198"/>
      <c r="N536" s="837"/>
      <c r="O536" s="838"/>
      <c r="P536" s="76"/>
      <c r="Q536" s="335"/>
      <c r="R536" s="839"/>
      <c r="S536" s="839"/>
      <c r="T536" s="839"/>
      <c r="U536" s="839"/>
      <c r="V536" s="839"/>
      <c r="W536" s="839"/>
      <c r="X536" s="839"/>
      <c r="Y536" s="839"/>
      <c r="Z536" s="844"/>
      <c r="AA536" s="845" t="n">
        <v>1</v>
      </c>
      <c r="AB536" s="846" t="s">
        <v>1069</v>
      </c>
      <c r="AC536" s="756" t="n">
        <v>916.0571</v>
      </c>
      <c r="AD536" s="846" t="str">
        <f aca="false">AB536</f>
        <v>Прочие амортизационные отчисления</v>
      </c>
      <c r="AE536" s="756" t="n">
        <v>897.5361</v>
      </c>
      <c r="AF536" s="835"/>
      <c r="AG536" s="836"/>
      <c r="AH536" s="836"/>
      <c r="AI536" s="835"/>
      <c r="AJ536" s="836"/>
      <c r="AK536" s="836"/>
      <c r="AL536" s="809"/>
      <c r="AM536" s="132"/>
      <c r="AN536" s="132"/>
      <c r="AO536" s="132"/>
      <c r="AP536" s="132"/>
      <c r="AQ536" s="132"/>
      <c r="AR536" s="132"/>
      <c r="AS536" s="132"/>
      <c r="AT536" s="132"/>
      <c r="AU536" s="132"/>
      <c r="AV536" s="132"/>
      <c r="AW536" s="132"/>
      <c r="AX536" s="132"/>
      <c r="AY536" s="132"/>
      <c r="AZ536" s="132"/>
      <c r="BA536" s="132"/>
      <c r="BB536" s="132"/>
      <c r="BC536" s="132"/>
      <c r="BD536" s="132"/>
      <c r="BE536" s="132"/>
      <c r="BF536" s="132"/>
    </row>
    <row r="537" customFormat="false" ht="11.25" hidden="false" customHeight="true" outlineLevel="0" collapsed="false">
      <c r="A537" s="113" t="s">
        <v>1026</v>
      </c>
      <c r="E537" s="80"/>
      <c r="F537" s="810"/>
      <c r="G537" s="138"/>
      <c r="H537" s="811" t="s">
        <v>1124</v>
      </c>
      <c r="I537" s="831"/>
      <c r="J537" s="335"/>
      <c r="K537" s="333"/>
      <c r="L537" s="204"/>
      <c r="M537" s="198"/>
      <c r="N537" s="837"/>
      <c r="O537" s="838"/>
      <c r="P537" s="76"/>
      <c r="Q537" s="335"/>
      <c r="R537" s="839"/>
      <c r="S537" s="839"/>
      <c r="T537" s="839"/>
      <c r="U537" s="839"/>
      <c r="V537" s="839"/>
      <c r="W537" s="839"/>
      <c r="X537" s="839"/>
      <c r="Y537" s="839"/>
      <c r="Z537" s="840"/>
      <c r="AA537" s="841"/>
      <c r="AB537" s="161" t="s">
        <v>1071</v>
      </c>
      <c r="AC537" s="842"/>
      <c r="AD537" s="842"/>
      <c r="AE537" s="847"/>
      <c r="AF537" s="835"/>
      <c r="AG537" s="836"/>
      <c r="AH537" s="836"/>
      <c r="AI537" s="835"/>
      <c r="AJ537" s="836"/>
      <c r="AK537" s="836"/>
      <c r="AL537" s="809"/>
      <c r="AM537" s="132"/>
      <c r="AN537" s="132"/>
      <c r="AO537" s="132"/>
      <c r="AP537" s="132"/>
      <c r="AQ537" s="132"/>
      <c r="AR537" s="132"/>
      <c r="AS537" s="132"/>
      <c r="AT537" s="132"/>
      <c r="AU537" s="132"/>
      <c r="AV537" s="132"/>
      <c r="AW537" s="132"/>
      <c r="AX537" s="132"/>
      <c r="AY537" s="132"/>
      <c r="AZ537" s="132"/>
      <c r="BA537" s="132"/>
      <c r="BB537" s="132"/>
      <c r="BC537" s="132"/>
      <c r="BD537" s="132"/>
      <c r="BE537" s="132"/>
      <c r="BF537" s="132"/>
    </row>
    <row r="538" customFormat="false" ht="11.25" hidden="false" customHeight="true" outlineLevel="0" collapsed="false">
      <c r="A538" s="113" t="s">
        <v>1026</v>
      </c>
      <c r="E538" s="80"/>
      <c r="F538" s="810"/>
      <c r="G538" s="138"/>
      <c r="H538" s="811" t="s">
        <v>1124</v>
      </c>
      <c r="I538" s="831"/>
      <c r="J538" s="335"/>
      <c r="K538" s="333"/>
      <c r="L538" s="204"/>
      <c r="M538" s="198"/>
      <c r="N538" s="840"/>
      <c r="O538" s="841"/>
      <c r="P538" s="161" t="s">
        <v>1072</v>
      </c>
      <c r="Q538" s="841"/>
      <c r="R538" s="841"/>
      <c r="S538" s="841"/>
      <c r="T538" s="841"/>
      <c r="U538" s="841"/>
      <c r="V538" s="841"/>
      <c r="W538" s="841"/>
      <c r="X538" s="841"/>
      <c r="Y538" s="841"/>
      <c r="Z538" s="841"/>
      <c r="AA538" s="841"/>
      <c r="AB538" s="841"/>
      <c r="AC538" s="841"/>
      <c r="AD538" s="841"/>
      <c r="AE538" s="848"/>
      <c r="AF538" s="835"/>
      <c r="AG538" s="836"/>
      <c r="AH538" s="836"/>
      <c r="AI538" s="835"/>
      <c r="AJ538" s="836"/>
      <c r="AK538" s="836"/>
      <c r="AL538" s="809"/>
      <c r="AM538" s="132"/>
      <c r="AN538" s="132"/>
      <c r="AO538" s="132"/>
      <c r="AP538" s="132"/>
      <c r="AQ538" s="132"/>
      <c r="AR538" s="132"/>
      <c r="AS538" s="132"/>
      <c r="AT538" s="132"/>
      <c r="AU538" s="132"/>
      <c r="AV538" s="132"/>
      <c r="AW538" s="132"/>
      <c r="AX538" s="132"/>
      <c r="AY538" s="132"/>
      <c r="AZ538" s="132"/>
      <c r="BA538" s="132"/>
      <c r="BB538" s="132"/>
      <c r="BC538" s="132"/>
      <c r="BD538" s="132"/>
      <c r="BE538" s="132"/>
      <c r="BF538" s="132"/>
    </row>
    <row r="539" customFormat="false" ht="11.25" hidden="false" customHeight="true" outlineLevel="0" collapsed="false">
      <c r="A539" s="113" t="s">
        <v>1026</v>
      </c>
      <c r="E539" s="80"/>
      <c r="F539" s="810"/>
      <c r="G539" s="138" t="s">
        <v>103</v>
      </c>
      <c r="H539" s="811" t="s">
        <v>1124</v>
      </c>
      <c r="I539" s="831"/>
      <c r="J539" s="335"/>
      <c r="K539" s="333" t="s">
        <v>1140</v>
      </c>
      <c r="L539" s="204" t="s">
        <v>19</v>
      </c>
      <c r="M539" s="198"/>
      <c r="N539" s="832"/>
      <c r="O539" s="833" t="s">
        <v>389</v>
      </c>
      <c r="P539" s="834"/>
      <c r="Q539" s="834"/>
      <c r="R539" s="834"/>
      <c r="S539" s="834"/>
      <c r="T539" s="834"/>
      <c r="U539" s="834"/>
      <c r="V539" s="834"/>
      <c r="W539" s="834"/>
      <c r="X539" s="834"/>
      <c r="Y539" s="834"/>
      <c r="Z539" s="834"/>
      <c r="AA539" s="834"/>
      <c r="AB539" s="834"/>
      <c r="AC539" s="834"/>
      <c r="AD539" s="834"/>
      <c r="AE539" s="834"/>
      <c r="AF539" s="835" t="n">
        <v>2022</v>
      </c>
      <c r="AG539" s="836" t="s">
        <v>1059</v>
      </c>
      <c r="AH539" s="836" t="s">
        <v>1096</v>
      </c>
      <c r="AI539" s="835" t="n">
        <v>2022</v>
      </c>
      <c r="AJ539" s="836" t="s">
        <v>1059</v>
      </c>
      <c r="AK539" s="836" t="s">
        <v>1096</v>
      </c>
      <c r="AL539" s="809"/>
      <c r="AM539" s="132"/>
      <c r="AN539" s="132"/>
      <c r="AO539" s="132"/>
      <c r="AP539" s="132"/>
      <c r="AQ539" s="132"/>
      <c r="AR539" s="132"/>
      <c r="AS539" s="132"/>
      <c r="AT539" s="132"/>
      <c r="AU539" s="132"/>
      <c r="AV539" s="132"/>
      <c r="AW539" s="132"/>
      <c r="AX539" s="132"/>
      <c r="AY539" s="132"/>
      <c r="AZ539" s="132"/>
      <c r="BA539" s="132"/>
      <c r="BB539" s="132"/>
      <c r="BC539" s="132"/>
      <c r="BD539" s="132"/>
      <c r="BE539" s="132"/>
      <c r="BF539" s="132"/>
    </row>
    <row r="540" customFormat="false" ht="11.25" hidden="false" customHeight="true" outlineLevel="0" collapsed="false">
      <c r="A540" s="113" t="s">
        <v>1026</v>
      </c>
      <c r="E540" s="80"/>
      <c r="F540" s="810"/>
      <c r="G540" s="138"/>
      <c r="H540" s="811" t="s">
        <v>1126</v>
      </c>
      <c r="I540" s="831"/>
      <c r="J540" s="335"/>
      <c r="K540" s="333"/>
      <c r="L540" s="204"/>
      <c r="M540" s="198"/>
      <c r="N540" s="837"/>
      <c r="O540" s="838" t="n">
        <v>1</v>
      </c>
      <c r="P540" s="76" t="s">
        <v>61</v>
      </c>
      <c r="Q540" s="335" t="s">
        <v>1118</v>
      </c>
      <c r="R540" s="839" t="s">
        <v>1119</v>
      </c>
      <c r="S540" s="839" t="s">
        <v>111</v>
      </c>
      <c r="T540" s="839" t="s">
        <v>112</v>
      </c>
      <c r="U540" s="839" t="s">
        <v>113</v>
      </c>
      <c r="V540" s="839" t="s">
        <v>1120</v>
      </c>
      <c r="W540" s="839" t="s">
        <v>1121</v>
      </c>
      <c r="X540" s="839" t="s">
        <v>1122</v>
      </c>
      <c r="Y540" s="839" t="s">
        <v>1123</v>
      </c>
      <c r="Z540" s="840"/>
      <c r="AA540" s="841"/>
      <c r="AB540" s="841"/>
      <c r="AC540" s="842"/>
      <c r="AD540" s="842"/>
      <c r="AE540" s="843"/>
      <c r="AF540" s="835"/>
      <c r="AG540" s="836"/>
      <c r="AH540" s="836"/>
      <c r="AI540" s="835"/>
      <c r="AJ540" s="836"/>
      <c r="AK540" s="836"/>
      <c r="AL540" s="809"/>
      <c r="AM540" s="132"/>
      <c r="AN540" s="132"/>
      <c r="AO540" s="132"/>
      <c r="AP540" s="132"/>
      <c r="AQ540" s="132"/>
      <c r="AR540" s="132"/>
      <c r="AS540" s="132"/>
      <c r="AT540" s="132"/>
      <c r="AU540" s="132"/>
      <c r="AV540" s="132"/>
      <c r="AW540" s="132"/>
      <c r="AX540" s="132"/>
      <c r="AY540" s="132"/>
      <c r="AZ540" s="132"/>
      <c r="BA540" s="132"/>
      <c r="BB540" s="132"/>
      <c r="BC540" s="132"/>
      <c r="BD540" s="132"/>
      <c r="BE540" s="132"/>
      <c r="BF540" s="132"/>
    </row>
    <row r="541" customFormat="false" ht="11.25" hidden="false" customHeight="true" outlineLevel="0" collapsed="false">
      <c r="A541" s="113" t="s">
        <v>1026</v>
      </c>
      <c r="E541" s="80"/>
      <c r="F541" s="810"/>
      <c r="G541" s="138"/>
      <c r="H541" s="811" t="s">
        <v>1126</v>
      </c>
      <c r="I541" s="831"/>
      <c r="J541" s="335"/>
      <c r="K541" s="333"/>
      <c r="L541" s="204"/>
      <c r="M541" s="198"/>
      <c r="N541" s="837"/>
      <c r="O541" s="838"/>
      <c r="P541" s="76"/>
      <c r="Q541" s="335"/>
      <c r="R541" s="839"/>
      <c r="S541" s="839"/>
      <c r="T541" s="839"/>
      <c r="U541" s="839"/>
      <c r="V541" s="839"/>
      <c r="W541" s="839"/>
      <c r="X541" s="839"/>
      <c r="Y541" s="839"/>
      <c r="Z541" s="844"/>
      <c r="AA541" s="845" t="n">
        <v>1</v>
      </c>
      <c r="AB541" s="846" t="s">
        <v>1069</v>
      </c>
      <c r="AC541" s="756" t="n">
        <v>2368.156</v>
      </c>
      <c r="AD541" s="846" t="str">
        <f aca="false">AB541</f>
        <v>Прочие амортизационные отчисления</v>
      </c>
      <c r="AE541" s="756" t="n">
        <v>2228.30251</v>
      </c>
      <c r="AF541" s="835"/>
      <c r="AG541" s="836"/>
      <c r="AH541" s="836"/>
      <c r="AI541" s="835"/>
      <c r="AJ541" s="836"/>
      <c r="AK541" s="836"/>
      <c r="AL541" s="809"/>
      <c r="AM541" s="132"/>
      <c r="AN541" s="132"/>
      <c r="AO541" s="132"/>
      <c r="AP541" s="132"/>
      <c r="AQ541" s="132"/>
      <c r="AR541" s="132"/>
      <c r="AS541" s="132"/>
      <c r="AT541" s="132"/>
      <c r="AU541" s="132"/>
      <c r="AV541" s="132"/>
      <c r="AW541" s="132"/>
      <c r="AX541" s="132"/>
      <c r="AY541" s="132"/>
      <c r="AZ541" s="132"/>
      <c r="BA541" s="132"/>
      <c r="BB541" s="132"/>
      <c r="BC541" s="132"/>
      <c r="BD541" s="132"/>
      <c r="BE541" s="132"/>
      <c r="BF541" s="132"/>
    </row>
    <row r="542" customFormat="false" ht="11.25" hidden="false" customHeight="true" outlineLevel="0" collapsed="false">
      <c r="A542" s="113" t="s">
        <v>1026</v>
      </c>
      <c r="E542" s="80"/>
      <c r="F542" s="810"/>
      <c r="G542" s="138"/>
      <c r="H542" s="811" t="s">
        <v>1126</v>
      </c>
      <c r="I542" s="831"/>
      <c r="J542" s="335"/>
      <c r="K542" s="333"/>
      <c r="L542" s="204"/>
      <c r="M542" s="198"/>
      <c r="N542" s="837"/>
      <c r="O542" s="838"/>
      <c r="P542" s="76"/>
      <c r="Q542" s="335"/>
      <c r="R542" s="839"/>
      <c r="S542" s="839"/>
      <c r="T542" s="839"/>
      <c r="U542" s="839"/>
      <c r="V542" s="839"/>
      <c r="W542" s="839"/>
      <c r="X542" s="839"/>
      <c r="Y542" s="839"/>
      <c r="Z542" s="840"/>
      <c r="AA542" s="841"/>
      <c r="AB542" s="161" t="s">
        <v>1071</v>
      </c>
      <c r="AC542" s="842"/>
      <c r="AD542" s="842"/>
      <c r="AE542" s="847"/>
      <c r="AF542" s="835"/>
      <c r="AG542" s="836"/>
      <c r="AH542" s="836"/>
      <c r="AI542" s="835"/>
      <c r="AJ542" s="836"/>
      <c r="AK542" s="836"/>
      <c r="AL542" s="809"/>
      <c r="AM542" s="132"/>
      <c r="AN542" s="132"/>
      <c r="AO542" s="132"/>
      <c r="AP542" s="132"/>
      <c r="AQ542" s="132"/>
      <c r="AR542" s="132"/>
      <c r="AS542" s="132"/>
      <c r="AT542" s="132"/>
      <c r="AU542" s="132"/>
      <c r="AV542" s="132"/>
      <c r="AW542" s="132"/>
      <c r="AX542" s="132"/>
      <c r="AY542" s="132"/>
      <c r="AZ542" s="132"/>
      <c r="BA542" s="132"/>
      <c r="BB542" s="132"/>
      <c r="BC542" s="132"/>
      <c r="BD542" s="132"/>
      <c r="BE542" s="132"/>
      <c r="BF542" s="132"/>
    </row>
    <row r="543" customFormat="false" ht="11.25" hidden="false" customHeight="true" outlineLevel="0" collapsed="false">
      <c r="A543" s="113" t="s">
        <v>1026</v>
      </c>
      <c r="E543" s="80"/>
      <c r="F543" s="810"/>
      <c r="G543" s="138"/>
      <c r="H543" s="811" t="s">
        <v>1126</v>
      </c>
      <c r="I543" s="831"/>
      <c r="J543" s="335"/>
      <c r="K543" s="333"/>
      <c r="L543" s="204"/>
      <c r="M543" s="198"/>
      <c r="N543" s="840"/>
      <c r="O543" s="841"/>
      <c r="P543" s="161" t="s">
        <v>1072</v>
      </c>
      <c r="Q543" s="841"/>
      <c r="R543" s="841"/>
      <c r="S543" s="841"/>
      <c r="T543" s="841"/>
      <c r="U543" s="841"/>
      <c r="V543" s="841"/>
      <c r="W543" s="841"/>
      <c r="X543" s="841"/>
      <c r="Y543" s="841"/>
      <c r="Z543" s="841"/>
      <c r="AA543" s="841"/>
      <c r="AB543" s="841"/>
      <c r="AC543" s="841"/>
      <c r="AD543" s="841"/>
      <c r="AE543" s="848"/>
      <c r="AF543" s="835"/>
      <c r="AG543" s="836"/>
      <c r="AH543" s="836"/>
      <c r="AI543" s="835"/>
      <c r="AJ543" s="836"/>
      <c r="AK543" s="836"/>
      <c r="AL543" s="809"/>
      <c r="AM543" s="132"/>
      <c r="AN543" s="132"/>
      <c r="AO543" s="132"/>
      <c r="AP543" s="132"/>
      <c r="AQ543" s="132"/>
      <c r="AR543" s="132"/>
      <c r="AS543" s="132"/>
      <c r="AT543" s="132"/>
      <c r="AU543" s="132"/>
      <c r="AV543" s="132"/>
      <c r="AW543" s="132"/>
      <c r="AX543" s="132"/>
      <c r="AY543" s="132"/>
      <c r="AZ543" s="132"/>
      <c r="BA543" s="132"/>
      <c r="BB543" s="132"/>
      <c r="BC543" s="132"/>
      <c r="BD543" s="132"/>
      <c r="BE543" s="132"/>
      <c r="BF543" s="132"/>
    </row>
    <row r="544" customFormat="false" ht="11.25" hidden="false" customHeight="true" outlineLevel="0" collapsed="false">
      <c r="A544" s="113" t="s">
        <v>1026</v>
      </c>
      <c r="E544" s="80"/>
      <c r="F544" s="810"/>
      <c r="G544" s="138" t="s">
        <v>103</v>
      </c>
      <c r="H544" s="811" t="s">
        <v>1126</v>
      </c>
      <c r="I544" s="831"/>
      <c r="J544" s="335"/>
      <c r="K544" s="333" t="s">
        <v>1163</v>
      </c>
      <c r="L544" s="204" t="s">
        <v>19</v>
      </c>
      <c r="M544" s="198"/>
      <c r="N544" s="832"/>
      <c r="O544" s="833" t="s">
        <v>389</v>
      </c>
      <c r="P544" s="834"/>
      <c r="Q544" s="834"/>
      <c r="R544" s="834"/>
      <c r="S544" s="834"/>
      <c r="T544" s="834"/>
      <c r="U544" s="834"/>
      <c r="V544" s="834"/>
      <c r="W544" s="834"/>
      <c r="X544" s="834"/>
      <c r="Y544" s="834"/>
      <c r="Z544" s="834"/>
      <c r="AA544" s="834"/>
      <c r="AB544" s="834"/>
      <c r="AC544" s="834"/>
      <c r="AD544" s="834"/>
      <c r="AE544" s="834"/>
      <c r="AF544" s="835" t="n">
        <v>2021</v>
      </c>
      <c r="AG544" s="836" t="s">
        <v>1059</v>
      </c>
      <c r="AH544" s="836" t="s">
        <v>1075</v>
      </c>
      <c r="AI544" s="835" t="n">
        <v>2022</v>
      </c>
      <c r="AJ544" s="836" t="s">
        <v>1059</v>
      </c>
      <c r="AK544" s="836" t="s">
        <v>1096</v>
      </c>
      <c r="AL544" s="809"/>
      <c r="AM544" s="132"/>
      <c r="AN544" s="132"/>
      <c r="AO544" s="132"/>
      <c r="AP544" s="132"/>
      <c r="AQ544" s="132"/>
      <c r="AR544" s="132"/>
      <c r="AS544" s="132"/>
      <c r="AT544" s="132"/>
      <c r="AU544" s="132"/>
      <c r="AV544" s="132"/>
      <c r="AW544" s="132"/>
      <c r="AX544" s="132"/>
      <c r="AY544" s="132"/>
      <c r="AZ544" s="132"/>
      <c r="BA544" s="132"/>
      <c r="BB544" s="132"/>
      <c r="BC544" s="132"/>
      <c r="BD544" s="132"/>
      <c r="BE544" s="132"/>
      <c r="BF544" s="132"/>
    </row>
    <row r="545" customFormat="false" ht="11.25" hidden="false" customHeight="true" outlineLevel="0" collapsed="false">
      <c r="A545" s="113" t="s">
        <v>1026</v>
      </c>
      <c r="E545" s="80"/>
      <c r="F545" s="810"/>
      <c r="G545" s="138"/>
      <c r="H545" s="811" t="s">
        <v>1128</v>
      </c>
      <c r="I545" s="831"/>
      <c r="J545" s="335"/>
      <c r="K545" s="333"/>
      <c r="L545" s="204"/>
      <c r="M545" s="198"/>
      <c r="N545" s="837"/>
      <c r="O545" s="838" t="n">
        <v>1</v>
      </c>
      <c r="P545" s="76" t="s">
        <v>61</v>
      </c>
      <c r="Q545" s="335" t="s">
        <v>1118</v>
      </c>
      <c r="R545" s="839" t="s">
        <v>1119</v>
      </c>
      <c r="S545" s="839" t="s">
        <v>111</v>
      </c>
      <c r="T545" s="839" t="s">
        <v>112</v>
      </c>
      <c r="U545" s="839" t="s">
        <v>113</v>
      </c>
      <c r="V545" s="839" t="s">
        <v>1120</v>
      </c>
      <c r="W545" s="839" t="s">
        <v>1121</v>
      </c>
      <c r="X545" s="839" t="s">
        <v>1122</v>
      </c>
      <c r="Y545" s="839" t="s">
        <v>1123</v>
      </c>
      <c r="Z545" s="840"/>
      <c r="AA545" s="841"/>
      <c r="AB545" s="841"/>
      <c r="AC545" s="842"/>
      <c r="AD545" s="842"/>
      <c r="AE545" s="843"/>
      <c r="AF545" s="835"/>
      <c r="AG545" s="836"/>
      <c r="AH545" s="836"/>
      <c r="AI545" s="835"/>
      <c r="AJ545" s="836"/>
      <c r="AK545" s="836"/>
      <c r="AL545" s="809"/>
      <c r="AM545" s="132"/>
      <c r="AN545" s="132"/>
      <c r="AO545" s="132"/>
      <c r="AP545" s="132"/>
      <c r="AQ545" s="132"/>
      <c r="AR545" s="132"/>
      <c r="AS545" s="132"/>
      <c r="AT545" s="132"/>
      <c r="AU545" s="132"/>
      <c r="AV545" s="132"/>
      <c r="AW545" s="132"/>
      <c r="AX545" s="132"/>
      <c r="AY545" s="132"/>
      <c r="AZ545" s="132"/>
      <c r="BA545" s="132"/>
      <c r="BB545" s="132"/>
      <c r="BC545" s="132"/>
      <c r="BD545" s="132"/>
      <c r="BE545" s="132"/>
      <c r="BF545" s="132"/>
    </row>
    <row r="546" customFormat="false" ht="11.25" hidden="false" customHeight="true" outlineLevel="0" collapsed="false">
      <c r="A546" s="113" t="s">
        <v>1026</v>
      </c>
      <c r="E546" s="80"/>
      <c r="F546" s="810"/>
      <c r="G546" s="138"/>
      <c r="H546" s="811" t="s">
        <v>1128</v>
      </c>
      <c r="I546" s="831"/>
      <c r="J546" s="335"/>
      <c r="K546" s="333"/>
      <c r="L546" s="204"/>
      <c r="M546" s="198"/>
      <c r="N546" s="837"/>
      <c r="O546" s="838"/>
      <c r="P546" s="76"/>
      <c r="Q546" s="335"/>
      <c r="R546" s="839"/>
      <c r="S546" s="839"/>
      <c r="T546" s="839"/>
      <c r="U546" s="839"/>
      <c r="V546" s="839"/>
      <c r="W546" s="839"/>
      <c r="X546" s="839"/>
      <c r="Y546" s="839"/>
      <c r="Z546" s="844"/>
      <c r="AA546" s="845" t="n">
        <v>1</v>
      </c>
      <c r="AB546" s="846" t="s">
        <v>1069</v>
      </c>
      <c r="AC546" s="756" t="n">
        <v>0</v>
      </c>
      <c r="AD546" s="846" t="str">
        <f aca="false">AB546</f>
        <v>Прочие амортизационные отчисления</v>
      </c>
      <c r="AE546" s="756" t="n">
        <v>143.767</v>
      </c>
      <c r="AF546" s="835"/>
      <c r="AG546" s="836"/>
      <c r="AH546" s="836"/>
      <c r="AI546" s="835"/>
      <c r="AJ546" s="836"/>
      <c r="AK546" s="836"/>
      <c r="AL546" s="809"/>
      <c r="AM546" s="132"/>
      <c r="AN546" s="132"/>
      <c r="AO546" s="132"/>
      <c r="AP546" s="132"/>
      <c r="AQ546" s="132"/>
      <c r="AR546" s="132"/>
      <c r="AS546" s="132"/>
      <c r="AT546" s="132"/>
      <c r="AU546" s="132"/>
      <c r="AV546" s="132"/>
      <c r="AW546" s="132"/>
      <c r="AX546" s="132"/>
      <c r="AY546" s="132"/>
      <c r="AZ546" s="132"/>
      <c r="BA546" s="132"/>
      <c r="BB546" s="132"/>
      <c r="BC546" s="132"/>
      <c r="BD546" s="132"/>
      <c r="BE546" s="132"/>
      <c r="BF546" s="132"/>
    </row>
    <row r="547" customFormat="false" ht="11.25" hidden="false" customHeight="true" outlineLevel="0" collapsed="false">
      <c r="A547" s="113" t="s">
        <v>1026</v>
      </c>
      <c r="E547" s="80"/>
      <c r="F547" s="810"/>
      <c r="G547" s="138"/>
      <c r="H547" s="811" t="s">
        <v>1128</v>
      </c>
      <c r="I547" s="831"/>
      <c r="J547" s="335"/>
      <c r="K547" s="333"/>
      <c r="L547" s="204"/>
      <c r="M547" s="198"/>
      <c r="N547" s="837"/>
      <c r="O547" s="838"/>
      <c r="P547" s="76"/>
      <c r="Q547" s="335"/>
      <c r="R547" s="839"/>
      <c r="S547" s="839"/>
      <c r="T547" s="839"/>
      <c r="U547" s="839"/>
      <c r="V547" s="839"/>
      <c r="W547" s="839"/>
      <c r="X547" s="839"/>
      <c r="Y547" s="839"/>
      <c r="Z547" s="840"/>
      <c r="AA547" s="841"/>
      <c r="AB547" s="161" t="s">
        <v>1071</v>
      </c>
      <c r="AC547" s="842"/>
      <c r="AD547" s="842"/>
      <c r="AE547" s="847"/>
      <c r="AF547" s="835"/>
      <c r="AG547" s="836"/>
      <c r="AH547" s="836"/>
      <c r="AI547" s="835"/>
      <c r="AJ547" s="836"/>
      <c r="AK547" s="836"/>
      <c r="AL547" s="809"/>
      <c r="AM547" s="132"/>
      <c r="AN547" s="132"/>
      <c r="AO547" s="132"/>
      <c r="AP547" s="132"/>
      <c r="AQ547" s="132"/>
      <c r="AR547" s="132"/>
      <c r="AS547" s="132"/>
      <c r="AT547" s="132"/>
      <c r="AU547" s="132"/>
      <c r="AV547" s="132"/>
      <c r="AW547" s="132"/>
      <c r="AX547" s="132"/>
      <c r="AY547" s="132"/>
      <c r="AZ547" s="132"/>
      <c r="BA547" s="132"/>
      <c r="BB547" s="132"/>
      <c r="BC547" s="132"/>
      <c r="BD547" s="132"/>
      <c r="BE547" s="132"/>
      <c r="BF547" s="132"/>
    </row>
    <row r="548" customFormat="false" ht="11.25" hidden="false" customHeight="true" outlineLevel="0" collapsed="false">
      <c r="A548" s="113" t="s">
        <v>1026</v>
      </c>
      <c r="E548" s="80"/>
      <c r="F548" s="810"/>
      <c r="G548" s="138"/>
      <c r="H548" s="811" t="s">
        <v>1128</v>
      </c>
      <c r="I548" s="831"/>
      <c r="J548" s="335"/>
      <c r="K548" s="333"/>
      <c r="L548" s="204"/>
      <c r="M548" s="198"/>
      <c r="N548" s="840"/>
      <c r="O548" s="841"/>
      <c r="P548" s="161" t="s">
        <v>1072</v>
      </c>
      <c r="Q548" s="841"/>
      <c r="R548" s="841"/>
      <c r="S548" s="841"/>
      <c r="T548" s="841"/>
      <c r="U548" s="841"/>
      <c r="V548" s="841"/>
      <c r="W548" s="841"/>
      <c r="X548" s="841"/>
      <c r="Y548" s="841"/>
      <c r="Z548" s="841"/>
      <c r="AA548" s="841"/>
      <c r="AB548" s="841"/>
      <c r="AC548" s="841"/>
      <c r="AD548" s="841"/>
      <c r="AE548" s="848"/>
      <c r="AF548" s="835"/>
      <c r="AG548" s="836"/>
      <c r="AH548" s="836"/>
      <c r="AI548" s="835"/>
      <c r="AJ548" s="836"/>
      <c r="AK548" s="836"/>
      <c r="AL548" s="809"/>
      <c r="AM548" s="132"/>
      <c r="AN548" s="132"/>
      <c r="AO548" s="132"/>
      <c r="AP548" s="132"/>
      <c r="AQ548" s="132"/>
      <c r="AR548" s="132"/>
      <c r="AS548" s="132"/>
      <c r="AT548" s="132"/>
      <c r="AU548" s="132"/>
      <c r="AV548" s="132"/>
      <c r="AW548" s="132"/>
      <c r="AX548" s="132"/>
      <c r="AY548" s="132"/>
      <c r="AZ548" s="132"/>
      <c r="BA548" s="132"/>
      <c r="BB548" s="132"/>
      <c r="BC548" s="132"/>
      <c r="BD548" s="132"/>
      <c r="BE548" s="132"/>
      <c r="BF548" s="132"/>
    </row>
    <row r="549" customFormat="false" ht="11.25" hidden="false" customHeight="true" outlineLevel="0" collapsed="false">
      <c r="A549" s="113" t="s">
        <v>1026</v>
      </c>
      <c r="E549" s="80"/>
      <c r="F549" s="810"/>
      <c r="G549" s="138" t="s">
        <v>103</v>
      </c>
      <c r="H549" s="811" t="s">
        <v>1128</v>
      </c>
      <c r="I549" s="831"/>
      <c r="J549" s="335"/>
      <c r="K549" s="333" t="s">
        <v>1176</v>
      </c>
      <c r="L549" s="204" t="s">
        <v>19</v>
      </c>
      <c r="M549" s="198"/>
      <c r="N549" s="832"/>
      <c r="O549" s="833" t="s">
        <v>389</v>
      </c>
      <c r="P549" s="834"/>
      <c r="Q549" s="834"/>
      <c r="R549" s="834"/>
      <c r="S549" s="834"/>
      <c r="T549" s="834"/>
      <c r="U549" s="834"/>
      <c r="V549" s="834"/>
      <c r="W549" s="834"/>
      <c r="X549" s="834"/>
      <c r="Y549" s="834"/>
      <c r="Z549" s="834"/>
      <c r="AA549" s="834"/>
      <c r="AB549" s="834"/>
      <c r="AC549" s="834"/>
      <c r="AD549" s="834"/>
      <c r="AE549" s="834"/>
      <c r="AF549" s="835" t="n">
        <v>2023</v>
      </c>
      <c r="AG549" s="836" t="s">
        <v>1059</v>
      </c>
      <c r="AH549" s="836" t="s">
        <v>1104</v>
      </c>
      <c r="AI549" s="835" t="n">
        <v>2023</v>
      </c>
      <c r="AJ549" s="836" t="s">
        <v>1059</v>
      </c>
      <c r="AK549" s="836" t="s">
        <v>1104</v>
      </c>
      <c r="AL549" s="809"/>
      <c r="AM549" s="132"/>
      <c r="AN549" s="132"/>
      <c r="AO549" s="132"/>
      <c r="AP549" s="132"/>
      <c r="AQ549" s="132"/>
      <c r="AR549" s="132"/>
      <c r="AS549" s="132"/>
      <c r="AT549" s="132"/>
      <c r="AU549" s="132"/>
      <c r="AV549" s="132"/>
      <c r="AW549" s="132"/>
      <c r="AX549" s="132"/>
      <c r="AY549" s="132"/>
      <c r="AZ549" s="132"/>
      <c r="BA549" s="132"/>
      <c r="BB549" s="132"/>
      <c r="BC549" s="132"/>
      <c r="BD549" s="132"/>
      <c r="BE549" s="132"/>
      <c r="BF549" s="132"/>
    </row>
    <row r="550" customFormat="false" ht="11.25" hidden="false" customHeight="true" outlineLevel="0" collapsed="false">
      <c r="A550" s="113" t="s">
        <v>1026</v>
      </c>
      <c r="E550" s="80"/>
      <c r="F550" s="810"/>
      <c r="G550" s="138"/>
      <c r="H550" s="811" t="s">
        <v>1130</v>
      </c>
      <c r="I550" s="831"/>
      <c r="J550" s="335"/>
      <c r="K550" s="333"/>
      <c r="L550" s="204"/>
      <c r="M550" s="198"/>
      <c r="N550" s="837"/>
      <c r="O550" s="838" t="n">
        <v>1</v>
      </c>
      <c r="P550" s="76" t="s">
        <v>61</v>
      </c>
      <c r="Q550" s="335" t="s">
        <v>1118</v>
      </c>
      <c r="R550" s="839" t="s">
        <v>1119</v>
      </c>
      <c r="S550" s="839" t="s">
        <v>111</v>
      </c>
      <c r="T550" s="839" t="s">
        <v>112</v>
      </c>
      <c r="U550" s="839" t="s">
        <v>113</v>
      </c>
      <c r="V550" s="839" t="s">
        <v>1120</v>
      </c>
      <c r="W550" s="839" t="s">
        <v>1121</v>
      </c>
      <c r="X550" s="839" t="s">
        <v>1122</v>
      </c>
      <c r="Y550" s="839" t="s">
        <v>1123</v>
      </c>
      <c r="Z550" s="840"/>
      <c r="AA550" s="841"/>
      <c r="AB550" s="841"/>
      <c r="AC550" s="842"/>
      <c r="AD550" s="842"/>
      <c r="AE550" s="843"/>
      <c r="AF550" s="835"/>
      <c r="AG550" s="836"/>
      <c r="AH550" s="836"/>
      <c r="AI550" s="835"/>
      <c r="AJ550" s="836"/>
      <c r="AK550" s="836"/>
      <c r="AL550" s="809"/>
      <c r="AM550" s="132"/>
      <c r="AN550" s="132"/>
      <c r="AO550" s="132"/>
      <c r="AP550" s="132"/>
      <c r="AQ550" s="132"/>
      <c r="AR550" s="132"/>
      <c r="AS550" s="132"/>
      <c r="AT550" s="132"/>
      <c r="AU550" s="132"/>
      <c r="AV550" s="132"/>
      <c r="AW550" s="132"/>
      <c r="AX550" s="132"/>
      <c r="AY550" s="132"/>
      <c r="AZ550" s="132"/>
      <c r="BA550" s="132"/>
      <c r="BB550" s="132"/>
      <c r="BC550" s="132"/>
      <c r="BD550" s="132"/>
      <c r="BE550" s="132"/>
      <c r="BF550" s="132"/>
    </row>
    <row r="551" customFormat="false" ht="11.25" hidden="false" customHeight="true" outlineLevel="0" collapsed="false">
      <c r="A551" s="113" t="s">
        <v>1026</v>
      </c>
      <c r="E551" s="80"/>
      <c r="F551" s="810"/>
      <c r="G551" s="138"/>
      <c r="H551" s="811" t="s">
        <v>1130</v>
      </c>
      <c r="I551" s="831"/>
      <c r="J551" s="335"/>
      <c r="K551" s="333"/>
      <c r="L551" s="204"/>
      <c r="M551" s="198"/>
      <c r="N551" s="837"/>
      <c r="O551" s="838"/>
      <c r="P551" s="76"/>
      <c r="Q551" s="335"/>
      <c r="R551" s="839"/>
      <c r="S551" s="839"/>
      <c r="T551" s="839"/>
      <c r="U551" s="839"/>
      <c r="V551" s="839"/>
      <c r="W551" s="839"/>
      <c r="X551" s="839"/>
      <c r="Y551" s="839"/>
      <c r="Z551" s="844"/>
      <c r="AA551" s="845" t="n">
        <v>1</v>
      </c>
      <c r="AB551" s="846" t="s">
        <v>1069</v>
      </c>
      <c r="AC551" s="756" t="n">
        <v>0</v>
      </c>
      <c r="AD551" s="846" t="str">
        <f aca="false">AB551</f>
        <v>Прочие амортизационные отчисления</v>
      </c>
      <c r="AE551" s="756" t="n">
        <v>37.228</v>
      </c>
      <c r="AF551" s="835"/>
      <c r="AG551" s="836"/>
      <c r="AH551" s="836"/>
      <c r="AI551" s="835"/>
      <c r="AJ551" s="836"/>
      <c r="AK551" s="836"/>
      <c r="AL551" s="809"/>
      <c r="AM551" s="132"/>
      <c r="AN551" s="132"/>
      <c r="AO551" s="132"/>
      <c r="AP551" s="132"/>
      <c r="AQ551" s="132"/>
      <c r="AR551" s="132"/>
      <c r="AS551" s="132"/>
      <c r="AT551" s="132"/>
      <c r="AU551" s="132"/>
      <c r="AV551" s="132"/>
      <c r="AW551" s="132"/>
      <c r="AX551" s="132"/>
      <c r="AY551" s="132"/>
      <c r="AZ551" s="132"/>
      <c r="BA551" s="132"/>
      <c r="BB551" s="132"/>
      <c r="BC551" s="132"/>
      <c r="BD551" s="132"/>
      <c r="BE551" s="132"/>
      <c r="BF551" s="132"/>
    </row>
    <row r="552" customFormat="false" ht="11.25" hidden="false" customHeight="true" outlineLevel="0" collapsed="false">
      <c r="A552" s="113" t="s">
        <v>1026</v>
      </c>
      <c r="E552" s="80"/>
      <c r="F552" s="810"/>
      <c r="G552" s="138"/>
      <c r="H552" s="811" t="s">
        <v>1130</v>
      </c>
      <c r="I552" s="831"/>
      <c r="J552" s="335"/>
      <c r="K552" s="333"/>
      <c r="L552" s="204"/>
      <c r="M552" s="198"/>
      <c r="N552" s="837"/>
      <c r="O552" s="838"/>
      <c r="P552" s="76"/>
      <c r="Q552" s="335"/>
      <c r="R552" s="839"/>
      <c r="S552" s="839"/>
      <c r="T552" s="839"/>
      <c r="U552" s="839"/>
      <c r="V552" s="839"/>
      <c r="W552" s="839"/>
      <c r="X552" s="839"/>
      <c r="Y552" s="839"/>
      <c r="Z552" s="840"/>
      <c r="AA552" s="841"/>
      <c r="AB552" s="161" t="s">
        <v>1071</v>
      </c>
      <c r="AC552" s="842"/>
      <c r="AD552" s="842"/>
      <c r="AE552" s="847"/>
      <c r="AF552" s="835"/>
      <c r="AG552" s="836"/>
      <c r="AH552" s="836"/>
      <c r="AI552" s="835"/>
      <c r="AJ552" s="836"/>
      <c r="AK552" s="836"/>
      <c r="AL552" s="809"/>
      <c r="AM552" s="132"/>
      <c r="AN552" s="132"/>
      <c r="AO552" s="132"/>
      <c r="AP552" s="132"/>
      <c r="AQ552" s="132"/>
      <c r="AR552" s="132"/>
      <c r="AS552" s="132"/>
      <c r="AT552" s="132"/>
      <c r="AU552" s="132"/>
      <c r="AV552" s="132"/>
      <c r="AW552" s="132"/>
      <c r="AX552" s="132"/>
      <c r="AY552" s="132"/>
      <c r="AZ552" s="132"/>
      <c r="BA552" s="132"/>
      <c r="BB552" s="132"/>
      <c r="BC552" s="132"/>
      <c r="BD552" s="132"/>
      <c r="BE552" s="132"/>
      <c r="BF552" s="132"/>
    </row>
    <row r="553" customFormat="false" ht="11.25" hidden="false" customHeight="true" outlineLevel="0" collapsed="false">
      <c r="A553" s="113" t="s">
        <v>1026</v>
      </c>
      <c r="E553" s="80"/>
      <c r="F553" s="810"/>
      <c r="G553" s="138"/>
      <c r="H553" s="811" t="s">
        <v>1130</v>
      </c>
      <c r="I553" s="831"/>
      <c r="J553" s="335"/>
      <c r="K553" s="333"/>
      <c r="L553" s="204"/>
      <c r="M553" s="198"/>
      <c r="N553" s="840"/>
      <c r="O553" s="841"/>
      <c r="P553" s="161" t="s">
        <v>1072</v>
      </c>
      <c r="Q553" s="841"/>
      <c r="R553" s="841"/>
      <c r="S553" s="841"/>
      <c r="T553" s="841"/>
      <c r="U553" s="841"/>
      <c r="V553" s="841"/>
      <c r="W553" s="841"/>
      <c r="X553" s="841"/>
      <c r="Y553" s="841"/>
      <c r="Z553" s="841"/>
      <c r="AA553" s="841"/>
      <c r="AB553" s="841"/>
      <c r="AC553" s="841"/>
      <c r="AD553" s="841"/>
      <c r="AE553" s="848"/>
      <c r="AF553" s="835"/>
      <c r="AG553" s="836"/>
      <c r="AH553" s="836"/>
      <c r="AI553" s="835"/>
      <c r="AJ553" s="836"/>
      <c r="AK553" s="836"/>
      <c r="AL553" s="809"/>
      <c r="AM553" s="132"/>
      <c r="AN553" s="132"/>
      <c r="AO553" s="132"/>
      <c r="AP553" s="132"/>
      <c r="AQ553" s="132"/>
      <c r="AR553" s="132"/>
      <c r="AS553" s="132"/>
      <c r="AT553" s="132"/>
      <c r="AU553" s="132"/>
      <c r="AV553" s="132"/>
      <c r="AW553" s="132"/>
      <c r="AX553" s="132"/>
      <c r="AY553" s="132"/>
      <c r="AZ553" s="132"/>
      <c r="BA553" s="132"/>
      <c r="BB553" s="132"/>
      <c r="BC553" s="132"/>
      <c r="BD553" s="132"/>
      <c r="BE553" s="132"/>
      <c r="BF553" s="132"/>
    </row>
    <row r="554" customFormat="false" ht="11.25" hidden="false" customHeight="true" outlineLevel="0" collapsed="false">
      <c r="A554" s="113" t="s">
        <v>1026</v>
      </c>
      <c r="E554" s="80"/>
      <c r="F554" s="810"/>
      <c r="G554" s="138" t="s">
        <v>103</v>
      </c>
      <c r="H554" s="811" t="s">
        <v>1130</v>
      </c>
      <c r="I554" s="831"/>
      <c r="J554" s="335"/>
      <c r="K554" s="333" t="s">
        <v>1164</v>
      </c>
      <c r="L554" s="204" t="s">
        <v>19</v>
      </c>
      <c r="M554" s="198"/>
      <c r="N554" s="832"/>
      <c r="O554" s="833" t="s">
        <v>389</v>
      </c>
      <c r="P554" s="834"/>
      <c r="Q554" s="834"/>
      <c r="R554" s="834"/>
      <c r="S554" s="834"/>
      <c r="T554" s="834"/>
      <c r="U554" s="834"/>
      <c r="V554" s="834"/>
      <c r="W554" s="834"/>
      <c r="X554" s="834"/>
      <c r="Y554" s="834"/>
      <c r="Z554" s="834"/>
      <c r="AA554" s="834"/>
      <c r="AB554" s="834"/>
      <c r="AC554" s="834"/>
      <c r="AD554" s="834"/>
      <c r="AE554" s="834"/>
      <c r="AF554" s="835" t="n">
        <v>2021</v>
      </c>
      <c r="AG554" s="836" t="s">
        <v>1059</v>
      </c>
      <c r="AH554" s="836" t="s">
        <v>1075</v>
      </c>
      <c r="AI554" s="835" t="n">
        <v>2022</v>
      </c>
      <c r="AJ554" s="836" t="s">
        <v>1079</v>
      </c>
      <c r="AK554" s="836" t="s">
        <v>1096</v>
      </c>
      <c r="AL554" s="809"/>
      <c r="AM554" s="132"/>
      <c r="AN554" s="132"/>
      <c r="AO554" s="132"/>
      <c r="AP554" s="132"/>
      <c r="AQ554" s="132"/>
      <c r="AR554" s="132"/>
      <c r="AS554" s="132"/>
      <c r="AT554" s="132"/>
      <c r="AU554" s="132"/>
      <c r="AV554" s="132"/>
      <c r="AW554" s="132"/>
      <c r="AX554" s="132"/>
      <c r="AY554" s="132"/>
      <c r="AZ554" s="132"/>
      <c r="BA554" s="132"/>
      <c r="BB554" s="132"/>
      <c r="BC554" s="132"/>
      <c r="BD554" s="132"/>
      <c r="BE554" s="132"/>
      <c r="BF554" s="132"/>
    </row>
    <row r="555" customFormat="false" ht="11.25" hidden="false" customHeight="true" outlineLevel="0" collapsed="false">
      <c r="A555" s="113" t="s">
        <v>1026</v>
      </c>
      <c r="E555" s="80"/>
      <c r="F555" s="810"/>
      <c r="G555" s="138"/>
      <c r="H555" s="811" t="s">
        <v>1132</v>
      </c>
      <c r="I555" s="831"/>
      <c r="J555" s="335"/>
      <c r="K555" s="333"/>
      <c r="L555" s="204"/>
      <c r="M555" s="198"/>
      <c r="N555" s="837"/>
      <c r="O555" s="838" t="n">
        <v>1</v>
      </c>
      <c r="P555" s="76" t="s">
        <v>61</v>
      </c>
      <c r="Q555" s="335" t="s">
        <v>1118</v>
      </c>
      <c r="R555" s="839" t="s">
        <v>1119</v>
      </c>
      <c r="S555" s="839" t="s">
        <v>111</v>
      </c>
      <c r="T555" s="839" t="s">
        <v>112</v>
      </c>
      <c r="U555" s="839" t="s">
        <v>113</v>
      </c>
      <c r="V555" s="839" t="s">
        <v>1120</v>
      </c>
      <c r="W555" s="839" t="s">
        <v>1121</v>
      </c>
      <c r="X555" s="839" t="s">
        <v>1122</v>
      </c>
      <c r="Y555" s="839" t="s">
        <v>1123</v>
      </c>
      <c r="Z555" s="840"/>
      <c r="AA555" s="841"/>
      <c r="AB555" s="841"/>
      <c r="AC555" s="842"/>
      <c r="AD555" s="842"/>
      <c r="AE555" s="843"/>
      <c r="AF555" s="835"/>
      <c r="AG555" s="836"/>
      <c r="AH555" s="836"/>
      <c r="AI555" s="835"/>
      <c r="AJ555" s="836"/>
      <c r="AK555" s="836"/>
      <c r="AL555" s="809"/>
      <c r="AM555" s="132"/>
      <c r="AN555" s="132"/>
      <c r="AO555" s="132"/>
      <c r="AP555" s="132"/>
      <c r="AQ555" s="132"/>
      <c r="AR555" s="132"/>
      <c r="AS555" s="132"/>
      <c r="AT555" s="132"/>
      <c r="AU555" s="132"/>
      <c r="AV555" s="132"/>
      <c r="AW555" s="132"/>
      <c r="AX555" s="132"/>
      <c r="AY555" s="132"/>
      <c r="AZ555" s="132"/>
      <c r="BA555" s="132"/>
      <c r="BB555" s="132"/>
      <c r="BC555" s="132"/>
      <c r="BD555" s="132"/>
      <c r="BE555" s="132"/>
      <c r="BF555" s="132"/>
    </row>
    <row r="556" customFormat="false" ht="11.25" hidden="false" customHeight="true" outlineLevel="0" collapsed="false">
      <c r="A556" s="113" t="s">
        <v>1026</v>
      </c>
      <c r="E556" s="80"/>
      <c r="F556" s="810"/>
      <c r="G556" s="138"/>
      <c r="H556" s="811" t="s">
        <v>1132</v>
      </c>
      <c r="I556" s="831"/>
      <c r="J556" s="335"/>
      <c r="K556" s="333"/>
      <c r="L556" s="204"/>
      <c r="M556" s="198"/>
      <c r="N556" s="837"/>
      <c r="O556" s="838"/>
      <c r="P556" s="76"/>
      <c r="Q556" s="335"/>
      <c r="R556" s="839"/>
      <c r="S556" s="839"/>
      <c r="T556" s="839"/>
      <c r="U556" s="839"/>
      <c r="V556" s="839"/>
      <c r="W556" s="839"/>
      <c r="X556" s="839"/>
      <c r="Y556" s="839"/>
      <c r="Z556" s="844"/>
      <c r="AA556" s="845" t="n">
        <v>1</v>
      </c>
      <c r="AB556" s="846" t="s">
        <v>1069</v>
      </c>
      <c r="AC556" s="756" t="n">
        <v>0</v>
      </c>
      <c r="AD556" s="846" t="str">
        <f aca="false">AB556</f>
        <v>Прочие амортизационные отчисления</v>
      </c>
      <c r="AE556" s="756" t="n">
        <v>3533.95</v>
      </c>
      <c r="AF556" s="835"/>
      <c r="AG556" s="836"/>
      <c r="AH556" s="836"/>
      <c r="AI556" s="835"/>
      <c r="AJ556" s="836"/>
      <c r="AK556" s="836"/>
      <c r="AL556" s="809"/>
      <c r="AM556" s="132"/>
      <c r="AN556" s="132"/>
      <c r="AO556" s="132"/>
      <c r="AP556" s="132"/>
      <c r="AQ556" s="132"/>
      <c r="AR556" s="132"/>
      <c r="AS556" s="132"/>
      <c r="AT556" s="132"/>
      <c r="AU556" s="132"/>
      <c r="AV556" s="132"/>
      <c r="AW556" s="132"/>
      <c r="AX556" s="132"/>
      <c r="AY556" s="132"/>
      <c r="AZ556" s="132"/>
      <c r="BA556" s="132"/>
      <c r="BB556" s="132"/>
      <c r="BC556" s="132"/>
      <c r="BD556" s="132"/>
      <c r="BE556" s="132"/>
      <c r="BF556" s="132"/>
    </row>
    <row r="557" customFormat="false" ht="11.25" hidden="false" customHeight="true" outlineLevel="0" collapsed="false">
      <c r="A557" s="113" t="s">
        <v>1026</v>
      </c>
      <c r="E557" s="80"/>
      <c r="F557" s="810"/>
      <c r="G557" s="138"/>
      <c r="H557" s="811" t="s">
        <v>1132</v>
      </c>
      <c r="I557" s="831"/>
      <c r="J557" s="335"/>
      <c r="K557" s="333"/>
      <c r="L557" s="204"/>
      <c r="M557" s="198"/>
      <c r="N557" s="837"/>
      <c r="O557" s="838"/>
      <c r="P557" s="76"/>
      <c r="Q557" s="335"/>
      <c r="R557" s="839"/>
      <c r="S557" s="839"/>
      <c r="T557" s="839"/>
      <c r="U557" s="839"/>
      <c r="V557" s="839"/>
      <c r="W557" s="839"/>
      <c r="X557" s="839"/>
      <c r="Y557" s="839"/>
      <c r="Z557" s="840"/>
      <c r="AA557" s="841"/>
      <c r="AB557" s="161" t="s">
        <v>1071</v>
      </c>
      <c r="AC557" s="842"/>
      <c r="AD557" s="842"/>
      <c r="AE557" s="847"/>
      <c r="AF557" s="835"/>
      <c r="AG557" s="836"/>
      <c r="AH557" s="836"/>
      <c r="AI557" s="835"/>
      <c r="AJ557" s="836"/>
      <c r="AK557" s="836"/>
      <c r="AL557" s="809"/>
      <c r="AM557" s="132"/>
      <c r="AN557" s="132"/>
      <c r="AO557" s="132"/>
      <c r="AP557" s="132"/>
      <c r="AQ557" s="132"/>
      <c r="AR557" s="132"/>
      <c r="AS557" s="132"/>
      <c r="AT557" s="132"/>
      <c r="AU557" s="132"/>
      <c r="AV557" s="132"/>
      <c r="AW557" s="132"/>
      <c r="AX557" s="132"/>
      <c r="AY557" s="132"/>
      <c r="AZ557" s="132"/>
      <c r="BA557" s="132"/>
      <c r="BB557" s="132"/>
      <c r="BC557" s="132"/>
      <c r="BD557" s="132"/>
      <c r="BE557" s="132"/>
      <c r="BF557" s="132"/>
    </row>
    <row r="558" customFormat="false" ht="11.25" hidden="false" customHeight="true" outlineLevel="0" collapsed="false">
      <c r="A558" s="113" t="s">
        <v>1026</v>
      </c>
      <c r="E558" s="80"/>
      <c r="F558" s="810"/>
      <c r="G558" s="138"/>
      <c r="H558" s="811" t="s">
        <v>1132</v>
      </c>
      <c r="I558" s="831"/>
      <c r="J558" s="335"/>
      <c r="K558" s="333"/>
      <c r="L558" s="204"/>
      <c r="M558" s="198"/>
      <c r="N558" s="840"/>
      <c r="O558" s="841"/>
      <c r="P558" s="161" t="s">
        <v>1072</v>
      </c>
      <c r="Q558" s="841"/>
      <c r="R558" s="841"/>
      <c r="S558" s="841"/>
      <c r="T558" s="841"/>
      <c r="U558" s="841"/>
      <c r="V558" s="841"/>
      <c r="W558" s="841"/>
      <c r="X558" s="841"/>
      <c r="Y558" s="841"/>
      <c r="Z558" s="841"/>
      <c r="AA558" s="841"/>
      <c r="AB558" s="841"/>
      <c r="AC558" s="841"/>
      <c r="AD558" s="841"/>
      <c r="AE558" s="848"/>
      <c r="AF558" s="835"/>
      <c r="AG558" s="836"/>
      <c r="AH558" s="836"/>
      <c r="AI558" s="835"/>
      <c r="AJ558" s="836"/>
      <c r="AK558" s="836"/>
      <c r="AL558" s="809"/>
      <c r="AM558" s="132"/>
      <c r="AN558" s="132"/>
      <c r="AO558" s="132"/>
      <c r="AP558" s="132"/>
      <c r="AQ558" s="132"/>
      <c r="AR558" s="132"/>
      <c r="AS558" s="132"/>
      <c r="AT558" s="132"/>
      <c r="AU558" s="132"/>
      <c r="AV558" s="132"/>
      <c r="AW558" s="132"/>
      <c r="AX558" s="132"/>
      <c r="AY558" s="132"/>
      <c r="AZ558" s="132"/>
      <c r="BA558" s="132"/>
      <c r="BB558" s="132"/>
      <c r="BC558" s="132"/>
      <c r="BD558" s="132"/>
      <c r="BE558" s="132"/>
      <c r="BF558" s="132"/>
    </row>
    <row r="559" customFormat="false" ht="11.25" hidden="false" customHeight="true" outlineLevel="0" collapsed="false">
      <c r="A559" s="113" t="s">
        <v>1026</v>
      </c>
      <c r="E559" s="80"/>
      <c r="F559" s="810"/>
      <c r="G559" s="138" t="s">
        <v>103</v>
      </c>
      <c r="H559" s="811" t="s">
        <v>1132</v>
      </c>
      <c r="I559" s="831"/>
      <c r="J559" s="335"/>
      <c r="K559" s="333" t="s">
        <v>1177</v>
      </c>
      <c r="L559" s="204" t="s">
        <v>19</v>
      </c>
      <c r="M559" s="198"/>
      <c r="N559" s="832"/>
      <c r="O559" s="833" t="s">
        <v>389</v>
      </c>
      <c r="P559" s="834"/>
      <c r="Q559" s="834"/>
      <c r="R559" s="834"/>
      <c r="S559" s="834"/>
      <c r="T559" s="834"/>
      <c r="U559" s="834"/>
      <c r="V559" s="834"/>
      <c r="W559" s="834"/>
      <c r="X559" s="834"/>
      <c r="Y559" s="834"/>
      <c r="Z559" s="834"/>
      <c r="AA559" s="834"/>
      <c r="AB559" s="834"/>
      <c r="AC559" s="834"/>
      <c r="AD559" s="834"/>
      <c r="AE559" s="834"/>
      <c r="AF559" s="835" t="n">
        <v>2023</v>
      </c>
      <c r="AG559" s="836" t="s">
        <v>1059</v>
      </c>
      <c r="AH559" s="836" t="s">
        <v>1104</v>
      </c>
      <c r="AI559" s="835" t="n">
        <v>2023</v>
      </c>
      <c r="AJ559" s="836" t="s">
        <v>1086</v>
      </c>
      <c r="AK559" s="836" t="s">
        <v>1104</v>
      </c>
      <c r="AL559" s="809"/>
      <c r="AM559" s="132"/>
      <c r="AN559" s="132"/>
      <c r="AO559" s="132"/>
      <c r="AP559" s="132"/>
      <c r="AQ559" s="132"/>
      <c r="AR559" s="132"/>
      <c r="AS559" s="132"/>
      <c r="AT559" s="132"/>
      <c r="AU559" s="132"/>
      <c r="AV559" s="132"/>
      <c r="AW559" s="132"/>
      <c r="AX559" s="132"/>
      <c r="AY559" s="132"/>
      <c r="AZ559" s="132"/>
      <c r="BA559" s="132"/>
      <c r="BB559" s="132"/>
      <c r="BC559" s="132"/>
      <c r="BD559" s="132"/>
      <c r="BE559" s="132"/>
      <c r="BF559" s="132"/>
    </row>
    <row r="560" customFormat="false" ht="11.25" hidden="false" customHeight="true" outlineLevel="0" collapsed="false">
      <c r="A560" s="113" t="s">
        <v>1026</v>
      </c>
      <c r="E560" s="80"/>
      <c r="F560" s="810"/>
      <c r="G560" s="138"/>
      <c r="H560" s="811" t="s">
        <v>1134</v>
      </c>
      <c r="I560" s="831"/>
      <c r="J560" s="335"/>
      <c r="K560" s="333"/>
      <c r="L560" s="204"/>
      <c r="M560" s="198"/>
      <c r="N560" s="837"/>
      <c r="O560" s="838" t="n">
        <v>1</v>
      </c>
      <c r="P560" s="76" t="s">
        <v>61</v>
      </c>
      <c r="Q560" s="335" t="s">
        <v>1118</v>
      </c>
      <c r="R560" s="839" t="s">
        <v>1119</v>
      </c>
      <c r="S560" s="839" t="s">
        <v>111</v>
      </c>
      <c r="T560" s="839" t="s">
        <v>112</v>
      </c>
      <c r="U560" s="839" t="s">
        <v>113</v>
      </c>
      <c r="V560" s="839" t="s">
        <v>1120</v>
      </c>
      <c r="W560" s="839" t="s">
        <v>1121</v>
      </c>
      <c r="X560" s="839" t="s">
        <v>1122</v>
      </c>
      <c r="Y560" s="839" t="s">
        <v>1123</v>
      </c>
      <c r="Z560" s="840"/>
      <c r="AA560" s="841"/>
      <c r="AB560" s="841"/>
      <c r="AC560" s="842"/>
      <c r="AD560" s="842"/>
      <c r="AE560" s="843"/>
      <c r="AF560" s="835"/>
      <c r="AG560" s="836"/>
      <c r="AH560" s="836"/>
      <c r="AI560" s="835"/>
      <c r="AJ560" s="836"/>
      <c r="AK560" s="836"/>
      <c r="AL560" s="809"/>
      <c r="AM560" s="132"/>
      <c r="AN560" s="132"/>
      <c r="AO560" s="132"/>
      <c r="AP560" s="132"/>
      <c r="AQ560" s="132"/>
      <c r="AR560" s="132"/>
      <c r="AS560" s="132"/>
      <c r="AT560" s="132"/>
      <c r="AU560" s="132"/>
      <c r="AV560" s="132"/>
      <c r="AW560" s="132"/>
      <c r="AX560" s="132"/>
      <c r="AY560" s="132"/>
      <c r="AZ560" s="132"/>
      <c r="BA560" s="132"/>
      <c r="BB560" s="132"/>
      <c r="BC560" s="132"/>
      <c r="BD560" s="132"/>
      <c r="BE560" s="132"/>
      <c r="BF560" s="132"/>
    </row>
    <row r="561" customFormat="false" ht="11.25" hidden="false" customHeight="true" outlineLevel="0" collapsed="false">
      <c r="A561" s="113" t="s">
        <v>1026</v>
      </c>
      <c r="E561" s="80"/>
      <c r="F561" s="810"/>
      <c r="G561" s="138"/>
      <c r="H561" s="811" t="s">
        <v>1134</v>
      </c>
      <c r="I561" s="831"/>
      <c r="J561" s="335"/>
      <c r="K561" s="333"/>
      <c r="L561" s="204"/>
      <c r="M561" s="198"/>
      <c r="N561" s="837"/>
      <c r="O561" s="838"/>
      <c r="P561" s="76"/>
      <c r="Q561" s="335"/>
      <c r="R561" s="839"/>
      <c r="S561" s="839"/>
      <c r="T561" s="839"/>
      <c r="U561" s="839"/>
      <c r="V561" s="839"/>
      <c r="W561" s="839"/>
      <c r="X561" s="839"/>
      <c r="Y561" s="839"/>
      <c r="Z561" s="844"/>
      <c r="AA561" s="845" t="n">
        <v>1</v>
      </c>
      <c r="AB561" s="846" t="s">
        <v>1069</v>
      </c>
      <c r="AC561" s="756" t="n">
        <v>0</v>
      </c>
      <c r="AD561" s="846" t="str">
        <f aca="false">AB561</f>
        <v>Прочие амортизационные отчисления</v>
      </c>
      <c r="AE561" s="756" t="n">
        <v>37.2285</v>
      </c>
      <c r="AF561" s="835"/>
      <c r="AG561" s="836"/>
      <c r="AH561" s="836"/>
      <c r="AI561" s="835"/>
      <c r="AJ561" s="836"/>
      <c r="AK561" s="836"/>
      <c r="AL561" s="809"/>
      <c r="AM561" s="132"/>
      <c r="AN561" s="132"/>
      <c r="AO561" s="132"/>
      <c r="AP561" s="132"/>
      <c r="AQ561" s="132"/>
      <c r="AR561" s="132"/>
      <c r="AS561" s="132"/>
      <c r="AT561" s="132"/>
      <c r="AU561" s="132"/>
      <c r="AV561" s="132"/>
      <c r="AW561" s="132"/>
      <c r="AX561" s="132"/>
      <c r="AY561" s="132"/>
      <c r="AZ561" s="132"/>
      <c r="BA561" s="132"/>
      <c r="BB561" s="132"/>
      <c r="BC561" s="132"/>
      <c r="BD561" s="132"/>
      <c r="BE561" s="132"/>
      <c r="BF561" s="132"/>
    </row>
    <row r="562" customFormat="false" ht="11.25" hidden="false" customHeight="true" outlineLevel="0" collapsed="false">
      <c r="A562" s="113" t="s">
        <v>1026</v>
      </c>
      <c r="E562" s="80"/>
      <c r="F562" s="810"/>
      <c r="G562" s="138"/>
      <c r="H562" s="811" t="s">
        <v>1134</v>
      </c>
      <c r="I562" s="831"/>
      <c r="J562" s="335"/>
      <c r="K562" s="333"/>
      <c r="L562" s="204"/>
      <c r="M562" s="198"/>
      <c r="N562" s="837"/>
      <c r="O562" s="838"/>
      <c r="P562" s="76"/>
      <c r="Q562" s="335"/>
      <c r="R562" s="839"/>
      <c r="S562" s="839"/>
      <c r="T562" s="839"/>
      <c r="U562" s="839"/>
      <c r="V562" s="839"/>
      <c r="W562" s="839"/>
      <c r="X562" s="839"/>
      <c r="Y562" s="839"/>
      <c r="Z562" s="840"/>
      <c r="AA562" s="841"/>
      <c r="AB562" s="161" t="s">
        <v>1071</v>
      </c>
      <c r="AC562" s="842"/>
      <c r="AD562" s="842"/>
      <c r="AE562" s="847"/>
      <c r="AF562" s="835"/>
      <c r="AG562" s="836"/>
      <c r="AH562" s="836"/>
      <c r="AI562" s="835"/>
      <c r="AJ562" s="836"/>
      <c r="AK562" s="836"/>
      <c r="AL562" s="809"/>
      <c r="AM562" s="132"/>
      <c r="AN562" s="132"/>
      <c r="AO562" s="132"/>
      <c r="AP562" s="132"/>
      <c r="AQ562" s="132"/>
      <c r="AR562" s="132"/>
      <c r="AS562" s="132"/>
      <c r="AT562" s="132"/>
      <c r="AU562" s="132"/>
      <c r="AV562" s="132"/>
      <c r="AW562" s="132"/>
      <c r="AX562" s="132"/>
      <c r="AY562" s="132"/>
      <c r="AZ562" s="132"/>
      <c r="BA562" s="132"/>
      <c r="BB562" s="132"/>
      <c r="BC562" s="132"/>
      <c r="BD562" s="132"/>
      <c r="BE562" s="132"/>
      <c r="BF562" s="132"/>
    </row>
    <row r="563" customFormat="false" ht="11.25" hidden="false" customHeight="true" outlineLevel="0" collapsed="false">
      <c r="A563" s="113" t="s">
        <v>1026</v>
      </c>
      <c r="E563" s="80"/>
      <c r="F563" s="810"/>
      <c r="G563" s="138"/>
      <c r="H563" s="811" t="s">
        <v>1134</v>
      </c>
      <c r="I563" s="831"/>
      <c r="J563" s="335"/>
      <c r="K563" s="333"/>
      <c r="L563" s="204"/>
      <c r="M563" s="198"/>
      <c r="N563" s="840"/>
      <c r="O563" s="841"/>
      <c r="P563" s="161" t="s">
        <v>1072</v>
      </c>
      <c r="Q563" s="841"/>
      <c r="R563" s="841"/>
      <c r="S563" s="841"/>
      <c r="T563" s="841"/>
      <c r="U563" s="841"/>
      <c r="V563" s="841"/>
      <c r="W563" s="841"/>
      <c r="X563" s="841"/>
      <c r="Y563" s="841"/>
      <c r="Z563" s="841"/>
      <c r="AA563" s="841"/>
      <c r="AB563" s="841"/>
      <c r="AC563" s="841"/>
      <c r="AD563" s="841"/>
      <c r="AE563" s="848"/>
      <c r="AF563" s="835"/>
      <c r="AG563" s="836"/>
      <c r="AH563" s="836"/>
      <c r="AI563" s="835"/>
      <c r="AJ563" s="836"/>
      <c r="AK563" s="836"/>
      <c r="AL563" s="809"/>
      <c r="AM563" s="132"/>
      <c r="AN563" s="132"/>
      <c r="AO563" s="132"/>
      <c r="AP563" s="132"/>
      <c r="AQ563" s="132"/>
      <c r="AR563" s="132"/>
      <c r="AS563" s="132"/>
      <c r="AT563" s="132"/>
      <c r="AU563" s="132"/>
      <c r="AV563" s="132"/>
      <c r="AW563" s="132"/>
      <c r="AX563" s="132"/>
      <c r="AY563" s="132"/>
      <c r="AZ563" s="132"/>
      <c r="BA563" s="132"/>
      <c r="BB563" s="132"/>
      <c r="BC563" s="132"/>
      <c r="BD563" s="132"/>
      <c r="BE563" s="132"/>
      <c r="BF563" s="132"/>
    </row>
    <row r="564" customFormat="false" ht="11.25" hidden="false" customHeight="true" outlineLevel="0" collapsed="false">
      <c r="A564" s="113" t="s">
        <v>1026</v>
      </c>
      <c r="E564" s="80"/>
      <c r="F564" s="810"/>
      <c r="G564" s="138" t="s">
        <v>103</v>
      </c>
      <c r="H564" s="811" t="s">
        <v>1134</v>
      </c>
      <c r="I564" s="831"/>
      <c r="J564" s="335"/>
      <c r="K564" s="333" t="s">
        <v>1178</v>
      </c>
      <c r="L564" s="204" t="s">
        <v>19</v>
      </c>
      <c r="M564" s="198"/>
      <c r="N564" s="832"/>
      <c r="O564" s="833" t="s">
        <v>389</v>
      </c>
      <c r="P564" s="834"/>
      <c r="Q564" s="834"/>
      <c r="R564" s="834"/>
      <c r="S564" s="834"/>
      <c r="T564" s="834"/>
      <c r="U564" s="834"/>
      <c r="V564" s="834"/>
      <c r="W564" s="834"/>
      <c r="X564" s="834"/>
      <c r="Y564" s="834"/>
      <c r="Z564" s="834"/>
      <c r="AA564" s="834"/>
      <c r="AB564" s="834"/>
      <c r="AC564" s="834"/>
      <c r="AD564" s="834"/>
      <c r="AE564" s="834"/>
      <c r="AF564" s="835" t="n">
        <v>2022</v>
      </c>
      <c r="AG564" s="836" t="s">
        <v>1059</v>
      </c>
      <c r="AH564" s="836" t="s">
        <v>1096</v>
      </c>
      <c r="AI564" s="835" t="n">
        <v>2022</v>
      </c>
      <c r="AJ564" s="836" t="s">
        <v>1059</v>
      </c>
      <c r="AK564" s="836" t="s">
        <v>1096</v>
      </c>
      <c r="AL564" s="809"/>
      <c r="AM564" s="132"/>
      <c r="AN564" s="132"/>
      <c r="AO564" s="132"/>
      <c r="AP564" s="132"/>
      <c r="AQ564" s="132"/>
      <c r="AR564" s="132"/>
      <c r="AS564" s="132"/>
      <c r="AT564" s="132"/>
      <c r="AU564" s="132"/>
      <c r="AV564" s="132"/>
      <c r="AW564" s="132"/>
      <c r="AX564" s="132"/>
      <c r="AY564" s="132"/>
      <c r="AZ564" s="132"/>
      <c r="BA564" s="132"/>
      <c r="BB564" s="132"/>
      <c r="BC564" s="132"/>
      <c r="BD564" s="132"/>
      <c r="BE564" s="132"/>
      <c r="BF564" s="132"/>
    </row>
    <row r="565" customFormat="false" ht="11.25" hidden="false" customHeight="true" outlineLevel="0" collapsed="false">
      <c r="A565" s="113" t="s">
        <v>1026</v>
      </c>
      <c r="E565" s="80"/>
      <c r="F565" s="810"/>
      <c r="G565" s="138"/>
      <c r="H565" s="811" t="s">
        <v>1148</v>
      </c>
      <c r="I565" s="831"/>
      <c r="J565" s="335"/>
      <c r="K565" s="333"/>
      <c r="L565" s="204"/>
      <c r="M565" s="198"/>
      <c r="N565" s="837"/>
      <c r="O565" s="838" t="n">
        <v>1</v>
      </c>
      <c r="P565" s="76" t="s">
        <v>61</v>
      </c>
      <c r="Q565" s="335" t="s">
        <v>1118</v>
      </c>
      <c r="R565" s="839" t="s">
        <v>1119</v>
      </c>
      <c r="S565" s="839" t="s">
        <v>111</v>
      </c>
      <c r="T565" s="839" t="s">
        <v>112</v>
      </c>
      <c r="U565" s="839" t="s">
        <v>113</v>
      </c>
      <c r="V565" s="839" t="s">
        <v>1120</v>
      </c>
      <c r="W565" s="839" t="s">
        <v>1121</v>
      </c>
      <c r="X565" s="839" t="s">
        <v>1122</v>
      </c>
      <c r="Y565" s="839" t="s">
        <v>1123</v>
      </c>
      <c r="Z565" s="840"/>
      <c r="AA565" s="841"/>
      <c r="AB565" s="841"/>
      <c r="AC565" s="842"/>
      <c r="AD565" s="842"/>
      <c r="AE565" s="843"/>
      <c r="AF565" s="835"/>
      <c r="AG565" s="836"/>
      <c r="AH565" s="836"/>
      <c r="AI565" s="835"/>
      <c r="AJ565" s="836"/>
      <c r="AK565" s="836"/>
      <c r="AL565" s="809"/>
      <c r="AM565" s="132"/>
      <c r="AN565" s="132"/>
      <c r="AO565" s="132"/>
      <c r="AP565" s="132"/>
      <c r="AQ565" s="132"/>
      <c r="AR565" s="132"/>
      <c r="AS565" s="132"/>
      <c r="AT565" s="132"/>
      <c r="AU565" s="132"/>
      <c r="AV565" s="132"/>
      <c r="AW565" s="132"/>
      <c r="AX565" s="132"/>
      <c r="AY565" s="132"/>
      <c r="AZ565" s="132"/>
      <c r="BA565" s="132"/>
      <c r="BB565" s="132"/>
      <c r="BC565" s="132"/>
      <c r="BD565" s="132"/>
      <c r="BE565" s="132"/>
      <c r="BF565" s="132"/>
    </row>
    <row r="566" customFormat="false" ht="11.25" hidden="false" customHeight="true" outlineLevel="0" collapsed="false">
      <c r="A566" s="113" t="s">
        <v>1026</v>
      </c>
      <c r="E566" s="80"/>
      <c r="F566" s="810"/>
      <c r="G566" s="138"/>
      <c r="H566" s="811" t="s">
        <v>1148</v>
      </c>
      <c r="I566" s="831"/>
      <c r="J566" s="335"/>
      <c r="K566" s="333"/>
      <c r="L566" s="204"/>
      <c r="M566" s="198"/>
      <c r="N566" s="837"/>
      <c r="O566" s="838"/>
      <c r="P566" s="76"/>
      <c r="Q566" s="335"/>
      <c r="R566" s="839"/>
      <c r="S566" s="839"/>
      <c r="T566" s="839"/>
      <c r="U566" s="839"/>
      <c r="V566" s="839"/>
      <c r="W566" s="839"/>
      <c r="X566" s="839"/>
      <c r="Y566" s="839"/>
      <c r="Z566" s="844"/>
      <c r="AA566" s="845" t="n">
        <v>1</v>
      </c>
      <c r="AB566" s="846" t="s">
        <v>1069</v>
      </c>
      <c r="AC566" s="756" t="n">
        <v>2121.4</v>
      </c>
      <c r="AD566" s="846" t="str">
        <f aca="false">AB566</f>
        <v>Прочие амортизационные отчисления</v>
      </c>
      <c r="AE566" s="756" t="n">
        <v>2101.09507</v>
      </c>
      <c r="AF566" s="835"/>
      <c r="AG566" s="836"/>
      <c r="AH566" s="836"/>
      <c r="AI566" s="835"/>
      <c r="AJ566" s="836"/>
      <c r="AK566" s="836"/>
      <c r="AL566" s="809"/>
      <c r="AM566" s="132"/>
      <c r="AN566" s="132"/>
      <c r="AO566" s="132"/>
      <c r="AP566" s="132"/>
      <c r="AQ566" s="132"/>
      <c r="AR566" s="132"/>
      <c r="AS566" s="132"/>
      <c r="AT566" s="132"/>
      <c r="AU566" s="132"/>
      <c r="AV566" s="132"/>
      <c r="AW566" s="132"/>
      <c r="AX566" s="132"/>
      <c r="AY566" s="132"/>
      <c r="AZ566" s="132"/>
      <c r="BA566" s="132"/>
      <c r="BB566" s="132"/>
      <c r="BC566" s="132"/>
      <c r="BD566" s="132"/>
      <c r="BE566" s="132"/>
      <c r="BF566" s="132"/>
    </row>
    <row r="567" customFormat="false" ht="11.25" hidden="false" customHeight="true" outlineLevel="0" collapsed="false">
      <c r="A567" s="113" t="s">
        <v>1026</v>
      </c>
      <c r="E567" s="80"/>
      <c r="F567" s="810"/>
      <c r="G567" s="138"/>
      <c r="H567" s="811" t="s">
        <v>1148</v>
      </c>
      <c r="I567" s="831"/>
      <c r="J567" s="335"/>
      <c r="K567" s="333"/>
      <c r="L567" s="204"/>
      <c r="M567" s="198"/>
      <c r="N567" s="837"/>
      <c r="O567" s="838"/>
      <c r="P567" s="76"/>
      <c r="Q567" s="335"/>
      <c r="R567" s="839"/>
      <c r="S567" s="839"/>
      <c r="T567" s="839"/>
      <c r="U567" s="839"/>
      <c r="V567" s="839"/>
      <c r="W567" s="839"/>
      <c r="X567" s="839"/>
      <c r="Y567" s="839"/>
      <c r="Z567" s="840"/>
      <c r="AA567" s="841"/>
      <c r="AB567" s="161" t="s">
        <v>1071</v>
      </c>
      <c r="AC567" s="842"/>
      <c r="AD567" s="842"/>
      <c r="AE567" s="847"/>
      <c r="AF567" s="835"/>
      <c r="AG567" s="836"/>
      <c r="AH567" s="836"/>
      <c r="AI567" s="835"/>
      <c r="AJ567" s="836"/>
      <c r="AK567" s="836"/>
      <c r="AL567" s="809"/>
      <c r="AM567" s="132"/>
      <c r="AN567" s="132"/>
      <c r="AO567" s="132"/>
      <c r="AP567" s="132"/>
      <c r="AQ567" s="132"/>
      <c r="AR567" s="132"/>
      <c r="AS567" s="132"/>
      <c r="AT567" s="132"/>
      <c r="AU567" s="132"/>
      <c r="AV567" s="132"/>
      <c r="AW567" s="132"/>
      <c r="AX567" s="132"/>
      <c r="AY567" s="132"/>
      <c r="AZ567" s="132"/>
      <c r="BA567" s="132"/>
      <c r="BB567" s="132"/>
      <c r="BC567" s="132"/>
      <c r="BD567" s="132"/>
      <c r="BE567" s="132"/>
      <c r="BF567" s="132"/>
    </row>
    <row r="568" customFormat="false" ht="11.25" hidden="false" customHeight="true" outlineLevel="0" collapsed="false">
      <c r="A568" s="113" t="s">
        <v>1026</v>
      </c>
      <c r="E568" s="80"/>
      <c r="F568" s="810"/>
      <c r="G568" s="138"/>
      <c r="H568" s="811" t="s">
        <v>1148</v>
      </c>
      <c r="I568" s="831"/>
      <c r="J568" s="335"/>
      <c r="K568" s="333"/>
      <c r="L568" s="204"/>
      <c r="M568" s="198"/>
      <c r="N568" s="840"/>
      <c r="O568" s="841"/>
      <c r="P568" s="161" t="s">
        <v>1072</v>
      </c>
      <c r="Q568" s="841"/>
      <c r="R568" s="841"/>
      <c r="S568" s="841"/>
      <c r="T568" s="841"/>
      <c r="U568" s="841"/>
      <c r="V568" s="841"/>
      <c r="W568" s="841"/>
      <c r="X568" s="841"/>
      <c r="Y568" s="841"/>
      <c r="Z568" s="841"/>
      <c r="AA568" s="841"/>
      <c r="AB568" s="841"/>
      <c r="AC568" s="841"/>
      <c r="AD568" s="841"/>
      <c r="AE568" s="848"/>
      <c r="AF568" s="835"/>
      <c r="AG568" s="836"/>
      <c r="AH568" s="836"/>
      <c r="AI568" s="835"/>
      <c r="AJ568" s="836"/>
      <c r="AK568" s="836"/>
      <c r="AL568" s="809"/>
      <c r="AM568" s="132"/>
      <c r="AN568" s="132"/>
      <c r="AO568" s="132"/>
      <c r="AP568" s="132"/>
      <c r="AQ568" s="132"/>
      <c r="AR568" s="132"/>
      <c r="AS568" s="132"/>
      <c r="AT568" s="132"/>
      <c r="AU568" s="132"/>
      <c r="AV568" s="132"/>
      <c r="AW568" s="132"/>
      <c r="AX568" s="132"/>
      <c r="AY568" s="132"/>
      <c r="AZ568" s="132"/>
      <c r="BA568" s="132"/>
      <c r="BB568" s="132"/>
      <c r="BC568" s="132"/>
      <c r="BD568" s="132"/>
      <c r="BE568" s="132"/>
      <c r="BF568" s="132"/>
    </row>
    <row r="569" customFormat="false" ht="11.25" hidden="false" customHeight="true" outlineLevel="0" collapsed="false">
      <c r="A569" s="113" t="s">
        <v>1026</v>
      </c>
      <c r="E569" s="80"/>
      <c r="F569" s="810"/>
      <c r="G569" s="138" t="s">
        <v>103</v>
      </c>
      <c r="H569" s="811" t="s">
        <v>1148</v>
      </c>
      <c r="I569" s="831"/>
      <c r="J569" s="335"/>
      <c r="K569" s="333" t="s">
        <v>1165</v>
      </c>
      <c r="L569" s="204" t="s">
        <v>19</v>
      </c>
      <c r="M569" s="198"/>
      <c r="N569" s="832"/>
      <c r="O569" s="833" t="s">
        <v>389</v>
      </c>
      <c r="P569" s="834"/>
      <c r="Q569" s="834"/>
      <c r="R569" s="834"/>
      <c r="S569" s="834"/>
      <c r="T569" s="834"/>
      <c r="U569" s="834"/>
      <c r="V569" s="834"/>
      <c r="W569" s="834"/>
      <c r="X569" s="834"/>
      <c r="Y569" s="834"/>
      <c r="Z569" s="834"/>
      <c r="AA569" s="834"/>
      <c r="AB569" s="834"/>
      <c r="AC569" s="834"/>
      <c r="AD569" s="834"/>
      <c r="AE569" s="834"/>
      <c r="AF569" s="835" t="n">
        <v>2021</v>
      </c>
      <c r="AG569" s="836" t="s">
        <v>1059</v>
      </c>
      <c r="AH569" s="836" t="s">
        <v>1104</v>
      </c>
      <c r="AI569" s="835" t="n">
        <v>2022</v>
      </c>
      <c r="AJ569" s="836" t="s">
        <v>1059</v>
      </c>
      <c r="AK569" s="836" t="s">
        <v>1096</v>
      </c>
      <c r="AL569" s="809"/>
      <c r="AM569" s="132"/>
      <c r="AN569" s="132"/>
      <c r="AO569" s="132"/>
      <c r="AP569" s="132"/>
      <c r="AQ569" s="132"/>
      <c r="AR569" s="132"/>
      <c r="AS569" s="132"/>
      <c r="AT569" s="132"/>
      <c r="AU569" s="132"/>
      <c r="AV569" s="132"/>
      <c r="AW569" s="132"/>
      <c r="AX569" s="132"/>
      <c r="AY569" s="132"/>
      <c r="AZ569" s="132"/>
      <c r="BA569" s="132"/>
      <c r="BB569" s="132"/>
      <c r="BC569" s="132"/>
      <c r="BD569" s="132"/>
      <c r="BE569" s="132"/>
      <c r="BF569" s="132"/>
    </row>
    <row r="570" customFormat="false" ht="11.25" hidden="false" customHeight="true" outlineLevel="0" collapsed="false">
      <c r="A570" s="113" t="s">
        <v>1026</v>
      </c>
      <c r="E570" s="80"/>
      <c r="F570" s="810"/>
      <c r="G570" s="138"/>
      <c r="H570" s="811" t="s">
        <v>1149</v>
      </c>
      <c r="I570" s="831"/>
      <c r="J570" s="335"/>
      <c r="K570" s="333"/>
      <c r="L570" s="204"/>
      <c r="M570" s="198"/>
      <c r="N570" s="837"/>
      <c r="O570" s="838" t="n">
        <v>1</v>
      </c>
      <c r="P570" s="76" t="s">
        <v>61</v>
      </c>
      <c r="Q570" s="335" t="s">
        <v>1118</v>
      </c>
      <c r="R570" s="839" t="s">
        <v>1119</v>
      </c>
      <c r="S570" s="839" t="s">
        <v>111</v>
      </c>
      <c r="T570" s="839" t="s">
        <v>112</v>
      </c>
      <c r="U570" s="839" t="s">
        <v>113</v>
      </c>
      <c r="V570" s="839" t="s">
        <v>1120</v>
      </c>
      <c r="W570" s="839" t="s">
        <v>1121</v>
      </c>
      <c r="X570" s="839" t="s">
        <v>1122</v>
      </c>
      <c r="Y570" s="839" t="s">
        <v>1123</v>
      </c>
      <c r="Z570" s="840"/>
      <c r="AA570" s="841"/>
      <c r="AB570" s="841"/>
      <c r="AC570" s="842"/>
      <c r="AD570" s="842"/>
      <c r="AE570" s="843"/>
      <c r="AF570" s="835"/>
      <c r="AG570" s="836"/>
      <c r="AH570" s="836"/>
      <c r="AI570" s="835"/>
      <c r="AJ570" s="836"/>
      <c r="AK570" s="836"/>
      <c r="AL570" s="809"/>
      <c r="AM570" s="132"/>
      <c r="AN570" s="132"/>
      <c r="AO570" s="132"/>
      <c r="AP570" s="132"/>
      <c r="AQ570" s="132"/>
      <c r="AR570" s="132"/>
      <c r="AS570" s="132"/>
      <c r="AT570" s="132"/>
      <c r="AU570" s="132"/>
      <c r="AV570" s="132"/>
      <c r="AW570" s="132"/>
      <c r="AX570" s="132"/>
      <c r="AY570" s="132"/>
      <c r="AZ570" s="132"/>
      <c r="BA570" s="132"/>
      <c r="BB570" s="132"/>
      <c r="BC570" s="132"/>
      <c r="BD570" s="132"/>
      <c r="BE570" s="132"/>
      <c r="BF570" s="132"/>
    </row>
    <row r="571" customFormat="false" ht="11.25" hidden="false" customHeight="true" outlineLevel="0" collapsed="false">
      <c r="A571" s="113" t="s">
        <v>1026</v>
      </c>
      <c r="E571" s="80"/>
      <c r="F571" s="810"/>
      <c r="G571" s="138"/>
      <c r="H571" s="811" t="s">
        <v>1149</v>
      </c>
      <c r="I571" s="831"/>
      <c r="J571" s="335"/>
      <c r="K571" s="333"/>
      <c r="L571" s="204"/>
      <c r="M571" s="198"/>
      <c r="N571" s="837"/>
      <c r="O571" s="838"/>
      <c r="P571" s="76"/>
      <c r="Q571" s="335"/>
      <c r="R571" s="839"/>
      <c r="S571" s="839"/>
      <c r="T571" s="839"/>
      <c r="U571" s="839"/>
      <c r="V571" s="839"/>
      <c r="W571" s="839"/>
      <c r="X571" s="839"/>
      <c r="Y571" s="839"/>
      <c r="Z571" s="844"/>
      <c r="AA571" s="845" t="n">
        <v>1</v>
      </c>
      <c r="AB571" s="846" t="s">
        <v>1069</v>
      </c>
      <c r="AC571" s="756" t="n">
        <v>665.63712</v>
      </c>
      <c r="AD571" s="846" t="str">
        <f aca="false">AB571</f>
        <v>Прочие амортизационные отчисления</v>
      </c>
      <c r="AE571" s="756" t="n">
        <v>5441.83494</v>
      </c>
      <c r="AF571" s="835"/>
      <c r="AG571" s="836"/>
      <c r="AH571" s="836"/>
      <c r="AI571" s="835"/>
      <c r="AJ571" s="836"/>
      <c r="AK571" s="836"/>
      <c r="AL571" s="809"/>
      <c r="AM571" s="132"/>
      <c r="AN571" s="132"/>
      <c r="AO571" s="132"/>
      <c r="AP571" s="132"/>
      <c r="AQ571" s="132"/>
      <c r="AR571" s="132"/>
      <c r="AS571" s="132"/>
      <c r="AT571" s="132"/>
      <c r="AU571" s="132"/>
      <c r="AV571" s="132"/>
      <c r="AW571" s="132"/>
      <c r="AX571" s="132"/>
      <c r="AY571" s="132"/>
      <c r="AZ571" s="132"/>
      <c r="BA571" s="132"/>
      <c r="BB571" s="132"/>
      <c r="BC571" s="132"/>
      <c r="BD571" s="132"/>
      <c r="BE571" s="132"/>
      <c r="BF571" s="132"/>
    </row>
    <row r="572" customFormat="false" ht="11.25" hidden="false" customHeight="true" outlineLevel="0" collapsed="false">
      <c r="A572" s="113" t="s">
        <v>1026</v>
      </c>
      <c r="E572" s="80"/>
      <c r="F572" s="810"/>
      <c r="G572" s="810"/>
      <c r="H572" s="810"/>
      <c r="I572" s="831"/>
      <c r="J572" s="335"/>
      <c r="K572" s="333"/>
      <c r="L572" s="204"/>
      <c r="M572" s="204"/>
      <c r="N572" s="204"/>
      <c r="O572" s="204"/>
      <c r="P572" s="204"/>
      <c r="Q572" s="204"/>
      <c r="R572" s="204"/>
      <c r="S572" s="204"/>
      <c r="T572" s="204"/>
      <c r="U572" s="204"/>
      <c r="V572" s="204"/>
      <c r="W572" s="204"/>
      <c r="X572" s="204"/>
      <c r="Y572" s="204"/>
      <c r="Z572" s="138" t="s">
        <v>103</v>
      </c>
      <c r="AA572" s="838" t="s">
        <v>102</v>
      </c>
      <c r="AB572" s="846" t="s">
        <v>1070</v>
      </c>
      <c r="AC572" s="756" t="n">
        <v>2849.03</v>
      </c>
      <c r="AD572" s="846" t="str">
        <f aca="false">AB572</f>
        <v>Прибыль направляемая на инвестиции</v>
      </c>
      <c r="AE572" s="756" t="n">
        <v>848.11637</v>
      </c>
      <c r="AF572" s="835"/>
      <c r="AG572" s="836"/>
      <c r="AH572" s="836"/>
      <c r="AI572" s="835"/>
      <c r="AJ572" s="836"/>
      <c r="AK572" s="836"/>
      <c r="AL572" s="809"/>
      <c r="AM572" s="132"/>
      <c r="AN572" s="132"/>
      <c r="AO572" s="132"/>
      <c r="AP572" s="132"/>
      <c r="AQ572" s="132"/>
      <c r="AR572" s="132"/>
      <c r="AS572" s="132"/>
      <c r="AT572" s="132"/>
      <c r="AU572" s="132"/>
      <c r="AV572" s="132"/>
      <c r="AW572" s="132"/>
      <c r="AX572" s="132"/>
      <c r="AY572" s="132"/>
      <c r="AZ572" s="132"/>
      <c r="BA572" s="132"/>
      <c r="BB572" s="132"/>
      <c r="BC572" s="132"/>
      <c r="BD572" s="132"/>
      <c r="BE572" s="132"/>
      <c r="BF572" s="132"/>
    </row>
    <row r="573" customFormat="false" ht="11.25" hidden="false" customHeight="true" outlineLevel="0" collapsed="false">
      <c r="A573" s="113" t="s">
        <v>1026</v>
      </c>
      <c r="E573" s="80"/>
      <c r="F573" s="810"/>
      <c r="G573" s="138"/>
      <c r="H573" s="811" t="s">
        <v>1149</v>
      </c>
      <c r="I573" s="831"/>
      <c r="J573" s="335"/>
      <c r="K573" s="333"/>
      <c r="L573" s="204"/>
      <c r="M573" s="198"/>
      <c r="N573" s="837"/>
      <c r="O573" s="838"/>
      <c r="P573" s="76"/>
      <c r="Q573" s="335"/>
      <c r="R573" s="839"/>
      <c r="S573" s="839"/>
      <c r="T573" s="839"/>
      <c r="U573" s="839"/>
      <c r="V573" s="839"/>
      <c r="W573" s="839"/>
      <c r="X573" s="839"/>
      <c r="Y573" s="839"/>
      <c r="Z573" s="840"/>
      <c r="AA573" s="841"/>
      <c r="AB573" s="161" t="s">
        <v>1071</v>
      </c>
      <c r="AC573" s="842"/>
      <c r="AD573" s="842"/>
      <c r="AE573" s="847"/>
      <c r="AF573" s="835"/>
      <c r="AG573" s="836"/>
      <c r="AH573" s="836"/>
      <c r="AI573" s="835"/>
      <c r="AJ573" s="836"/>
      <c r="AK573" s="836"/>
      <c r="AL573" s="809"/>
      <c r="AM573" s="132"/>
      <c r="AN573" s="132"/>
      <c r="AO573" s="132"/>
      <c r="AP573" s="132"/>
      <c r="AQ573" s="132"/>
      <c r="AR573" s="132"/>
      <c r="AS573" s="132"/>
      <c r="AT573" s="132"/>
      <c r="AU573" s="132"/>
      <c r="AV573" s="132"/>
      <c r="AW573" s="132"/>
      <c r="AX573" s="132"/>
      <c r="AY573" s="132"/>
      <c r="AZ573" s="132"/>
      <c r="BA573" s="132"/>
      <c r="BB573" s="132"/>
      <c r="BC573" s="132"/>
      <c r="BD573" s="132"/>
      <c r="BE573" s="132"/>
      <c r="BF573" s="132"/>
    </row>
    <row r="574" customFormat="false" ht="11.25" hidden="false" customHeight="true" outlineLevel="0" collapsed="false">
      <c r="A574" s="113" t="s">
        <v>1026</v>
      </c>
      <c r="E574" s="80"/>
      <c r="F574" s="810"/>
      <c r="G574" s="138"/>
      <c r="H574" s="811" t="s">
        <v>1149</v>
      </c>
      <c r="I574" s="831"/>
      <c r="J574" s="335"/>
      <c r="K574" s="333"/>
      <c r="L574" s="204"/>
      <c r="M574" s="198"/>
      <c r="N574" s="840"/>
      <c r="O574" s="841"/>
      <c r="P574" s="161" t="s">
        <v>1072</v>
      </c>
      <c r="Q574" s="841"/>
      <c r="R574" s="841"/>
      <c r="S574" s="841"/>
      <c r="T574" s="841"/>
      <c r="U574" s="841"/>
      <c r="V574" s="841"/>
      <c r="W574" s="841"/>
      <c r="X574" s="841"/>
      <c r="Y574" s="841"/>
      <c r="Z574" s="841"/>
      <c r="AA574" s="841"/>
      <c r="AB574" s="841"/>
      <c r="AC574" s="841"/>
      <c r="AD574" s="841"/>
      <c r="AE574" s="848"/>
      <c r="AF574" s="835"/>
      <c r="AG574" s="836"/>
      <c r="AH574" s="836"/>
      <c r="AI574" s="835"/>
      <c r="AJ574" s="836"/>
      <c r="AK574" s="836"/>
      <c r="AL574" s="809"/>
      <c r="AM574" s="132"/>
      <c r="AN574" s="132"/>
      <c r="AO574" s="132"/>
      <c r="AP574" s="132"/>
      <c r="AQ574" s="132"/>
      <c r="AR574" s="132"/>
      <c r="AS574" s="132"/>
      <c r="AT574" s="132"/>
      <c r="AU574" s="132"/>
      <c r="AV574" s="132"/>
      <c r="AW574" s="132"/>
      <c r="AX574" s="132"/>
      <c r="AY574" s="132"/>
      <c r="AZ574" s="132"/>
      <c r="BA574" s="132"/>
      <c r="BB574" s="132"/>
      <c r="BC574" s="132"/>
      <c r="BD574" s="132"/>
      <c r="BE574" s="132"/>
      <c r="BF574" s="132"/>
    </row>
    <row r="575" customFormat="false" ht="11.25" hidden="false" customHeight="true" outlineLevel="0" collapsed="false">
      <c r="A575" s="113" t="s">
        <v>1026</v>
      </c>
      <c r="E575" s="80"/>
      <c r="F575" s="810"/>
      <c r="G575" s="138" t="s">
        <v>103</v>
      </c>
      <c r="H575" s="811" t="s">
        <v>1149</v>
      </c>
      <c r="I575" s="831"/>
      <c r="J575" s="335"/>
      <c r="K575" s="333" t="s">
        <v>1095</v>
      </c>
      <c r="L575" s="204" t="s">
        <v>19</v>
      </c>
      <c r="M575" s="198"/>
      <c r="N575" s="832"/>
      <c r="O575" s="833" t="s">
        <v>389</v>
      </c>
      <c r="P575" s="834"/>
      <c r="Q575" s="834"/>
      <c r="R575" s="834"/>
      <c r="S575" s="834"/>
      <c r="T575" s="834"/>
      <c r="U575" s="834"/>
      <c r="V575" s="834"/>
      <c r="W575" s="834"/>
      <c r="X575" s="834"/>
      <c r="Y575" s="834"/>
      <c r="Z575" s="834"/>
      <c r="AA575" s="834"/>
      <c r="AB575" s="834"/>
      <c r="AC575" s="834"/>
      <c r="AD575" s="834"/>
      <c r="AE575" s="834"/>
      <c r="AF575" s="835" t="n">
        <v>2019</v>
      </c>
      <c r="AG575" s="836" t="s">
        <v>1059</v>
      </c>
      <c r="AH575" s="836" t="s">
        <v>1096</v>
      </c>
      <c r="AI575" s="835" t="n">
        <v>2019</v>
      </c>
      <c r="AJ575" s="836" t="s">
        <v>1076</v>
      </c>
      <c r="AK575" s="836" t="s">
        <v>1062</v>
      </c>
      <c r="AL575" s="809"/>
      <c r="AM575" s="132"/>
      <c r="AN575" s="132"/>
      <c r="AO575" s="132"/>
      <c r="AP575" s="132"/>
      <c r="AQ575" s="132"/>
      <c r="AR575" s="132"/>
      <c r="AS575" s="132"/>
      <c r="AT575" s="132"/>
      <c r="AU575" s="132"/>
      <c r="AV575" s="132"/>
      <c r="AW575" s="132"/>
      <c r="AX575" s="132"/>
      <c r="AY575" s="132"/>
      <c r="AZ575" s="132"/>
      <c r="BA575" s="132"/>
      <c r="BB575" s="132"/>
      <c r="BC575" s="132"/>
      <c r="BD575" s="132"/>
      <c r="BE575" s="132"/>
      <c r="BF575" s="132"/>
    </row>
    <row r="576" customFormat="false" ht="11.25" hidden="false" customHeight="true" outlineLevel="0" collapsed="false">
      <c r="A576" s="113" t="s">
        <v>1026</v>
      </c>
      <c r="E576" s="80"/>
      <c r="F576" s="810"/>
      <c r="G576" s="138"/>
      <c r="H576" s="811" t="s">
        <v>1148</v>
      </c>
      <c r="I576" s="831"/>
      <c r="J576" s="335"/>
      <c r="K576" s="333"/>
      <c r="L576" s="204"/>
      <c r="M576" s="198"/>
      <c r="N576" s="837"/>
      <c r="O576" s="838" t="n">
        <v>1</v>
      </c>
      <c r="P576" s="76" t="s">
        <v>61</v>
      </c>
      <c r="Q576" s="335" t="s">
        <v>1097</v>
      </c>
      <c r="R576" s="839" t="s">
        <v>1064</v>
      </c>
      <c r="S576" s="839" t="s">
        <v>99</v>
      </c>
      <c r="T576" s="839" t="s">
        <v>99</v>
      </c>
      <c r="U576" s="839" t="s">
        <v>100</v>
      </c>
      <c r="V576" s="839" t="s">
        <v>1065</v>
      </c>
      <c r="W576" s="839" t="s">
        <v>1066</v>
      </c>
      <c r="X576" s="839" t="s">
        <v>1098</v>
      </c>
      <c r="Y576" s="839" t="s">
        <v>1099</v>
      </c>
      <c r="Z576" s="840"/>
      <c r="AA576" s="841"/>
      <c r="AB576" s="841"/>
      <c r="AC576" s="842"/>
      <c r="AD576" s="842"/>
      <c r="AE576" s="843"/>
      <c r="AF576" s="835"/>
      <c r="AG576" s="836"/>
      <c r="AH576" s="836"/>
      <c r="AI576" s="835"/>
      <c r="AJ576" s="836"/>
      <c r="AK576" s="836"/>
      <c r="AL576" s="809"/>
      <c r="AM576" s="132"/>
      <c r="AN576" s="132"/>
      <c r="AO576" s="132"/>
      <c r="AP576" s="132"/>
      <c r="AQ576" s="132"/>
      <c r="AR576" s="132"/>
      <c r="AS576" s="132"/>
      <c r="AT576" s="132"/>
      <c r="AU576" s="132"/>
      <c r="AV576" s="132"/>
      <c r="AW576" s="132"/>
      <c r="AX576" s="132"/>
      <c r="AY576" s="132"/>
      <c r="AZ576" s="132"/>
      <c r="BA576" s="132"/>
      <c r="BB576" s="132"/>
      <c r="BC576" s="132"/>
      <c r="BD576" s="132"/>
      <c r="BE576" s="132"/>
      <c r="BF576" s="132"/>
    </row>
    <row r="577" customFormat="false" ht="11.25" hidden="false" customHeight="true" outlineLevel="0" collapsed="false">
      <c r="A577" s="113" t="s">
        <v>1026</v>
      </c>
      <c r="E577" s="80"/>
      <c r="F577" s="810"/>
      <c r="G577" s="138"/>
      <c r="H577" s="811" t="s">
        <v>1148</v>
      </c>
      <c r="I577" s="831"/>
      <c r="J577" s="335"/>
      <c r="K577" s="333"/>
      <c r="L577" s="204"/>
      <c r="M577" s="198"/>
      <c r="N577" s="837"/>
      <c r="O577" s="838"/>
      <c r="P577" s="76"/>
      <c r="Q577" s="335"/>
      <c r="R577" s="839"/>
      <c r="S577" s="839"/>
      <c r="T577" s="839"/>
      <c r="U577" s="839"/>
      <c r="V577" s="839"/>
      <c r="W577" s="839"/>
      <c r="X577" s="839"/>
      <c r="Y577" s="839"/>
      <c r="Z577" s="844"/>
      <c r="AA577" s="845" t="n">
        <v>1</v>
      </c>
      <c r="AB577" s="846" t="s">
        <v>1069</v>
      </c>
      <c r="AC577" s="756" t="n">
        <v>1541.25</v>
      </c>
      <c r="AD577" s="846" t="str">
        <f aca="false">AB577</f>
        <v>Прочие амортизационные отчисления</v>
      </c>
      <c r="AE577" s="756" t="n">
        <v>0</v>
      </c>
      <c r="AF577" s="835"/>
      <c r="AG577" s="836"/>
      <c r="AH577" s="836"/>
      <c r="AI577" s="835"/>
      <c r="AJ577" s="836"/>
      <c r="AK577" s="836"/>
      <c r="AL577" s="809"/>
      <c r="AM577" s="132"/>
      <c r="AN577" s="132"/>
      <c r="AO577" s="132"/>
      <c r="AP577" s="132"/>
      <c r="AQ577" s="132"/>
      <c r="AR577" s="132"/>
      <c r="AS577" s="132"/>
      <c r="AT577" s="132"/>
      <c r="AU577" s="132"/>
      <c r="AV577" s="132"/>
      <c r="AW577" s="132"/>
      <c r="AX577" s="132"/>
      <c r="AY577" s="132"/>
      <c r="AZ577" s="132"/>
      <c r="BA577" s="132"/>
      <c r="BB577" s="132"/>
      <c r="BC577" s="132"/>
      <c r="BD577" s="132"/>
      <c r="BE577" s="132"/>
      <c r="BF577" s="132"/>
    </row>
    <row r="578" customFormat="false" ht="11.25" hidden="false" customHeight="true" outlineLevel="0" collapsed="false">
      <c r="A578" s="113" t="s">
        <v>1026</v>
      </c>
      <c r="E578" s="80"/>
      <c r="F578" s="810"/>
      <c r="G578" s="138"/>
      <c r="H578" s="811" t="s">
        <v>1148</v>
      </c>
      <c r="I578" s="831"/>
      <c r="J578" s="335"/>
      <c r="K578" s="333"/>
      <c r="L578" s="204"/>
      <c r="M578" s="198"/>
      <c r="N578" s="837"/>
      <c r="O578" s="838"/>
      <c r="P578" s="76"/>
      <c r="Q578" s="335"/>
      <c r="R578" s="839"/>
      <c r="S578" s="839"/>
      <c r="T578" s="839"/>
      <c r="U578" s="839"/>
      <c r="V578" s="839"/>
      <c r="W578" s="839"/>
      <c r="X578" s="839"/>
      <c r="Y578" s="839"/>
      <c r="Z578" s="840"/>
      <c r="AA578" s="841"/>
      <c r="AB578" s="161" t="s">
        <v>1071</v>
      </c>
      <c r="AC578" s="842"/>
      <c r="AD578" s="842"/>
      <c r="AE578" s="847"/>
      <c r="AF578" s="835"/>
      <c r="AG578" s="836"/>
      <c r="AH578" s="836"/>
      <c r="AI578" s="835"/>
      <c r="AJ578" s="836"/>
      <c r="AK578" s="836"/>
      <c r="AL578" s="809"/>
      <c r="AM578" s="132"/>
      <c r="AN578" s="132"/>
      <c r="AO578" s="132"/>
      <c r="AP578" s="132"/>
      <c r="AQ578" s="132"/>
      <c r="AR578" s="132"/>
      <c r="AS578" s="132"/>
      <c r="AT578" s="132"/>
      <c r="AU578" s="132"/>
      <c r="AV578" s="132"/>
      <c r="AW578" s="132"/>
      <c r="AX578" s="132"/>
      <c r="AY578" s="132"/>
      <c r="AZ578" s="132"/>
      <c r="BA578" s="132"/>
      <c r="BB578" s="132"/>
      <c r="BC578" s="132"/>
      <c r="BD578" s="132"/>
      <c r="BE578" s="132"/>
      <c r="BF578" s="132"/>
    </row>
    <row r="579" customFormat="false" ht="11.25" hidden="false" customHeight="true" outlineLevel="0" collapsed="false">
      <c r="A579" s="113" t="s">
        <v>1026</v>
      </c>
      <c r="E579" s="80"/>
      <c r="F579" s="810"/>
      <c r="G579" s="138"/>
      <c r="H579" s="811" t="s">
        <v>1148</v>
      </c>
      <c r="I579" s="831"/>
      <c r="J579" s="335"/>
      <c r="K579" s="333"/>
      <c r="L579" s="204"/>
      <c r="M579" s="198"/>
      <c r="N579" s="840"/>
      <c r="O579" s="841"/>
      <c r="P579" s="161" t="s">
        <v>1072</v>
      </c>
      <c r="Q579" s="841"/>
      <c r="R579" s="841"/>
      <c r="S579" s="841"/>
      <c r="T579" s="841"/>
      <c r="U579" s="841"/>
      <c r="V579" s="841"/>
      <c r="W579" s="841"/>
      <c r="X579" s="841"/>
      <c r="Y579" s="841"/>
      <c r="Z579" s="841"/>
      <c r="AA579" s="841"/>
      <c r="AB579" s="841"/>
      <c r="AC579" s="841"/>
      <c r="AD579" s="841"/>
      <c r="AE579" s="848"/>
      <c r="AF579" s="835"/>
      <c r="AG579" s="836"/>
      <c r="AH579" s="836"/>
      <c r="AI579" s="835"/>
      <c r="AJ579" s="836"/>
      <c r="AK579" s="836"/>
      <c r="AL579" s="809"/>
      <c r="AM579" s="132"/>
      <c r="AN579" s="132"/>
      <c r="AO579" s="132"/>
      <c r="AP579" s="132"/>
      <c r="AQ579" s="132"/>
      <c r="AR579" s="132"/>
      <c r="AS579" s="132"/>
      <c r="AT579" s="132"/>
      <c r="AU579" s="132"/>
      <c r="AV579" s="132"/>
      <c r="AW579" s="132"/>
      <c r="AX579" s="132"/>
      <c r="AY579" s="132"/>
      <c r="AZ579" s="132"/>
      <c r="BA579" s="132"/>
      <c r="BB579" s="132"/>
      <c r="BC579" s="132"/>
      <c r="BD579" s="132"/>
      <c r="BE579" s="132"/>
      <c r="BF579" s="132"/>
    </row>
    <row r="580" customFormat="false" ht="11.25" hidden="false" customHeight="true" outlineLevel="0" collapsed="false">
      <c r="A580" s="113" t="s">
        <v>1026</v>
      </c>
      <c r="E580" s="80"/>
      <c r="F580" s="810"/>
      <c r="G580" s="138" t="s">
        <v>103</v>
      </c>
      <c r="H580" s="811" t="s">
        <v>1150</v>
      </c>
      <c r="I580" s="831"/>
      <c r="J580" s="335"/>
      <c r="K580" s="333" t="s">
        <v>1179</v>
      </c>
      <c r="L580" s="204" t="s">
        <v>19</v>
      </c>
      <c r="M580" s="198"/>
      <c r="N580" s="832"/>
      <c r="O580" s="833" t="s">
        <v>389</v>
      </c>
      <c r="P580" s="834"/>
      <c r="Q580" s="834"/>
      <c r="R580" s="834"/>
      <c r="S580" s="834"/>
      <c r="T580" s="834"/>
      <c r="U580" s="834"/>
      <c r="V580" s="834"/>
      <c r="W580" s="834"/>
      <c r="X580" s="834"/>
      <c r="Y580" s="834"/>
      <c r="Z580" s="834"/>
      <c r="AA580" s="834"/>
      <c r="AB580" s="834"/>
      <c r="AC580" s="834"/>
      <c r="AD580" s="834"/>
      <c r="AE580" s="834"/>
      <c r="AF580" s="835" t="n">
        <v>2022</v>
      </c>
      <c r="AG580" s="836" t="s">
        <v>1059</v>
      </c>
      <c r="AH580" s="836" t="s">
        <v>1096</v>
      </c>
      <c r="AI580" s="835" t="n">
        <v>2023</v>
      </c>
      <c r="AJ580" s="836" t="s">
        <v>1180</v>
      </c>
      <c r="AK580" s="836" t="s">
        <v>1104</v>
      </c>
      <c r="AL580" s="809"/>
      <c r="AM580" s="132"/>
      <c r="AN580" s="132"/>
      <c r="AO580" s="132"/>
      <c r="AP580" s="132"/>
      <c r="AQ580" s="132"/>
      <c r="AR580" s="132"/>
      <c r="AS580" s="132"/>
      <c r="AT580" s="132"/>
      <c r="AU580" s="132"/>
      <c r="AV580" s="132"/>
      <c r="AW580" s="132"/>
      <c r="AX580" s="132"/>
      <c r="AY580" s="132"/>
      <c r="AZ580" s="132"/>
      <c r="BA580" s="132"/>
      <c r="BB580" s="132"/>
      <c r="BC580" s="132"/>
      <c r="BD580" s="132"/>
      <c r="BE580" s="132"/>
      <c r="BF580" s="132"/>
    </row>
    <row r="581" customFormat="false" ht="11.25" hidden="false" customHeight="true" outlineLevel="0" collapsed="false">
      <c r="A581" s="113" t="s">
        <v>1026</v>
      </c>
      <c r="E581" s="80"/>
      <c r="F581" s="810"/>
      <c r="G581" s="138"/>
      <c r="H581" s="811" t="s">
        <v>1149</v>
      </c>
      <c r="I581" s="831"/>
      <c r="J581" s="335"/>
      <c r="K581" s="333"/>
      <c r="L581" s="204"/>
      <c r="M581" s="198"/>
      <c r="N581" s="837"/>
      <c r="O581" s="838" t="n">
        <v>1</v>
      </c>
      <c r="P581" s="76" t="s">
        <v>61</v>
      </c>
      <c r="Q581" s="335" t="s">
        <v>1080</v>
      </c>
      <c r="R581" s="839" t="s">
        <v>1064</v>
      </c>
      <c r="S581" s="839" t="s">
        <v>99</v>
      </c>
      <c r="T581" s="839" t="s">
        <v>99</v>
      </c>
      <c r="U581" s="839" t="s">
        <v>100</v>
      </c>
      <c r="V581" s="839" t="s">
        <v>1065</v>
      </c>
      <c r="W581" s="839" t="s">
        <v>1066</v>
      </c>
      <c r="X581" s="839" t="s">
        <v>1081</v>
      </c>
      <c r="Y581" s="839" t="s">
        <v>1082</v>
      </c>
      <c r="Z581" s="840"/>
      <c r="AA581" s="841"/>
      <c r="AB581" s="841"/>
      <c r="AC581" s="842"/>
      <c r="AD581" s="842"/>
      <c r="AE581" s="843"/>
      <c r="AF581" s="835"/>
      <c r="AG581" s="836"/>
      <c r="AH581" s="836"/>
      <c r="AI581" s="835"/>
      <c r="AJ581" s="836"/>
      <c r="AK581" s="836"/>
      <c r="AL581" s="809"/>
      <c r="AM581" s="132"/>
      <c r="AN581" s="132"/>
      <c r="AO581" s="132"/>
      <c r="AP581" s="132"/>
      <c r="AQ581" s="132"/>
      <c r="AR581" s="132"/>
      <c r="AS581" s="132"/>
      <c r="AT581" s="132"/>
      <c r="AU581" s="132"/>
      <c r="AV581" s="132"/>
      <c r="AW581" s="132"/>
      <c r="AX581" s="132"/>
      <c r="AY581" s="132"/>
      <c r="AZ581" s="132"/>
      <c r="BA581" s="132"/>
      <c r="BB581" s="132"/>
      <c r="BC581" s="132"/>
      <c r="BD581" s="132"/>
      <c r="BE581" s="132"/>
      <c r="BF581" s="132"/>
    </row>
    <row r="582" customFormat="false" ht="11.25" hidden="false" customHeight="true" outlineLevel="0" collapsed="false">
      <c r="A582" s="113" t="s">
        <v>1026</v>
      </c>
      <c r="E582" s="80"/>
      <c r="F582" s="810"/>
      <c r="G582" s="138"/>
      <c r="H582" s="811" t="s">
        <v>1149</v>
      </c>
      <c r="I582" s="831"/>
      <c r="J582" s="335"/>
      <c r="K582" s="333"/>
      <c r="L582" s="204"/>
      <c r="M582" s="198"/>
      <c r="N582" s="837"/>
      <c r="O582" s="838"/>
      <c r="P582" s="76"/>
      <c r="Q582" s="335"/>
      <c r="R582" s="839"/>
      <c r="S582" s="839"/>
      <c r="T582" s="839"/>
      <c r="U582" s="839"/>
      <c r="V582" s="839"/>
      <c r="W582" s="839"/>
      <c r="X582" s="839"/>
      <c r="Y582" s="839"/>
      <c r="Z582" s="844"/>
      <c r="AA582" s="845" t="n">
        <v>1</v>
      </c>
      <c r="AB582" s="846" t="s">
        <v>1069</v>
      </c>
      <c r="AC582" s="756" t="n">
        <v>323.86716</v>
      </c>
      <c r="AD582" s="846" t="str">
        <f aca="false">AB582</f>
        <v>Прочие амортизационные отчисления</v>
      </c>
      <c r="AE582" s="756" t="n">
        <v>0</v>
      </c>
      <c r="AF582" s="835"/>
      <c r="AG582" s="836"/>
      <c r="AH582" s="836"/>
      <c r="AI582" s="835"/>
      <c r="AJ582" s="836"/>
      <c r="AK582" s="836"/>
      <c r="AL582" s="809"/>
      <c r="AM582" s="132"/>
      <c r="AN582" s="132"/>
      <c r="AO582" s="132"/>
      <c r="AP582" s="132"/>
      <c r="AQ582" s="132"/>
      <c r="AR582" s="132"/>
      <c r="AS582" s="132"/>
      <c r="AT582" s="132"/>
      <c r="AU582" s="132"/>
      <c r="AV582" s="132"/>
      <c r="AW582" s="132"/>
      <c r="AX582" s="132"/>
      <c r="AY582" s="132"/>
      <c r="AZ582" s="132"/>
      <c r="BA582" s="132"/>
      <c r="BB582" s="132"/>
      <c r="BC582" s="132"/>
      <c r="BD582" s="132"/>
      <c r="BE582" s="132"/>
      <c r="BF582" s="132"/>
    </row>
    <row r="583" customFormat="false" ht="11.25" hidden="false" customHeight="true" outlineLevel="0" collapsed="false">
      <c r="A583" s="113" t="s">
        <v>1026</v>
      </c>
      <c r="E583" s="80"/>
      <c r="F583" s="810"/>
      <c r="G583" s="138"/>
      <c r="H583" s="811" t="s">
        <v>1149</v>
      </c>
      <c r="I583" s="831"/>
      <c r="J583" s="335"/>
      <c r="K583" s="333"/>
      <c r="L583" s="204"/>
      <c r="M583" s="198"/>
      <c r="N583" s="837"/>
      <c r="O583" s="838"/>
      <c r="P583" s="76"/>
      <c r="Q583" s="335"/>
      <c r="R583" s="839"/>
      <c r="S583" s="839"/>
      <c r="T583" s="839"/>
      <c r="U583" s="839"/>
      <c r="V583" s="839"/>
      <c r="W583" s="839"/>
      <c r="X583" s="839"/>
      <c r="Y583" s="839"/>
      <c r="Z583" s="840"/>
      <c r="AA583" s="841"/>
      <c r="AB583" s="161" t="s">
        <v>1071</v>
      </c>
      <c r="AC583" s="842"/>
      <c r="AD583" s="842"/>
      <c r="AE583" s="847"/>
      <c r="AF583" s="835"/>
      <c r="AG583" s="836"/>
      <c r="AH583" s="836"/>
      <c r="AI583" s="835"/>
      <c r="AJ583" s="836"/>
      <c r="AK583" s="836"/>
      <c r="AL583" s="809"/>
      <c r="AM583" s="132"/>
      <c r="AN583" s="132"/>
      <c r="AO583" s="132"/>
      <c r="AP583" s="132"/>
      <c r="AQ583" s="132"/>
      <c r="AR583" s="132"/>
      <c r="AS583" s="132"/>
      <c r="AT583" s="132"/>
      <c r="AU583" s="132"/>
      <c r="AV583" s="132"/>
      <c r="AW583" s="132"/>
      <c r="AX583" s="132"/>
      <c r="AY583" s="132"/>
      <c r="AZ583" s="132"/>
      <c r="BA583" s="132"/>
      <c r="BB583" s="132"/>
      <c r="BC583" s="132"/>
      <c r="BD583" s="132"/>
      <c r="BE583" s="132"/>
      <c r="BF583" s="132"/>
    </row>
    <row r="584" customFormat="false" ht="11.25" hidden="false" customHeight="true" outlineLevel="0" collapsed="false">
      <c r="A584" s="113" t="s">
        <v>1026</v>
      </c>
      <c r="E584" s="80"/>
      <c r="F584" s="810"/>
      <c r="G584" s="138"/>
      <c r="H584" s="811" t="s">
        <v>1149</v>
      </c>
      <c r="I584" s="831"/>
      <c r="J584" s="335"/>
      <c r="K584" s="333"/>
      <c r="L584" s="204"/>
      <c r="M584" s="198"/>
      <c r="N584" s="840"/>
      <c r="O584" s="841"/>
      <c r="P584" s="161" t="s">
        <v>1072</v>
      </c>
      <c r="Q584" s="841"/>
      <c r="R584" s="841"/>
      <c r="S584" s="841"/>
      <c r="T584" s="841"/>
      <c r="U584" s="841"/>
      <c r="V584" s="841"/>
      <c r="W584" s="841"/>
      <c r="X584" s="841"/>
      <c r="Y584" s="841"/>
      <c r="Z584" s="841"/>
      <c r="AA584" s="841"/>
      <c r="AB584" s="841"/>
      <c r="AC584" s="841"/>
      <c r="AD584" s="841"/>
      <c r="AE584" s="848"/>
      <c r="AF584" s="835"/>
      <c r="AG584" s="836"/>
      <c r="AH584" s="836"/>
      <c r="AI584" s="835"/>
      <c r="AJ584" s="836"/>
      <c r="AK584" s="836"/>
      <c r="AL584" s="809"/>
      <c r="AM584" s="132"/>
      <c r="AN584" s="132"/>
      <c r="AO584" s="132"/>
      <c r="AP584" s="132"/>
      <c r="AQ584" s="132"/>
      <c r="AR584" s="132"/>
      <c r="AS584" s="132"/>
      <c r="AT584" s="132"/>
      <c r="AU584" s="132"/>
      <c r="AV584" s="132"/>
      <c r="AW584" s="132"/>
      <c r="AX584" s="132"/>
      <c r="AY584" s="132"/>
      <c r="AZ584" s="132"/>
      <c r="BA584" s="132"/>
      <c r="BB584" s="132"/>
      <c r="BC584" s="132"/>
      <c r="BD584" s="132"/>
      <c r="BE584" s="132"/>
      <c r="BF584" s="132"/>
    </row>
    <row r="585" customFormat="false" ht="12" hidden="false" customHeight="true" outlineLevel="0" collapsed="false">
      <c r="A585" s="113" t="s">
        <v>1026</v>
      </c>
      <c r="E585" s="80"/>
      <c r="F585" s="810"/>
      <c r="G585" s="849"/>
      <c r="H585" s="849"/>
      <c r="I585" s="850" t="s">
        <v>1136</v>
      </c>
      <c r="J585" s="850"/>
      <c r="K585" s="850"/>
      <c r="L585" s="851"/>
      <c r="M585" s="851"/>
      <c r="N585" s="852"/>
      <c r="O585" s="852"/>
      <c r="P585" s="852"/>
      <c r="Q585" s="852"/>
      <c r="R585" s="852"/>
      <c r="S585" s="852"/>
      <c r="T585" s="852"/>
      <c r="U585" s="852"/>
      <c r="V585" s="852"/>
      <c r="W585" s="852"/>
      <c r="X585" s="852"/>
      <c r="Y585" s="852"/>
      <c r="Z585" s="852"/>
      <c r="AA585" s="852"/>
      <c r="AB585" s="852"/>
      <c r="AC585" s="852"/>
      <c r="AD585" s="852"/>
      <c r="AE585" s="852"/>
      <c r="AF585" s="852"/>
      <c r="AG585" s="851"/>
      <c r="AH585" s="851"/>
      <c r="AI585" s="852"/>
      <c r="AJ585" s="851"/>
      <c r="AK585" s="852"/>
      <c r="AL585" s="809"/>
      <c r="AM585" s="132"/>
      <c r="AN585" s="132"/>
      <c r="AO585" s="132"/>
      <c r="AP585" s="132"/>
      <c r="AQ585" s="132"/>
      <c r="AR585" s="132"/>
      <c r="AS585" s="132"/>
      <c r="AT585" s="132"/>
      <c r="AU585" s="132"/>
      <c r="AV585" s="132"/>
      <c r="AW585" s="132"/>
      <c r="AX585" s="132"/>
      <c r="AY585" s="132"/>
      <c r="AZ585" s="132"/>
      <c r="BA585" s="132"/>
      <c r="BB585" s="132"/>
      <c r="BC585" s="132"/>
      <c r="BD585" s="132"/>
      <c r="BE585" s="132"/>
      <c r="BF585" s="132"/>
    </row>
    <row r="586" customFormat="false" ht="0.75" hidden="false" customHeight="true" outlineLevel="0" collapsed="false">
      <c r="A586" s="113" t="s">
        <v>1026</v>
      </c>
      <c r="E586" s="80"/>
      <c r="F586" s="810" t="n">
        <v>2023</v>
      </c>
      <c r="G586" s="811"/>
      <c r="H586" s="812" t="s">
        <v>389</v>
      </c>
      <c r="I586" s="813"/>
      <c r="J586" s="149"/>
      <c r="K586" s="149"/>
      <c r="L586" s="814"/>
      <c r="M586" s="461"/>
      <c r="N586" s="815"/>
      <c r="O586" s="816"/>
      <c r="P586" s="815"/>
      <c r="Q586" s="815"/>
      <c r="R586" s="815"/>
      <c r="S586" s="815"/>
      <c r="T586" s="815"/>
      <c r="U586" s="815"/>
      <c r="V586" s="815"/>
      <c r="W586" s="815"/>
      <c r="X586" s="815"/>
      <c r="Y586" s="815"/>
      <c r="Z586" s="815"/>
      <c r="AA586" s="815"/>
      <c r="AB586" s="815"/>
      <c r="AC586" s="815"/>
      <c r="AD586" s="815"/>
      <c r="AE586" s="815"/>
      <c r="AF586" s="817"/>
      <c r="AG586" s="814"/>
      <c r="AH586" s="814"/>
      <c r="AI586" s="817"/>
      <c r="AJ586" s="814"/>
      <c r="AK586" s="814"/>
      <c r="AL586" s="809"/>
      <c r="AM586" s="132"/>
      <c r="AN586" s="132"/>
      <c r="AO586" s="132"/>
      <c r="AP586" s="132"/>
      <c r="AQ586" s="132"/>
      <c r="AR586" s="132"/>
      <c r="AS586" s="132"/>
      <c r="AT586" s="132"/>
      <c r="AU586" s="132"/>
      <c r="AV586" s="132"/>
      <c r="AW586" s="132"/>
      <c r="AX586" s="132"/>
      <c r="AY586" s="132"/>
      <c r="AZ586" s="132"/>
      <c r="BA586" s="132"/>
      <c r="BB586" s="132"/>
      <c r="BC586" s="132"/>
      <c r="BD586" s="132"/>
      <c r="BE586" s="132"/>
      <c r="BF586" s="132"/>
    </row>
    <row r="587" customFormat="false" ht="0.75" hidden="false" customHeight="true" outlineLevel="0" collapsed="false">
      <c r="A587" s="113" t="s">
        <v>1026</v>
      </c>
      <c r="E587" s="80"/>
      <c r="F587" s="810"/>
      <c r="G587" s="811"/>
      <c r="H587" s="812"/>
      <c r="I587" s="813"/>
      <c r="J587" s="149"/>
      <c r="K587" s="149"/>
      <c r="L587" s="814"/>
      <c r="M587" s="461"/>
      <c r="N587" s="818"/>
      <c r="O587" s="819"/>
      <c r="P587" s="820"/>
      <c r="Q587" s="149"/>
      <c r="R587" s="149"/>
      <c r="S587" s="149"/>
      <c r="T587" s="149"/>
      <c r="U587" s="149"/>
      <c r="V587" s="149"/>
      <c r="W587" s="149"/>
      <c r="X587" s="149"/>
      <c r="Y587" s="149"/>
      <c r="Z587" s="821"/>
      <c r="AA587" s="822"/>
      <c r="AB587" s="822"/>
      <c r="AC587" s="823"/>
      <c r="AD587" s="823"/>
      <c r="AE587" s="824"/>
      <c r="AF587" s="817"/>
      <c r="AG587" s="814"/>
      <c r="AH587" s="814"/>
      <c r="AI587" s="817"/>
      <c r="AJ587" s="814"/>
      <c r="AK587" s="814"/>
      <c r="AL587" s="809"/>
      <c r="AM587" s="132"/>
      <c r="AN587" s="132"/>
      <c r="AO587" s="132"/>
      <c r="AP587" s="132"/>
      <c r="AQ587" s="132"/>
      <c r="AR587" s="132"/>
      <c r="AS587" s="132"/>
      <c r="AT587" s="132"/>
      <c r="AU587" s="132"/>
      <c r="AV587" s="132"/>
      <c r="AW587" s="132"/>
      <c r="AX587" s="132"/>
      <c r="AY587" s="132"/>
      <c r="AZ587" s="132"/>
      <c r="BA587" s="132"/>
      <c r="BB587" s="132"/>
      <c r="BC587" s="132"/>
      <c r="BD587" s="132"/>
      <c r="BE587" s="132"/>
      <c r="BF587" s="132"/>
    </row>
    <row r="588" customFormat="false" ht="0.75" hidden="false" customHeight="true" outlineLevel="0" collapsed="false">
      <c r="A588" s="113" t="s">
        <v>1026</v>
      </c>
      <c r="E588" s="80"/>
      <c r="F588" s="810"/>
      <c r="G588" s="811"/>
      <c r="H588" s="812"/>
      <c r="I588" s="813"/>
      <c r="J588" s="149"/>
      <c r="K588" s="149"/>
      <c r="L588" s="814"/>
      <c r="M588" s="461"/>
      <c r="N588" s="818"/>
      <c r="O588" s="819"/>
      <c r="P588" s="820"/>
      <c r="Q588" s="149"/>
      <c r="R588" s="149"/>
      <c r="S588" s="149"/>
      <c r="T588" s="149"/>
      <c r="U588" s="149"/>
      <c r="V588" s="149"/>
      <c r="W588" s="149"/>
      <c r="X588" s="149"/>
      <c r="Y588" s="149"/>
      <c r="Z588" s="825"/>
      <c r="AA588" s="819"/>
      <c r="AB588" s="826"/>
      <c r="AC588" s="827"/>
      <c r="AD588" s="826"/>
      <c r="AE588" s="827"/>
      <c r="AF588" s="817"/>
      <c r="AG588" s="814"/>
      <c r="AH588" s="814"/>
      <c r="AI588" s="817"/>
      <c r="AJ588" s="814"/>
      <c r="AK588" s="814"/>
      <c r="AL588" s="809"/>
      <c r="AM588" s="132"/>
      <c r="AN588" s="132"/>
      <c r="AO588" s="132"/>
      <c r="AP588" s="132"/>
      <c r="AQ588" s="132"/>
      <c r="AR588" s="132"/>
      <c r="AS588" s="132"/>
      <c r="AT588" s="132"/>
      <c r="AU588" s="132"/>
      <c r="AV588" s="132"/>
      <c r="AW588" s="132"/>
      <c r="AX588" s="132"/>
      <c r="AY588" s="132"/>
      <c r="AZ588" s="132"/>
      <c r="BA588" s="132"/>
      <c r="BB588" s="132"/>
      <c r="BC588" s="132"/>
      <c r="BD588" s="132"/>
      <c r="BE588" s="132"/>
      <c r="BF588" s="132"/>
    </row>
    <row r="589" customFormat="false" ht="0.75" hidden="false" customHeight="true" outlineLevel="0" collapsed="false">
      <c r="A589" s="113" t="s">
        <v>1026</v>
      </c>
      <c r="E589" s="80"/>
      <c r="F589" s="810"/>
      <c r="G589" s="811"/>
      <c r="H589" s="812"/>
      <c r="I589" s="813"/>
      <c r="J589" s="149"/>
      <c r="K589" s="149"/>
      <c r="L589" s="814"/>
      <c r="M589" s="461"/>
      <c r="N589" s="818"/>
      <c r="O589" s="819"/>
      <c r="P589" s="820"/>
      <c r="Q589" s="149"/>
      <c r="R589" s="149"/>
      <c r="S589" s="149"/>
      <c r="T589" s="149"/>
      <c r="U589" s="149"/>
      <c r="V589" s="149"/>
      <c r="W589" s="149"/>
      <c r="X589" s="149"/>
      <c r="Y589" s="149"/>
      <c r="Z589" s="821"/>
      <c r="AA589" s="822"/>
      <c r="AB589" s="828"/>
      <c r="AC589" s="823"/>
      <c r="AD589" s="823"/>
      <c r="AE589" s="829"/>
      <c r="AF589" s="817"/>
      <c r="AG589" s="814"/>
      <c r="AH589" s="814"/>
      <c r="AI589" s="817"/>
      <c r="AJ589" s="814"/>
      <c r="AK589" s="814"/>
      <c r="AL589" s="809"/>
      <c r="AM589" s="132"/>
      <c r="AN589" s="132"/>
      <c r="AO589" s="132"/>
      <c r="AP589" s="132"/>
      <c r="AQ589" s="132"/>
      <c r="AR589" s="132"/>
      <c r="AS589" s="132"/>
      <c r="AT589" s="132"/>
      <c r="AU589" s="132"/>
      <c r="AV589" s="132"/>
      <c r="AW589" s="132"/>
      <c r="AX589" s="132"/>
      <c r="AY589" s="132"/>
      <c r="AZ589" s="132"/>
      <c r="BA589" s="132"/>
      <c r="BB589" s="132"/>
      <c r="BC589" s="132"/>
      <c r="BD589" s="132"/>
      <c r="BE589" s="132"/>
      <c r="BF589" s="132"/>
    </row>
    <row r="590" customFormat="false" ht="0.75" hidden="false" customHeight="true" outlineLevel="0" collapsed="false">
      <c r="A590" s="113" t="s">
        <v>1026</v>
      </c>
      <c r="E590" s="80"/>
      <c r="F590" s="810"/>
      <c r="G590" s="811"/>
      <c r="H590" s="812"/>
      <c r="I590" s="813"/>
      <c r="J590" s="149"/>
      <c r="K590" s="149"/>
      <c r="L590" s="814"/>
      <c r="M590" s="461"/>
      <c r="N590" s="822"/>
      <c r="O590" s="822"/>
      <c r="P590" s="828"/>
      <c r="Q590" s="822"/>
      <c r="R590" s="822"/>
      <c r="S590" s="822"/>
      <c r="T590" s="822"/>
      <c r="U590" s="822"/>
      <c r="V590" s="822"/>
      <c r="W590" s="822"/>
      <c r="X590" s="822"/>
      <c r="Y590" s="822"/>
      <c r="Z590" s="822"/>
      <c r="AA590" s="822"/>
      <c r="AB590" s="822"/>
      <c r="AC590" s="822"/>
      <c r="AD590" s="822"/>
      <c r="AE590" s="830"/>
      <c r="AF590" s="817"/>
      <c r="AG590" s="814"/>
      <c r="AH590" s="814"/>
      <c r="AI590" s="817"/>
      <c r="AJ590" s="814"/>
      <c r="AK590" s="814"/>
      <c r="AL590" s="809"/>
      <c r="AM590" s="132"/>
      <c r="AN590" s="132"/>
      <c r="AO590" s="132"/>
      <c r="AP590" s="132"/>
      <c r="AQ590" s="132"/>
      <c r="AR590" s="132"/>
      <c r="AS590" s="132"/>
      <c r="AT590" s="132"/>
      <c r="AU590" s="132"/>
      <c r="AV590" s="132"/>
      <c r="AW590" s="132"/>
      <c r="AX590" s="132"/>
      <c r="AY590" s="132"/>
      <c r="AZ590" s="132"/>
      <c r="BA590" s="132"/>
      <c r="BB590" s="132"/>
      <c r="BC590" s="132"/>
      <c r="BD590" s="132"/>
      <c r="BE590" s="132"/>
      <c r="BF590" s="132"/>
    </row>
    <row r="591" customFormat="false" ht="11.25" hidden="false" customHeight="true" outlineLevel="0" collapsed="false">
      <c r="A591" s="113" t="s">
        <v>1026</v>
      </c>
      <c r="E591" s="80"/>
      <c r="F591" s="810"/>
      <c r="G591" s="138" t="s">
        <v>103</v>
      </c>
      <c r="H591" s="811" t="s">
        <v>120</v>
      </c>
      <c r="I591" s="831"/>
      <c r="J591" s="335"/>
      <c r="K591" s="333" t="s">
        <v>1166</v>
      </c>
      <c r="L591" s="204" t="s">
        <v>19</v>
      </c>
      <c r="M591" s="198"/>
      <c r="N591" s="832"/>
      <c r="O591" s="833" t="s">
        <v>389</v>
      </c>
      <c r="P591" s="834"/>
      <c r="Q591" s="834"/>
      <c r="R591" s="834"/>
      <c r="S591" s="834"/>
      <c r="T591" s="834"/>
      <c r="U591" s="834"/>
      <c r="V591" s="834"/>
      <c r="W591" s="834"/>
      <c r="X591" s="834"/>
      <c r="Y591" s="834"/>
      <c r="Z591" s="834"/>
      <c r="AA591" s="834"/>
      <c r="AB591" s="834"/>
      <c r="AC591" s="834"/>
      <c r="AD591" s="834"/>
      <c r="AE591" s="834"/>
      <c r="AF591" s="835" t="n">
        <v>2023</v>
      </c>
      <c r="AG591" s="836" t="s">
        <v>1059</v>
      </c>
      <c r="AH591" s="836" t="s">
        <v>1104</v>
      </c>
      <c r="AI591" s="835" t="n">
        <v>2023</v>
      </c>
      <c r="AJ591" s="836" t="s">
        <v>1093</v>
      </c>
      <c r="AK591" s="836" t="s">
        <v>1104</v>
      </c>
      <c r="AL591" s="809"/>
      <c r="AM591" s="132"/>
      <c r="AN591" s="132"/>
      <c r="AO591" s="132"/>
      <c r="AP591" s="132"/>
      <c r="AQ591" s="132"/>
      <c r="AR591" s="132"/>
      <c r="AS591" s="132"/>
      <c r="AT591" s="132"/>
      <c r="AU591" s="132"/>
      <c r="AV591" s="132"/>
      <c r="AW591" s="132"/>
      <c r="AX591" s="132"/>
      <c r="AY591" s="132"/>
      <c r="AZ591" s="132"/>
      <c r="BA591" s="132"/>
      <c r="BB591" s="132"/>
      <c r="BC591" s="132"/>
      <c r="BD591" s="132"/>
      <c r="BE591" s="132"/>
      <c r="BF591" s="132"/>
    </row>
    <row r="592" customFormat="false" ht="11.25" hidden="false" customHeight="true" outlineLevel="0" collapsed="false">
      <c r="A592" s="113" t="s">
        <v>1026</v>
      </c>
      <c r="E592" s="80"/>
      <c r="F592" s="810"/>
      <c r="G592" s="138"/>
      <c r="H592" s="811" t="s">
        <v>389</v>
      </c>
      <c r="I592" s="831"/>
      <c r="J592" s="335"/>
      <c r="K592" s="333"/>
      <c r="L592" s="204"/>
      <c r="M592" s="198"/>
      <c r="N592" s="837"/>
      <c r="O592" s="838" t="n">
        <v>1</v>
      </c>
      <c r="P592" s="76" t="s">
        <v>61</v>
      </c>
      <c r="Q592" s="335" t="s">
        <v>1063</v>
      </c>
      <c r="R592" s="839" t="s">
        <v>1064</v>
      </c>
      <c r="S592" s="839" t="s">
        <v>99</v>
      </c>
      <c r="T592" s="839" t="s">
        <v>99</v>
      </c>
      <c r="U592" s="839" t="s">
        <v>100</v>
      </c>
      <c r="V592" s="839" t="s">
        <v>1065</v>
      </c>
      <c r="W592" s="839" t="s">
        <v>1066</v>
      </c>
      <c r="X592" s="839" t="s">
        <v>1067</v>
      </c>
      <c r="Y592" s="839" t="s">
        <v>1068</v>
      </c>
      <c r="Z592" s="840"/>
      <c r="AA592" s="841"/>
      <c r="AB592" s="841"/>
      <c r="AC592" s="842"/>
      <c r="AD592" s="842"/>
      <c r="AE592" s="843"/>
      <c r="AF592" s="835"/>
      <c r="AG592" s="836"/>
      <c r="AH592" s="836"/>
      <c r="AI592" s="835"/>
      <c r="AJ592" s="836"/>
      <c r="AK592" s="836"/>
      <c r="AL592" s="809"/>
      <c r="AM592" s="132"/>
      <c r="AN592" s="132"/>
      <c r="AO592" s="132"/>
      <c r="AP592" s="132"/>
      <c r="AQ592" s="132"/>
      <c r="AR592" s="132"/>
      <c r="AS592" s="132"/>
      <c r="AT592" s="132"/>
      <c r="AU592" s="132"/>
      <c r="AV592" s="132"/>
      <c r="AW592" s="132"/>
      <c r="AX592" s="132"/>
      <c r="AY592" s="132"/>
      <c r="AZ592" s="132"/>
      <c r="BA592" s="132"/>
      <c r="BB592" s="132"/>
      <c r="BC592" s="132"/>
      <c r="BD592" s="132"/>
      <c r="BE592" s="132"/>
      <c r="BF592" s="132"/>
    </row>
    <row r="593" customFormat="false" ht="11.25" hidden="false" customHeight="true" outlineLevel="0" collapsed="false">
      <c r="A593" s="113" t="s">
        <v>1026</v>
      </c>
      <c r="E593" s="80"/>
      <c r="F593" s="810"/>
      <c r="G593" s="138"/>
      <c r="H593" s="811" t="s">
        <v>389</v>
      </c>
      <c r="I593" s="831"/>
      <c r="J593" s="335"/>
      <c r="K593" s="333"/>
      <c r="L593" s="204"/>
      <c r="M593" s="198"/>
      <c r="N593" s="837"/>
      <c r="O593" s="838"/>
      <c r="P593" s="76"/>
      <c r="Q593" s="335"/>
      <c r="R593" s="839"/>
      <c r="S593" s="839"/>
      <c r="T593" s="839"/>
      <c r="U593" s="839"/>
      <c r="V593" s="839"/>
      <c r="W593" s="839"/>
      <c r="X593" s="839"/>
      <c r="Y593" s="839"/>
      <c r="Z593" s="844"/>
      <c r="AA593" s="845" t="n">
        <v>1</v>
      </c>
      <c r="AB593" s="846" t="s">
        <v>1069</v>
      </c>
      <c r="AC593" s="756" t="n">
        <v>1313.761</v>
      </c>
      <c r="AD593" s="846" t="str">
        <f aca="false">AB593</f>
        <v>Прочие амортизационные отчисления</v>
      </c>
      <c r="AE593" s="756" t="n">
        <v>819.635</v>
      </c>
      <c r="AF593" s="835"/>
      <c r="AG593" s="836"/>
      <c r="AH593" s="836"/>
      <c r="AI593" s="835"/>
      <c r="AJ593" s="836"/>
      <c r="AK593" s="836"/>
      <c r="AL593" s="809"/>
      <c r="AM593" s="132"/>
      <c r="AN593" s="132"/>
      <c r="AO593" s="132"/>
      <c r="AP593" s="132"/>
      <c r="AQ593" s="132"/>
      <c r="AR593" s="132"/>
      <c r="AS593" s="132"/>
      <c r="AT593" s="132"/>
      <c r="AU593" s="132"/>
      <c r="AV593" s="132"/>
      <c r="AW593" s="132"/>
      <c r="AX593" s="132"/>
      <c r="AY593" s="132"/>
      <c r="AZ593" s="132"/>
      <c r="BA593" s="132"/>
      <c r="BB593" s="132"/>
      <c r="BC593" s="132"/>
      <c r="BD593" s="132"/>
      <c r="BE593" s="132"/>
      <c r="BF593" s="132"/>
    </row>
    <row r="594" customFormat="false" ht="11.25" hidden="false" customHeight="true" outlineLevel="0" collapsed="false">
      <c r="A594" s="113" t="s">
        <v>1026</v>
      </c>
      <c r="E594" s="80"/>
      <c r="F594" s="810"/>
      <c r="G594" s="138"/>
      <c r="H594" s="811" t="s">
        <v>389</v>
      </c>
      <c r="I594" s="831"/>
      <c r="J594" s="335"/>
      <c r="K594" s="333"/>
      <c r="L594" s="204"/>
      <c r="M594" s="198"/>
      <c r="N594" s="837"/>
      <c r="O594" s="838"/>
      <c r="P594" s="76"/>
      <c r="Q594" s="335"/>
      <c r="R594" s="839"/>
      <c r="S594" s="839"/>
      <c r="T594" s="839"/>
      <c r="U594" s="839"/>
      <c r="V594" s="839"/>
      <c r="W594" s="839"/>
      <c r="X594" s="839"/>
      <c r="Y594" s="839"/>
      <c r="Z594" s="840"/>
      <c r="AA594" s="841"/>
      <c r="AB594" s="161" t="s">
        <v>1071</v>
      </c>
      <c r="AC594" s="842"/>
      <c r="AD594" s="842"/>
      <c r="AE594" s="847"/>
      <c r="AF594" s="835"/>
      <c r="AG594" s="836"/>
      <c r="AH594" s="836"/>
      <c r="AI594" s="835"/>
      <c r="AJ594" s="836"/>
      <c r="AK594" s="836"/>
      <c r="AL594" s="809"/>
      <c r="AM594" s="132"/>
      <c r="AN594" s="132"/>
      <c r="AO594" s="132"/>
      <c r="AP594" s="132"/>
      <c r="AQ594" s="132"/>
      <c r="AR594" s="132"/>
      <c r="AS594" s="132"/>
      <c r="AT594" s="132"/>
      <c r="AU594" s="132"/>
      <c r="AV594" s="132"/>
      <c r="AW594" s="132"/>
      <c r="AX594" s="132"/>
      <c r="AY594" s="132"/>
      <c r="AZ594" s="132"/>
      <c r="BA594" s="132"/>
      <c r="BB594" s="132"/>
      <c r="BC594" s="132"/>
      <c r="BD594" s="132"/>
      <c r="BE594" s="132"/>
      <c r="BF594" s="132"/>
    </row>
    <row r="595" customFormat="false" ht="11.25" hidden="false" customHeight="true" outlineLevel="0" collapsed="false">
      <c r="A595" s="113" t="s">
        <v>1026</v>
      </c>
      <c r="E595" s="80"/>
      <c r="F595" s="810"/>
      <c r="G595" s="138"/>
      <c r="H595" s="811" t="s">
        <v>389</v>
      </c>
      <c r="I595" s="831"/>
      <c r="J595" s="335"/>
      <c r="K595" s="333"/>
      <c r="L595" s="204"/>
      <c r="M595" s="198"/>
      <c r="N595" s="840"/>
      <c r="O595" s="841"/>
      <c r="P595" s="161" t="s">
        <v>1072</v>
      </c>
      <c r="Q595" s="841"/>
      <c r="R595" s="841"/>
      <c r="S595" s="841"/>
      <c r="T595" s="841"/>
      <c r="U595" s="841"/>
      <c r="V595" s="841"/>
      <c r="W595" s="841"/>
      <c r="X595" s="841"/>
      <c r="Y595" s="841"/>
      <c r="Z595" s="841"/>
      <c r="AA595" s="841"/>
      <c r="AB595" s="841"/>
      <c r="AC595" s="841"/>
      <c r="AD595" s="841"/>
      <c r="AE595" s="848"/>
      <c r="AF595" s="835"/>
      <c r="AG595" s="836"/>
      <c r="AH595" s="836"/>
      <c r="AI595" s="835"/>
      <c r="AJ595" s="836"/>
      <c r="AK595" s="836"/>
      <c r="AL595" s="809"/>
      <c r="AM595" s="132"/>
      <c r="AN595" s="132"/>
      <c r="AO595" s="132"/>
      <c r="AP595" s="132"/>
      <c r="AQ595" s="132"/>
      <c r="AR595" s="132"/>
      <c r="AS595" s="132"/>
      <c r="AT595" s="132"/>
      <c r="AU595" s="132"/>
      <c r="AV595" s="132"/>
      <c r="AW595" s="132"/>
      <c r="AX595" s="132"/>
      <c r="AY595" s="132"/>
      <c r="AZ595" s="132"/>
      <c r="BA595" s="132"/>
      <c r="BB595" s="132"/>
      <c r="BC595" s="132"/>
      <c r="BD595" s="132"/>
      <c r="BE595" s="132"/>
      <c r="BF595" s="132"/>
    </row>
    <row r="596" customFormat="false" ht="11.25" hidden="false" customHeight="true" outlineLevel="0" collapsed="false">
      <c r="A596" s="113" t="s">
        <v>1026</v>
      </c>
      <c r="E596" s="80"/>
      <c r="F596" s="810"/>
      <c r="G596" s="138" t="s">
        <v>103</v>
      </c>
      <c r="H596" s="811" t="s">
        <v>102</v>
      </c>
      <c r="I596" s="831"/>
      <c r="J596" s="335"/>
      <c r="K596" s="333" t="s">
        <v>1167</v>
      </c>
      <c r="L596" s="204" t="s">
        <v>19</v>
      </c>
      <c r="M596" s="198"/>
      <c r="N596" s="832"/>
      <c r="O596" s="833" t="s">
        <v>389</v>
      </c>
      <c r="P596" s="834"/>
      <c r="Q596" s="834"/>
      <c r="R596" s="834"/>
      <c r="S596" s="834"/>
      <c r="T596" s="834"/>
      <c r="U596" s="834"/>
      <c r="V596" s="834"/>
      <c r="W596" s="834"/>
      <c r="X596" s="834"/>
      <c r="Y596" s="834"/>
      <c r="Z596" s="834"/>
      <c r="AA596" s="834"/>
      <c r="AB596" s="834"/>
      <c r="AC596" s="834"/>
      <c r="AD596" s="834"/>
      <c r="AE596" s="834"/>
      <c r="AF596" s="835" t="n">
        <v>2023</v>
      </c>
      <c r="AG596" s="836" t="s">
        <v>1059</v>
      </c>
      <c r="AH596" s="836" t="s">
        <v>1104</v>
      </c>
      <c r="AI596" s="835" t="n">
        <v>2023</v>
      </c>
      <c r="AJ596" s="836" t="s">
        <v>1086</v>
      </c>
      <c r="AK596" s="836" t="s">
        <v>1104</v>
      </c>
      <c r="AL596" s="809"/>
      <c r="AM596" s="132"/>
      <c r="AN596" s="132"/>
      <c r="AO596" s="132"/>
      <c r="AP596" s="132"/>
      <c r="AQ596" s="132"/>
      <c r="AR596" s="132"/>
      <c r="AS596" s="132"/>
      <c r="AT596" s="132"/>
      <c r="AU596" s="132"/>
      <c r="AV596" s="132"/>
      <c r="AW596" s="132"/>
      <c r="AX596" s="132"/>
      <c r="AY596" s="132"/>
      <c r="AZ596" s="132"/>
      <c r="BA596" s="132"/>
      <c r="BB596" s="132"/>
      <c r="BC596" s="132"/>
      <c r="BD596" s="132"/>
      <c r="BE596" s="132"/>
      <c r="BF596" s="132"/>
    </row>
    <row r="597" customFormat="false" ht="11.25" hidden="false" customHeight="true" outlineLevel="0" collapsed="false">
      <c r="A597" s="113" t="s">
        <v>1026</v>
      </c>
      <c r="E597" s="80"/>
      <c r="F597" s="810"/>
      <c r="G597" s="138"/>
      <c r="H597" s="811" t="s">
        <v>120</v>
      </c>
      <c r="I597" s="831"/>
      <c r="J597" s="335"/>
      <c r="K597" s="333"/>
      <c r="L597" s="204"/>
      <c r="M597" s="198"/>
      <c r="N597" s="837"/>
      <c r="O597" s="838" t="n">
        <v>1</v>
      </c>
      <c r="P597" s="76" t="s">
        <v>61</v>
      </c>
      <c r="Q597" s="335" t="s">
        <v>1063</v>
      </c>
      <c r="R597" s="839" t="s">
        <v>1064</v>
      </c>
      <c r="S597" s="839" t="s">
        <v>99</v>
      </c>
      <c r="T597" s="839" t="s">
        <v>99</v>
      </c>
      <c r="U597" s="839" t="s">
        <v>100</v>
      </c>
      <c r="V597" s="839" t="s">
        <v>1065</v>
      </c>
      <c r="W597" s="839" t="s">
        <v>1066</v>
      </c>
      <c r="X597" s="839" t="s">
        <v>1067</v>
      </c>
      <c r="Y597" s="839" t="s">
        <v>1068</v>
      </c>
      <c r="Z597" s="840"/>
      <c r="AA597" s="841"/>
      <c r="AB597" s="841"/>
      <c r="AC597" s="842"/>
      <c r="AD597" s="842"/>
      <c r="AE597" s="843"/>
      <c r="AF597" s="835"/>
      <c r="AG597" s="836"/>
      <c r="AH597" s="836"/>
      <c r="AI597" s="835"/>
      <c r="AJ597" s="836"/>
      <c r="AK597" s="836"/>
      <c r="AL597" s="809"/>
      <c r="AM597" s="132"/>
      <c r="AN597" s="132"/>
      <c r="AO597" s="132"/>
      <c r="AP597" s="132"/>
      <c r="AQ597" s="132"/>
      <c r="AR597" s="132"/>
      <c r="AS597" s="132"/>
      <c r="AT597" s="132"/>
      <c r="AU597" s="132"/>
      <c r="AV597" s="132"/>
      <c r="AW597" s="132"/>
      <c r="AX597" s="132"/>
      <c r="AY597" s="132"/>
      <c r="AZ597" s="132"/>
      <c r="BA597" s="132"/>
      <c r="BB597" s="132"/>
      <c r="BC597" s="132"/>
      <c r="BD597" s="132"/>
      <c r="BE597" s="132"/>
      <c r="BF597" s="132"/>
    </row>
    <row r="598" customFormat="false" ht="11.25" hidden="false" customHeight="true" outlineLevel="0" collapsed="false">
      <c r="A598" s="113" t="s">
        <v>1026</v>
      </c>
      <c r="E598" s="80"/>
      <c r="F598" s="810"/>
      <c r="G598" s="138"/>
      <c r="H598" s="811" t="s">
        <v>120</v>
      </c>
      <c r="I598" s="831"/>
      <c r="J598" s="335"/>
      <c r="K598" s="333"/>
      <c r="L598" s="204"/>
      <c r="M598" s="198"/>
      <c r="N598" s="837"/>
      <c r="O598" s="838"/>
      <c r="P598" s="76"/>
      <c r="Q598" s="335"/>
      <c r="R598" s="839"/>
      <c r="S598" s="839"/>
      <c r="T598" s="839"/>
      <c r="U598" s="839"/>
      <c r="V598" s="839"/>
      <c r="W598" s="839"/>
      <c r="X598" s="839"/>
      <c r="Y598" s="839"/>
      <c r="Z598" s="844"/>
      <c r="AA598" s="845" t="n">
        <v>1</v>
      </c>
      <c r="AB598" s="846" t="s">
        <v>1069</v>
      </c>
      <c r="AC598" s="756" t="n">
        <v>2543.716</v>
      </c>
      <c r="AD598" s="846" t="str">
        <f aca="false">AB598</f>
        <v>Прочие амортизационные отчисления</v>
      </c>
      <c r="AE598" s="756" t="n">
        <v>581.82</v>
      </c>
      <c r="AF598" s="835"/>
      <c r="AG598" s="836"/>
      <c r="AH598" s="836"/>
      <c r="AI598" s="835"/>
      <c r="AJ598" s="836"/>
      <c r="AK598" s="836"/>
      <c r="AL598" s="809"/>
      <c r="AM598" s="132"/>
      <c r="AN598" s="132"/>
      <c r="AO598" s="132"/>
      <c r="AP598" s="132"/>
      <c r="AQ598" s="132"/>
      <c r="AR598" s="132"/>
      <c r="AS598" s="132"/>
      <c r="AT598" s="132"/>
      <c r="AU598" s="132"/>
      <c r="AV598" s="132"/>
      <c r="AW598" s="132"/>
      <c r="AX598" s="132"/>
      <c r="AY598" s="132"/>
      <c r="AZ598" s="132"/>
      <c r="BA598" s="132"/>
      <c r="BB598" s="132"/>
      <c r="BC598" s="132"/>
      <c r="BD598" s="132"/>
      <c r="BE598" s="132"/>
      <c r="BF598" s="132"/>
    </row>
    <row r="599" customFormat="false" ht="11.25" hidden="false" customHeight="true" outlineLevel="0" collapsed="false">
      <c r="A599" s="113" t="s">
        <v>1026</v>
      </c>
      <c r="E599" s="80"/>
      <c r="F599" s="810"/>
      <c r="G599" s="138"/>
      <c r="H599" s="811" t="s">
        <v>120</v>
      </c>
      <c r="I599" s="831"/>
      <c r="J599" s="335"/>
      <c r="K599" s="333"/>
      <c r="L599" s="204"/>
      <c r="M599" s="198"/>
      <c r="N599" s="837"/>
      <c r="O599" s="838"/>
      <c r="P599" s="76"/>
      <c r="Q599" s="335"/>
      <c r="R599" s="839"/>
      <c r="S599" s="839"/>
      <c r="T599" s="839"/>
      <c r="U599" s="839"/>
      <c r="V599" s="839"/>
      <c r="W599" s="839"/>
      <c r="X599" s="839"/>
      <c r="Y599" s="839"/>
      <c r="Z599" s="840"/>
      <c r="AA599" s="841"/>
      <c r="AB599" s="161" t="s">
        <v>1071</v>
      </c>
      <c r="AC599" s="842"/>
      <c r="AD599" s="842"/>
      <c r="AE599" s="847"/>
      <c r="AF599" s="835"/>
      <c r="AG599" s="836"/>
      <c r="AH599" s="836"/>
      <c r="AI599" s="835"/>
      <c r="AJ599" s="836"/>
      <c r="AK599" s="836"/>
      <c r="AL599" s="809"/>
      <c r="AM599" s="132"/>
      <c r="AN599" s="132"/>
      <c r="AO599" s="132"/>
      <c r="AP599" s="132"/>
      <c r="AQ599" s="132"/>
      <c r="AR599" s="132"/>
      <c r="AS599" s="132"/>
      <c r="AT599" s="132"/>
      <c r="AU599" s="132"/>
      <c r="AV599" s="132"/>
      <c r="AW599" s="132"/>
      <c r="AX599" s="132"/>
      <c r="AY599" s="132"/>
      <c r="AZ599" s="132"/>
      <c r="BA599" s="132"/>
      <c r="BB599" s="132"/>
      <c r="BC599" s="132"/>
      <c r="BD599" s="132"/>
      <c r="BE599" s="132"/>
      <c r="BF599" s="132"/>
    </row>
    <row r="600" customFormat="false" ht="11.25" hidden="false" customHeight="true" outlineLevel="0" collapsed="false">
      <c r="A600" s="113" t="s">
        <v>1026</v>
      </c>
      <c r="E600" s="80"/>
      <c r="F600" s="810"/>
      <c r="G600" s="138"/>
      <c r="H600" s="811" t="s">
        <v>120</v>
      </c>
      <c r="I600" s="831"/>
      <c r="J600" s="335"/>
      <c r="K600" s="333"/>
      <c r="L600" s="204"/>
      <c r="M600" s="198"/>
      <c r="N600" s="840"/>
      <c r="O600" s="841"/>
      <c r="P600" s="161" t="s">
        <v>1072</v>
      </c>
      <c r="Q600" s="841"/>
      <c r="R600" s="841"/>
      <c r="S600" s="841"/>
      <c r="T600" s="841"/>
      <c r="U600" s="841"/>
      <c r="V600" s="841"/>
      <c r="W600" s="841"/>
      <c r="X600" s="841"/>
      <c r="Y600" s="841"/>
      <c r="Z600" s="841"/>
      <c r="AA600" s="841"/>
      <c r="AB600" s="841"/>
      <c r="AC600" s="841"/>
      <c r="AD600" s="841"/>
      <c r="AE600" s="848"/>
      <c r="AF600" s="835"/>
      <c r="AG600" s="836"/>
      <c r="AH600" s="836"/>
      <c r="AI600" s="835"/>
      <c r="AJ600" s="836"/>
      <c r="AK600" s="836"/>
      <c r="AL600" s="809"/>
      <c r="AM600" s="132"/>
      <c r="AN600" s="132"/>
      <c r="AO600" s="132"/>
      <c r="AP600" s="132"/>
      <c r="AQ600" s="132"/>
      <c r="AR600" s="132"/>
      <c r="AS600" s="132"/>
      <c r="AT600" s="132"/>
      <c r="AU600" s="132"/>
      <c r="AV600" s="132"/>
      <c r="AW600" s="132"/>
      <c r="AX600" s="132"/>
      <c r="AY600" s="132"/>
      <c r="AZ600" s="132"/>
      <c r="BA600" s="132"/>
      <c r="BB600" s="132"/>
      <c r="BC600" s="132"/>
      <c r="BD600" s="132"/>
      <c r="BE600" s="132"/>
      <c r="BF600" s="132"/>
    </row>
    <row r="601" customFormat="false" ht="11.25" hidden="false" customHeight="true" outlineLevel="0" collapsed="false">
      <c r="A601" s="113" t="s">
        <v>1026</v>
      </c>
      <c r="E601" s="80"/>
      <c r="F601" s="810"/>
      <c r="G601" s="138" t="s">
        <v>103</v>
      </c>
      <c r="H601" s="811" t="s">
        <v>89</v>
      </c>
      <c r="I601" s="831"/>
      <c r="J601" s="335"/>
      <c r="K601" s="333" t="s">
        <v>1168</v>
      </c>
      <c r="L601" s="204" t="s">
        <v>19</v>
      </c>
      <c r="M601" s="198"/>
      <c r="N601" s="832"/>
      <c r="O601" s="833" t="s">
        <v>389</v>
      </c>
      <c r="P601" s="834"/>
      <c r="Q601" s="834"/>
      <c r="R601" s="834"/>
      <c r="S601" s="834"/>
      <c r="T601" s="834"/>
      <c r="U601" s="834"/>
      <c r="V601" s="834"/>
      <c r="W601" s="834"/>
      <c r="X601" s="834"/>
      <c r="Y601" s="834"/>
      <c r="Z601" s="834"/>
      <c r="AA601" s="834"/>
      <c r="AB601" s="834"/>
      <c r="AC601" s="834"/>
      <c r="AD601" s="834"/>
      <c r="AE601" s="834"/>
      <c r="AF601" s="835" t="n">
        <v>2023</v>
      </c>
      <c r="AG601" s="836" t="s">
        <v>1059</v>
      </c>
      <c r="AH601" s="836" t="s">
        <v>1104</v>
      </c>
      <c r="AI601" s="835" t="n">
        <v>2023</v>
      </c>
      <c r="AJ601" s="836" t="s">
        <v>1093</v>
      </c>
      <c r="AK601" s="836" t="s">
        <v>1104</v>
      </c>
      <c r="AL601" s="809"/>
      <c r="AM601" s="132"/>
      <c r="AN601" s="132"/>
      <c r="AO601" s="132"/>
      <c r="AP601" s="132"/>
      <c r="AQ601" s="132"/>
      <c r="AR601" s="132"/>
      <c r="AS601" s="132"/>
      <c r="AT601" s="132"/>
      <c r="AU601" s="132"/>
      <c r="AV601" s="132"/>
      <c r="AW601" s="132"/>
      <c r="AX601" s="132"/>
      <c r="AY601" s="132"/>
      <c r="AZ601" s="132"/>
      <c r="BA601" s="132"/>
      <c r="BB601" s="132"/>
      <c r="BC601" s="132"/>
      <c r="BD601" s="132"/>
      <c r="BE601" s="132"/>
      <c r="BF601" s="132"/>
    </row>
    <row r="602" customFormat="false" ht="11.25" hidden="false" customHeight="true" outlineLevel="0" collapsed="false">
      <c r="A602" s="113" t="s">
        <v>1026</v>
      </c>
      <c r="E602" s="80"/>
      <c r="F602" s="810"/>
      <c r="G602" s="138"/>
      <c r="H602" s="811" t="s">
        <v>102</v>
      </c>
      <c r="I602" s="831"/>
      <c r="J602" s="335"/>
      <c r="K602" s="333"/>
      <c r="L602" s="204"/>
      <c r="M602" s="198"/>
      <c r="N602" s="837"/>
      <c r="O602" s="838" t="n">
        <v>1</v>
      </c>
      <c r="P602" s="76" t="s">
        <v>61</v>
      </c>
      <c r="Q602" s="335" t="s">
        <v>1063</v>
      </c>
      <c r="R602" s="839" t="s">
        <v>1064</v>
      </c>
      <c r="S602" s="839" t="s">
        <v>99</v>
      </c>
      <c r="T602" s="839" t="s">
        <v>99</v>
      </c>
      <c r="U602" s="839" t="s">
        <v>100</v>
      </c>
      <c r="V602" s="839" t="s">
        <v>1065</v>
      </c>
      <c r="W602" s="839" t="s">
        <v>1066</v>
      </c>
      <c r="X602" s="839" t="s">
        <v>1067</v>
      </c>
      <c r="Y602" s="839" t="s">
        <v>1068</v>
      </c>
      <c r="Z602" s="840"/>
      <c r="AA602" s="841"/>
      <c r="AB602" s="841"/>
      <c r="AC602" s="842"/>
      <c r="AD602" s="842"/>
      <c r="AE602" s="843"/>
      <c r="AF602" s="835"/>
      <c r="AG602" s="836"/>
      <c r="AH602" s="836"/>
      <c r="AI602" s="835"/>
      <c r="AJ602" s="836"/>
      <c r="AK602" s="836"/>
      <c r="AL602" s="809"/>
      <c r="AM602" s="132"/>
      <c r="AN602" s="132"/>
      <c r="AO602" s="132"/>
      <c r="AP602" s="132"/>
      <c r="AQ602" s="132"/>
      <c r="AR602" s="132"/>
      <c r="AS602" s="132"/>
      <c r="AT602" s="132"/>
      <c r="AU602" s="132"/>
      <c r="AV602" s="132"/>
      <c r="AW602" s="132"/>
      <c r="AX602" s="132"/>
      <c r="AY602" s="132"/>
      <c r="AZ602" s="132"/>
      <c r="BA602" s="132"/>
      <c r="BB602" s="132"/>
      <c r="BC602" s="132"/>
      <c r="BD602" s="132"/>
      <c r="BE602" s="132"/>
      <c r="BF602" s="132"/>
    </row>
    <row r="603" customFormat="false" ht="11.25" hidden="false" customHeight="true" outlineLevel="0" collapsed="false">
      <c r="A603" s="113" t="s">
        <v>1026</v>
      </c>
      <c r="E603" s="80"/>
      <c r="F603" s="810"/>
      <c r="G603" s="138"/>
      <c r="H603" s="811" t="s">
        <v>102</v>
      </c>
      <c r="I603" s="831"/>
      <c r="J603" s="335"/>
      <c r="K603" s="333"/>
      <c r="L603" s="204"/>
      <c r="M603" s="198"/>
      <c r="N603" s="837"/>
      <c r="O603" s="838"/>
      <c r="P603" s="76"/>
      <c r="Q603" s="335"/>
      <c r="R603" s="839"/>
      <c r="S603" s="839"/>
      <c r="T603" s="839"/>
      <c r="U603" s="839"/>
      <c r="V603" s="839"/>
      <c r="W603" s="839"/>
      <c r="X603" s="839"/>
      <c r="Y603" s="839"/>
      <c r="Z603" s="844"/>
      <c r="AA603" s="845" t="n">
        <v>1</v>
      </c>
      <c r="AB603" s="846" t="s">
        <v>1069</v>
      </c>
      <c r="AC603" s="756" t="n">
        <v>736.04</v>
      </c>
      <c r="AD603" s="846" t="str">
        <f aca="false">AB603</f>
        <v>Прочие амортизационные отчисления</v>
      </c>
      <c r="AE603" s="756" t="n">
        <v>736.04</v>
      </c>
      <c r="AF603" s="835"/>
      <c r="AG603" s="836"/>
      <c r="AH603" s="836"/>
      <c r="AI603" s="835"/>
      <c r="AJ603" s="836"/>
      <c r="AK603" s="836"/>
      <c r="AL603" s="809"/>
      <c r="AM603" s="132"/>
      <c r="AN603" s="132"/>
      <c r="AO603" s="132"/>
      <c r="AP603" s="132"/>
      <c r="AQ603" s="132"/>
      <c r="AR603" s="132"/>
      <c r="AS603" s="132"/>
      <c r="AT603" s="132"/>
      <c r="AU603" s="132"/>
      <c r="AV603" s="132"/>
      <c r="AW603" s="132"/>
      <c r="AX603" s="132"/>
      <c r="AY603" s="132"/>
      <c r="AZ603" s="132"/>
      <c r="BA603" s="132"/>
      <c r="BB603" s="132"/>
      <c r="BC603" s="132"/>
      <c r="BD603" s="132"/>
      <c r="BE603" s="132"/>
      <c r="BF603" s="132"/>
    </row>
    <row r="604" customFormat="false" ht="11.25" hidden="false" customHeight="true" outlineLevel="0" collapsed="false">
      <c r="A604" s="113" t="s">
        <v>1026</v>
      </c>
      <c r="E604" s="80"/>
      <c r="F604" s="810"/>
      <c r="G604" s="810"/>
      <c r="H604" s="810"/>
      <c r="I604" s="831"/>
      <c r="J604" s="335"/>
      <c r="K604" s="333"/>
      <c r="L604" s="204"/>
      <c r="M604" s="204"/>
      <c r="N604" s="204"/>
      <c r="O604" s="204"/>
      <c r="P604" s="204"/>
      <c r="Q604" s="204"/>
      <c r="R604" s="204"/>
      <c r="S604" s="204"/>
      <c r="T604" s="204"/>
      <c r="U604" s="204"/>
      <c r="V604" s="204"/>
      <c r="W604" s="204"/>
      <c r="X604" s="204"/>
      <c r="Y604" s="204"/>
      <c r="Z604" s="138" t="s">
        <v>103</v>
      </c>
      <c r="AA604" s="838" t="s">
        <v>102</v>
      </c>
      <c r="AB604" s="846" t="s">
        <v>1070</v>
      </c>
      <c r="AC604" s="756" t="n">
        <v>1066.45</v>
      </c>
      <c r="AD604" s="846" t="str">
        <f aca="false">AB604</f>
        <v>Прибыль направляемая на инвестиции</v>
      </c>
      <c r="AE604" s="756" t="n">
        <v>449.18</v>
      </c>
      <c r="AF604" s="835"/>
      <c r="AG604" s="836"/>
      <c r="AH604" s="836"/>
      <c r="AI604" s="835"/>
      <c r="AJ604" s="836"/>
      <c r="AK604" s="836"/>
      <c r="AL604" s="809"/>
      <c r="AM604" s="132"/>
      <c r="AN604" s="132"/>
      <c r="AO604" s="132"/>
      <c r="AP604" s="132"/>
      <c r="AQ604" s="132"/>
      <c r="AR604" s="132"/>
      <c r="AS604" s="132"/>
      <c r="AT604" s="132"/>
      <c r="AU604" s="132"/>
      <c r="AV604" s="132"/>
      <c r="AW604" s="132"/>
      <c r="AX604" s="132"/>
      <c r="AY604" s="132"/>
      <c r="AZ604" s="132"/>
      <c r="BA604" s="132"/>
      <c r="BB604" s="132"/>
      <c r="BC604" s="132"/>
      <c r="BD604" s="132"/>
      <c r="BE604" s="132"/>
      <c r="BF604" s="132"/>
    </row>
    <row r="605" customFormat="false" ht="11.25" hidden="false" customHeight="true" outlineLevel="0" collapsed="false">
      <c r="A605" s="113" t="s">
        <v>1026</v>
      </c>
      <c r="E605" s="80"/>
      <c r="F605" s="810"/>
      <c r="G605" s="138"/>
      <c r="H605" s="811" t="s">
        <v>102</v>
      </c>
      <c r="I605" s="831"/>
      <c r="J605" s="335"/>
      <c r="K605" s="333"/>
      <c r="L605" s="204"/>
      <c r="M605" s="198"/>
      <c r="N605" s="837"/>
      <c r="O605" s="838"/>
      <c r="P605" s="76"/>
      <c r="Q605" s="335"/>
      <c r="R605" s="839"/>
      <c r="S605" s="839"/>
      <c r="T605" s="839"/>
      <c r="U605" s="839"/>
      <c r="V605" s="839"/>
      <c r="W605" s="839"/>
      <c r="X605" s="839"/>
      <c r="Y605" s="839"/>
      <c r="Z605" s="840"/>
      <c r="AA605" s="841"/>
      <c r="AB605" s="161" t="s">
        <v>1071</v>
      </c>
      <c r="AC605" s="842"/>
      <c r="AD605" s="842"/>
      <c r="AE605" s="847"/>
      <c r="AF605" s="835"/>
      <c r="AG605" s="836"/>
      <c r="AH605" s="836"/>
      <c r="AI605" s="835"/>
      <c r="AJ605" s="836"/>
      <c r="AK605" s="836"/>
      <c r="AL605" s="809"/>
      <c r="AM605" s="132"/>
      <c r="AN605" s="132"/>
      <c r="AO605" s="132"/>
      <c r="AP605" s="132"/>
      <c r="AQ605" s="132"/>
      <c r="AR605" s="132"/>
      <c r="AS605" s="132"/>
      <c r="AT605" s="132"/>
      <c r="AU605" s="132"/>
      <c r="AV605" s="132"/>
      <c r="AW605" s="132"/>
      <c r="AX605" s="132"/>
      <c r="AY605" s="132"/>
      <c r="AZ605" s="132"/>
      <c r="BA605" s="132"/>
      <c r="BB605" s="132"/>
      <c r="BC605" s="132"/>
      <c r="BD605" s="132"/>
      <c r="BE605" s="132"/>
      <c r="BF605" s="132"/>
    </row>
    <row r="606" customFormat="false" ht="11.25" hidden="false" customHeight="true" outlineLevel="0" collapsed="false">
      <c r="A606" s="113" t="s">
        <v>1026</v>
      </c>
      <c r="E606" s="80"/>
      <c r="F606" s="810"/>
      <c r="G606" s="138"/>
      <c r="H606" s="811" t="s">
        <v>102</v>
      </c>
      <c r="I606" s="831"/>
      <c r="J606" s="335"/>
      <c r="K606" s="333"/>
      <c r="L606" s="204"/>
      <c r="M606" s="198"/>
      <c r="N606" s="840"/>
      <c r="O606" s="841"/>
      <c r="P606" s="161" t="s">
        <v>1072</v>
      </c>
      <c r="Q606" s="841"/>
      <c r="R606" s="841"/>
      <c r="S606" s="841"/>
      <c r="T606" s="841"/>
      <c r="U606" s="841"/>
      <c r="V606" s="841"/>
      <c r="W606" s="841"/>
      <c r="X606" s="841"/>
      <c r="Y606" s="841"/>
      <c r="Z606" s="841"/>
      <c r="AA606" s="841"/>
      <c r="AB606" s="841"/>
      <c r="AC606" s="841"/>
      <c r="AD606" s="841"/>
      <c r="AE606" s="848"/>
      <c r="AF606" s="835"/>
      <c r="AG606" s="836"/>
      <c r="AH606" s="836"/>
      <c r="AI606" s="835"/>
      <c r="AJ606" s="836"/>
      <c r="AK606" s="836"/>
      <c r="AL606" s="809"/>
      <c r="AM606" s="132"/>
      <c r="AN606" s="132"/>
      <c r="AO606" s="132"/>
      <c r="AP606" s="132"/>
      <c r="AQ606" s="132"/>
      <c r="AR606" s="132"/>
      <c r="AS606" s="132"/>
      <c r="AT606" s="132"/>
      <c r="AU606" s="132"/>
      <c r="AV606" s="132"/>
      <c r="AW606" s="132"/>
      <c r="AX606" s="132"/>
      <c r="AY606" s="132"/>
      <c r="AZ606" s="132"/>
      <c r="BA606" s="132"/>
      <c r="BB606" s="132"/>
      <c r="BC606" s="132"/>
      <c r="BD606" s="132"/>
      <c r="BE606" s="132"/>
      <c r="BF606" s="132"/>
    </row>
    <row r="607" customFormat="false" ht="11.25" hidden="false" customHeight="true" outlineLevel="0" collapsed="false">
      <c r="A607" s="113" t="s">
        <v>1026</v>
      </c>
      <c r="E607" s="80"/>
      <c r="F607" s="810"/>
      <c r="G607" s="138" t="s">
        <v>103</v>
      </c>
      <c r="H607" s="811" t="s">
        <v>90</v>
      </c>
      <c r="I607" s="831"/>
      <c r="J607" s="335"/>
      <c r="K607" s="333" t="s">
        <v>1169</v>
      </c>
      <c r="L607" s="204" t="s">
        <v>19</v>
      </c>
      <c r="M607" s="198"/>
      <c r="N607" s="832"/>
      <c r="O607" s="833" t="s">
        <v>389</v>
      </c>
      <c r="P607" s="834"/>
      <c r="Q607" s="834"/>
      <c r="R607" s="834"/>
      <c r="S607" s="834"/>
      <c r="T607" s="834"/>
      <c r="U607" s="834"/>
      <c r="V607" s="834"/>
      <c r="W607" s="834"/>
      <c r="X607" s="834"/>
      <c r="Y607" s="834"/>
      <c r="Z607" s="834"/>
      <c r="AA607" s="834"/>
      <c r="AB607" s="834"/>
      <c r="AC607" s="834"/>
      <c r="AD607" s="834"/>
      <c r="AE607" s="834"/>
      <c r="AF607" s="835" t="n">
        <v>2023</v>
      </c>
      <c r="AG607" s="836" t="s">
        <v>1059</v>
      </c>
      <c r="AH607" s="836" t="s">
        <v>1104</v>
      </c>
      <c r="AI607" s="835" t="n">
        <v>2023</v>
      </c>
      <c r="AJ607" s="836" t="s">
        <v>1093</v>
      </c>
      <c r="AK607" s="836" t="s">
        <v>1104</v>
      </c>
      <c r="AL607" s="809"/>
      <c r="AM607" s="132"/>
      <c r="AN607" s="132"/>
      <c r="AO607" s="132"/>
      <c r="AP607" s="132"/>
      <c r="AQ607" s="132"/>
      <c r="AR607" s="132"/>
      <c r="AS607" s="132"/>
      <c r="AT607" s="132"/>
      <c r="AU607" s="132"/>
      <c r="AV607" s="132"/>
      <c r="AW607" s="132"/>
      <c r="AX607" s="132"/>
      <c r="AY607" s="132"/>
      <c r="AZ607" s="132"/>
      <c r="BA607" s="132"/>
      <c r="BB607" s="132"/>
      <c r="BC607" s="132"/>
      <c r="BD607" s="132"/>
      <c r="BE607" s="132"/>
      <c r="BF607" s="132"/>
    </row>
    <row r="608" customFormat="false" ht="11.25" hidden="false" customHeight="true" outlineLevel="0" collapsed="false">
      <c r="A608" s="113" t="s">
        <v>1026</v>
      </c>
      <c r="E608" s="80"/>
      <c r="F608" s="810"/>
      <c r="G608" s="138"/>
      <c r="H608" s="811" t="s">
        <v>89</v>
      </c>
      <c r="I608" s="831"/>
      <c r="J608" s="335"/>
      <c r="K608" s="333"/>
      <c r="L608" s="204"/>
      <c r="M608" s="198"/>
      <c r="N608" s="837"/>
      <c r="O608" s="838" t="n">
        <v>1</v>
      </c>
      <c r="P608" s="76" t="s">
        <v>61</v>
      </c>
      <c r="Q608" s="335" t="s">
        <v>1063</v>
      </c>
      <c r="R608" s="839" t="s">
        <v>1064</v>
      </c>
      <c r="S608" s="839" t="s">
        <v>99</v>
      </c>
      <c r="T608" s="839" t="s">
        <v>99</v>
      </c>
      <c r="U608" s="839" t="s">
        <v>100</v>
      </c>
      <c r="V608" s="839" t="s">
        <v>1065</v>
      </c>
      <c r="W608" s="839" t="s">
        <v>1066</v>
      </c>
      <c r="X608" s="839" t="s">
        <v>1067</v>
      </c>
      <c r="Y608" s="839" t="s">
        <v>1068</v>
      </c>
      <c r="Z608" s="840"/>
      <c r="AA608" s="841"/>
      <c r="AB608" s="841"/>
      <c r="AC608" s="842"/>
      <c r="AD608" s="842"/>
      <c r="AE608" s="843"/>
      <c r="AF608" s="835"/>
      <c r="AG608" s="836"/>
      <c r="AH608" s="836"/>
      <c r="AI608" s="835"/>
      <c r="AJ608" s="836"/>
      <c r="AK608" s="836"/>
      <c r="AL608" s="809"/>
      <c r="AM608" s="132"/>
      <c r="AN608" s="132"/>
      <c r="AO608" s="132"/>
      <c r="AP608" s="132"/>
      <c r="AQ608" s="132"/>
      <c r="AR608" s="132"/>
      <c r="AS608" s="132"/>
      <c r="AT608" s="132"/>
      <c r="AU608" s="132"/>
      <c r="AV608" s="132"/>
      <c r="AW608" s="132"/>
      <c r="AX608" s="132"/>
      <c r="AY608" s="132"/>
      <c r="AZ608" s="132"/>
      <c r="BA608" s="132"/>
      <c r="BB608" s="132"/>
      <c r="BC608" s="132"/>
      <c r="BD608" s="132"/>
      <c r="BE608" s="132"/>
      <c r="BF608" s="132"/>
    </row>
    <row r="609" customFormat="false" ht="11.25" hidden="false" customHeight="true" outlineLevel="0" collapsed="false">
      <c r="A609" s="113" t="s">
        <v>1026</v>
      </c>
      <c r="E609" s="80"/>
      <c r="F609" s="810"/>
      <c r="G609" s="138"/>
      <c r="H609" s="811" t="s">
        <v>89</v>
      </c>
      <c r="I609" s="831"/>
      <c r="J609" s="335"/>
      <c r="K609" s="333"/>
      <c r="L609" s="204"/>
      <c r="M609" s="198"/>
      <c r="N609" s="837"/>
      <c r="O609" s="838"/>
      <c r="P609" s="76"/>
      <c r="Q609" s="335"/>
      <c r="R609" s="839"/>
      <c r="S609" s="839"/>
      <c r="T609" s="839"/>
      <c r="U609" s="839"/>
      <c r="V609" s="839"/>
      <c r="W609" s="839"/>
      <c r="X609" s="839"/>
      <c r="Y609" s="839"/>
      <c r="Z609" s="844"/>
      <c r="AA609" s="845" t="n">
        <v>1</v>
      </c>
      <c r="AB609" s="846" t="s">
        <v>1069</v>
      </c>
      <c r="AC609" s="756" t="n">
        <v>1720.49</v>
      </c>
      <c r="AD609" s="846" t="str">
        <f aca="false">AB609</f>
        <v>Прочие амортизационные отчисления</v>
      </c>
      <c r="AE609" s="756" t="n">
        <v>1226.545</v>
      </c>
      <c r="AF609" s="835"/>
      <c r="AG609" s="836"/>
      <c r="AH609" s="836"/>
      <c r="AI609" s="835"/>
      <c r="AJ609" s="836"/>
      <c r="AK609" s="836"/>
      <c r="AL609" s="809"/>
      <c r="AM609" s="132"/>
      <c r="AN609" s="132"/>
      <c r="AO609" s="132"/>
      <c r="AP609" s="132"/>
      <c r="AQ609" s="132"/>
      <c r="AR609" s="132"/>
      <c r="AS609" s="132"/>
      <c r="AT609" s="132"/>
      <c r="AU609" s="132"/>
      <c r="AV609" s="132"/>
      <c r="AW609" s="132"/>
      <c r="AX609" s="132"/>
      <c r="AY609" s="132"/>
      <c r="AZ609" s="132"/>
      <c r="BA609" s="132"/>
      <c r="BB609" s="132"/>
      <c r="BC609" s="132"/>
      <c r="BD609" s="132"/>
      <c r="BE609" s="132"/>
      <c r="BF609" s="132"/>
    </row>
    <row r="610" customFormat="false" ht="11.25" hidden="false" customHeight="true" outlineLevel="0" collapsed="false">
      <c r="A610" s="113" t="s">
        <v>1026</v>
      </c>
      <c r="E610" s="80"/>
      <c r="F610" s="810"/>
      <c r="G610" s="138"/>
      <c r="H610" s="811" t="s">
        <v>89</v>
      </c>
      <c r="I610" s="831"/>
      <c r="J610" s="335"/>
      <c r="K610" s="333"/>
      <c r="L610" s="204"/>
      <c r="M610" s="198"/>
      <c r="N610" s="837"/>
      <c r="O610" s="838"/>
      <c r="P610" s="76"/>
      <c r="Q610" s="335"/>
      <c r="R610" s="839"/>
      <c r="S610" s="839"/>
      <c r="T610" s="839"/>
      <c r="U610" s="839"/>
      <c r="V610" s="839"/>
      <c r="W610" s="839"/>
      <c r="X610" s="839"/>
      <c r="Y610" s="839"/>
      <c r="Z610" s="840"/>
      <c r="AA610" s="841"/>
      <c r="AB610" s="161" t="s">
        <v>1071</v>
      </c>
      <c r="AC610" s="842"/>
      <c r="AD610" s="842"/>
      <c r="AE610" s="847"/>
      <c r="AF610" s="835"/>
      <c r="AG610" s="836"/>
      <c r="AH610" s="836"/>
      <c r="AI610" s="835"/>
      <c r="AJ610" s="836"/>
      <c r="AK610" s="836"/>
      <c r="AL610" s="809"/>
      <c r="AM610" s="132"/>
      <c r="AN610" s="132"/>
      <c r="AO610" s="132"/>
      <c r="AP610" s="132"/>
      <c r="AQ610" s="132"/>
      <c r="AR610" s="132"/>
      <c r="AS610" s="132"/>
      <c r="AT610" s="132"/>
      <c r="AU610" s="132"/>
      <c r="AV610" s="132"/>
      <c r="AW610" s="132"/>
      <c r="AX610" s="132"/>
      <c r="AY610" s="132"/>
      <c r="AZ610" s="132"/>
      <c r="BA610" s="132"/>
      <c r="BB610" s="132"/>
      <c r="BC610" s="132"/>
      <c r="BD610" s="132"/>
      <c r="BE610" s="132"/>
      <c r="BF610" s="132"/>
    </row>
    <row r="611" customFormat="false" ht="11.25" hidden="false" customHeight="true" outlineLevel="0" collapsed="false">
      <c r="A611" s="113" t="s">
        <v>1026</v>
      </c>
      <c r="E611" s="80"/>
      <c r="F611" s="810"/>
      <c r="G611" s="138"/>
      <c r="H611" s="811" t="s">
        <v>89</v>
      </c>
      <c r="I611" s="831"/>
      <c r="J611" s="335"/>
      <c r="K611" s="333"/>
      <c r="L611" s="204"/>
      <c r="M611" s="198"/>
      <c r="N611" s="840"/>
      <c r="O611" s="841"/>
      <c r="P611" s="161" t="s">
        <v>1072</v>
      </c>
      <c r="Q611" s="841"/>
      <c r="R611" s="841"/>
      <c r="S611" s="841"/>
      <c r="T611" s="841"/>
      <c r="U611" s="841"/>
      <c r="V611" s="841"/>
      <c r="W611" s="841"/>
      <c r="X611" s="841"/>
      <c r="Y611" s="841"/>
      <c r="Z611" s="841"/>
      <c r="AA611" s="841"/>
      <c r="AB611" s="841"/>
      <c r="AC611" s="841"/>
      <c r="AD611" s="841"/>
      <c r="AE611" s="848"/>
      <c r="AF611" s="835"/>
      <c r="AG611" s="836"/>
      <c r="AH611" s="836"/>
      <c r="AI611" s="835"/>
      <c r="AJ611" s="836"/>
      <c r="AK611" s="836"/>
      <c r="AL611" s="809"/>
      <c r="AM611" s="132"/>
      <c r="AN611" s="132"/>
      <c r="AO611" s="132"/>
      <c r="AP611" s="132"/>
      <c r="AQ611" s="132"/>
      <c r="AR611" s="132"/>
      <c r="AS611" s="132"/>
      <c r="AT611" s="132"/>
      <c r="AU611" s="132"/>
      <c r="AV611" s="132"/>
      <c r="AW611" s="132"/>
      <c r="AX611" s="132"/>
      <c r="AY611" s="132"/>
      <c r="AZ611" s="132"/>
      <c r="BA611" s="132"/>
      <c r="BB611" s="132"/>
      <c r="BC611" s="132"/>
      <c r="BD611" s="132"/>
      <c r="BE611" s="132"/>
      <c r="BF611" s="132"/>
    </row>
    <row r="612" customFormat="false" ht="11.25" hidden="false" customHeight="true" outlineLevel="0" collapsed="false">
      <c r="A612" s="113" t="s">
        <v>1026</v>
      </c>
      <c r="E612" s="80"/>
      <c r="F612" s="810"/>
      <c r="G612" s="138" t="s">
        <v>103</v>
      </c>
      <c r="H612" s="811" t="s">
        <v>121</v>
      </c>
      <c r="I612" s="831"/>
      <c r="J612" s="335"/>
      <c r="K612" s="333" t="s">
        <v>1170</v>
      </c>
      <c r="L612" s="204" t="s">
        <v>19</v>
      </c>
      <c r="M612" s="198"/>
      <c r="N612" s="832"/>
      <c r="O612" s="833" t="s">
        <v>389</v>
      </c>
      <c r="P612" s="834"/>
      <c r="Q612" s="834"/>
      <c r="R612" s="834"/>
      <c r="S612" s="834"/>
      <c r="T612" s="834"/>
      <c r="U612" s="834"/>
      <c r="V612" s="834"/>
      <c r="W612" s="834"/>
      <c r="X612" s="834"/>
      <c r="Y612" s="834"/>
      <c r="Z612" s="834"/>
      <c r="AA612" s="834"/>
      <c r="AB612" s="834"/>
      <c r="AC612" s="834"/>
      <c r="AD612" s="834"/>
      <c r="AE612" s="834"/>
      <c r="AF612" s="835" t="n">
        <v>2023</v>
      </c>
      <c r="AG612" s="836" t="s">
        <v>1059</v>
      </c>
      <c r="AH612" s="836" t="s">
        <v>1104</v>
      </c>
      <c r="AI612" s="835" t="n">
        <v>2023</v>
      </c>
      <c r="AJ612" s="836" t="s">
        <v>1076</v>
      </c>
      <c r="AK612" s="836" t="s">
        <v>1104</v>
      </c>
      <c r="AL612" s="809"/>
      <c r="AM612" s="132"/>
      <c r="AN612" s="132"/>
      <c r="AO612" s="132"/>
      <c r="AP612" s="132"/>
      <c r="AQ612" s="132"/>
      <c r="AR612" s="132"/>
      <c r="AS612" s="132"/>
      <c r="AT612" s="132"/>
      <c r="AU612" s="132"/>
      <c r="AV612" s="132"/>
      <c r="AW612" s="132"/>
      <c r="AX612" s="132"/>
      <c r="AY612" s="132"/>
      <c r="AZ612" s="132"/>
      <c r="BA612" s="132"/>
      <c r="BB612" s="132"/>
      <c r="BC612" s="132"/>
      <c r="BD612" s="132"/>
      <c r="BE612" s="132"/>
      <c r="BF612" s="132"/>
    </row>
    <row r="613" customFormat="false" ht="11.25" hidden="false" customHeight="true" outlineLevel="0" collapsed="false">
      <c r="A613" s="113" t="s">
        <v>1026</v>
      </c>
      <c r="E613" s="80"/>
      <c r="F613" s="810"/>
      <c r="G613" s="138"/>
      <c r="H613" s="811" t="s">
        <v>90</v>
      </c>
      <c r="I613" s="831"/>
      <c r="J613" s="335"/>
      <c r="K613" s="333"/>
      <c r="L613" s="204"/>
      <c r="M613" s="198"/>
      <c r="N613" s="837"/>
      <c r="O613" s="838" t="n">
        <v>1</v>
      </c>
      <c r="P613" s="76" t="s">
        <v>61</v>
      </c>
      <c r="Q613" s="335" t="s">
        <v>1063</v>
      </c>
      <c r="R613" s="839" t="s">
        <v>1064</v>
      </c>
      <c r="S613" s="839" t="s">
        <v>99</v>
      </c>
      <c r="T613" s="839" t="s">
        <v>99</v>
      </c>
      <c r="U613" s="839" t="s">
        <v>100</v>
      </c>
      <c r="V613" s="839" t="s">
        <v>1065</v>
      </c>
      <c r="W613" s="839" t="s">
        <v>1066</v>
      </c>
      <c r="X613" s="839" t="s">
        <v>1067</v>
      </c>
      <c r="Y613" s="839" t="s">
        <v>1068</v>
      </c>
      <c r="Z613" s="840"/>
      <c r="AA613" s="841"/>
      <c r="AB613" s="841"/>
      <c r="AC613" s="842"/>
      <c r="AD613" s="842"/>
      <c r="AE613" s="843"/>
      <c r="AF613" s="835"/>
      <c r="AG613" s="836"/>
      <c r="AH613" s="836"/>
      <c r="AI613" s="835"/>
      <c r="AJ613" s="836"/>
      <c r="AK613" s="836"/>
      <c r="AL613" s="809"/>
      <c r="AM613" s="132"/>
      <c r="AN613" s="132"/>
      <c r="AO613" s="132"/>
      <c r="AP613" s="132"/>
      <c r="AQ613" s="132"/>
      <c r="AR613" s="132"/>
      <c r="AS613" s="132"/>
      <c r="AT613" s="132"/>
      <c r="AU613" s="132"/>
      <c r="AV613" s="132"/>
      <c r="AW613" s="132"/>
      <c r="AX613" s="132"/>
      <c r="AY613" s="132"/>
      <c r="AZ613" s="132"/>
      <c r="BA613" s="132"/>
      <c r="BB613" s="132"/>
      <c r="BC613" s="132"/>
      <c r="BD613" s="132"/>
      <c r="BE613" s="132"/>
      <c r="BF613" s="132"/>
    </row>
    <row r="614" customFormat="false" ht="11.25" hidden="false" customHeight="true" outlineLevel="0" collapsed="false">
      <c r="A614" s="113" t="s">
        <v>1026</v>
      </c>
      <c r="E614" s="80"/>
      <c r="F614" s="810"/>
      <c r="G614" s="138"/>
      <c r="H614" s="811" t="s">
        <v>90</v>
      </c>
      <c r="I614" s="831"/>
      <c r="J614" s="335"/>
      <c r="K614" s="333"/>
      <c r="L614" s="204"/>
      <c r="M614" s="198"/>
      <c r="N614" s="837"/>
      <c r="O614" s="838"/>
      <c r="P614" s="76"/>
      <c r="Q614" s="335"/>
      <c r="R614" s="839"/>
      <c r="S614" s="839"/>
      <c r="T614" s="839"/>
      <c r="U614" s="839"/>
      <c r="V614" s="839"/>
      <c r="W614" s="839"/>
      <c r="X614" s="839"/>
      <c r="Y614" s="839"/>
      <c r="Z614" s="844"/>
      <c r="AA614" s="845" t="n">
        <v>1</v>
      </c>
      <c r="AB614" s="846" t="s">
        <v>1069</v>
      </c>
      <c r="AC614" s="756" t="n">
        <v>2405.5971</v>
      </c>
      <c r="AD614" s="846" t="str">
        <f aca="false">AB614</f>
        <v>Прочие амортизационные отчисления</v>
      </c>
      <c r="AE614" s="756" t="n">
        <v>2616.448</v>
      </c>
      <c r="AF614" s="835"/>
      <c r="AG614" s="836"/>
      <c r="AH614" s="836"/>
      <c r="AI614" s="835"/>
      <c r="AJ614" s="836"/>
      <c r="AK614" s="836"/>
      <c r="AL614" s="809"/>
      <c r="AM614" s="132"/>
      <c r="AN614" s="132"/>
      <c r="AO614" s="132"/>
      <c r="AP614" s="132"/>
      <c r="AQ614" s="132"/>
      <c r="AR614" s="132"/>
      <c r="AS614" s="132"/>
      <c r="AT614" s="132"/>
      <c r="AU614" s="132"/>
      <c r="AV614" s="132"/>
      <c r="AW614" s="132"/>
      <c r="AX614" s="132"/>
      <c r="AY614" s="132"/>
      <c r="AZ614" s="132"/>
      <c r="BA614" s="132"/>
      <c r="BB614" s="132"/>
      <c r="BC614" s="132"/>
      <c r="BD614" s="132"/>
      <c r="BE614" s="132"/>
      <c r="BF614" s="132"/>
    </row>
    <row r="615" customFormat="false" ht="11.25" hidden="false" customHeight="true" outlineLevel="0" collapsed="false">
      <c r="A615" s="113" t="s">
        <v>1026</v>
      </c>
      <c r="E615" s="80"/>
      <c r="F615" s="810"/>
      <c r="G615" s="138"/>
      <c r="H615" s="811" t="s">
        <v>90</v>
      </c>
      <c r="I615" s="831"/>
      <c r="J615" s="335"/>
      <c r="K615" s="333"/>
      <c r="L615" s="204"/>
      <c r="M615" s="198"/>
      <c r="N615" s="837"/>
      <c r="O615" s="838"/>
      <c r="P615" s="76"/>
      <c r="Q615" s="335"/>
      <c r="R615" s="839"/>
      <c r="S615" s="839"/>
      <c r="T615" s="839"/>
      <c r="U615" s="839"/>
      <c r="V615" s="839"/>
      <c r="W615" s="839"/>
      <c r="X615" s="839"/>
      <c r="Y615" s="839"/>
      <c r="Z615" s="840"/>
      <c r="AA615" s="841"/>
      <c r="AB615" s="161" t="s">
        <v>1071</v>
      </c>
      <c r="AC615" s="842"/>
      <c r="AD615" s="842"/>
      <c r="AE615" s="847"/>
      <c r="AF615" s="835"/>
      <c r="AG615" s="836"/>
      <c r="AH615" s="836"/>
      <c r="AI615" s="835"/>
      <c r="AJ615" s="836"/>
      <c r="AK615" s="836"/>
      <c r="AL615" s="809"/>
      <c r="AM615" s="132"/>
      <c r="AN615" s="132"/>
      <c r="AO615" s="132"/>
      <c r="AP615" s="132"/>
      <c r="AQ615" s="132"/>
      <c r="AR615" s="132"/>
      <c r="AS615" s="132"/>
      <c r="AT615" s="132"/>
      <c r="AU615" s="132"/>
      <c r="AV615" s="132"/>
      <c r="AW615" s="132"/>
      <c r="AX615" s="132"/>
      <c r="AY615" s="132"/>
      <c r="AZ615" s="132"/>
      <c r="BA615" s="132"/>
      <c r="BB615" s="132"/>
      <c r="BC615" s="132"/>
      <c r="BD615" s="132"/>
      <c r="BE615" s="132"/>
      <c r="BF615" s="132"/>
    </row>
    <row r="616" customFormat="false" ht="11.25" hidden="false" customHeight="true" outlineLevel="0" collapsed="false">
      <c r="A616" s="113" t="s">
        <v>1026</v>
      </c>
      <c r="E616" s="80"/>
      <c r="F616" s="810"/>
      <c r="G616" s="138"/>
      <c r="H616" s="811" t="s">
        <v>90</v>
      </c>
      <c r="I616" s="831"/>
      <c r="J616" s="335"/>
      <c r="K616" s="333"/>
      <c r="L616" s="204"/>
      <c r="M616" s="198"/>
      <c r="N616" s="840"/>
      <c r="O616" s="841"/>
      <c r="P616" s="161" t="s">
        <v>1072</v>
      </c>
      <c r="Q616" s="841"/>
      <c r="R616" s="841"/>
      <c r="S616" s="841"/>
      <c r="T616" s="841"/>
      <c r="U616" s="841"/>
      <c r="V616" s="841"/>
      <c r="W616" s="841"/>
      <c r="X616" s="841"/>
      <c r="Y616" s="841"/>
      <c r="Z616" s="841"/>
      <c r="AA616" s="841"/>
      <c r="AB616" s="841"/>
      <c r="AC616" s="841"/>
      <c r="AD616" s="841"/>
      <c r="AE616" s="848"/>
      <c r="AF616" s="835"/>
      <c r="AG616" s="836"/>
      <c r="AH616" s="836"/>
      <c r="AI616" s="835"/>
      <c r="AJ616" s="836"/>
      <c r="AK616" s="836"/>
      <c r="AL616" s="809"/>
      <c r="AM616" s="132"/>
      <c r="AN616" s="132"/>
      <c r="AO616" s="132"/>
      <c r="AP616" s="132"/>
      <c r="AQ616" s="132"/>
      <c r="AR616" s="132"/>
      <c r="AS616" s="132"/>
      <c r="AT616" s="132"/>
      <c r="AU616" s="132"/>
      <c r="AV616" s="132"/>
      <c r="AW616" s="132"/>
      <c r="AX616" s="132"/>
      <c r="AY616" s="132"/>
      <c r="AZ616" s="132"/>
      <c r="BA616" s="132"/>
      <c r="BB616" s="132"/>
      <c r="BC616" s="132"/>
      <c r="BD616" s="132"/>
      <c r="BE616" s="132"/>
      <c r="BF616" s="132"/>
    </row>
    <row r="617" customFormat="false" ht="11.25" hidden="false" customHeight="true" outlineLevel="0" collapsed="false">
      <c r="A617" s="113" t="s">
        <v>1026</v>
      </c>
      <c r="E617" s="80"/>
      <c r="F617" s="810"/>
      <c r="G617" s="138" t="s">
        <v>103</v>
      </c>
      <c r="H617" s="811" t="s">
        <v>91</v>
      </c>
      <c r="I617" s="831"/>
      <c r="J617" s="335"/>
      <c r="K617" s="333" t="s">
        <v>1171</v>
      </c>
      <c r="L617" s="204" t="s">
        <v>19</v>
      </c>
      <c r="M617" s="198"/>
      <c r="N617" s="832"/>
      <c r="O617" s="833" t="s">
        <v>389</v>
      </c>
      <c r="P617" s="834"/>
      <c r="Q617" s="834"/>
      <c r="R617" s="834"/>
      <c r="S617" s="834"/>
      <c r="T617" s="834"/>
      <c r="U617" s="834"/>
      <c r="V617" s="834"/>
      <c r="W617" s="834"/>
      <c r="X617" s="834"/>
      <c r="Y617" s="834"/>
      <c r="Z617" s="834"/>
      <c r="AA617" s="834"/>
      <c r="AB617" s="834"/>
      <c r="AC617" s="834"/>
      <c r="AD617" s="834"/>
      <c r="AE617" s="834"/>
      <c r="AF617" s="835" t="n">
        <v>2023</v>
      </c>
      <c r="AG617" s="836" t="s">
        <v>1059</v>
      </c>
      <c r="AH617" s="836" t="s">
        <v>1104</v>
      </c>
      <c r="AI617" s="835" t="n">
        <v>2023</v>
      </c>
      <c r="AJ617" s="836" t="s">
        <v>1086</v>
      </c>
      <c r="AK617" s="836" t="s">
        <v>1104</v>
      </c>
      <c r="AL617" s="809"/>
      <c r="AM617" s="132"/>
      <c r="AN617" s="132"/>
      <c r="AO617" s="132"/>
      <c r="AP617" s="132"/>
      <c r="AQ617" s="132"/>
      <c r="AR617" s="132"/>
      <c r="AS617" s="132"/>
      <c r="AT617" s="132"/>
      <c r="AU617" s="132"/>
      <c r="AV617" s="132"/>
      <c r="AW617" s="132"/>
      <c r="AX617" s="132"/>
      <c r="AY617" s="132"/>
      <c r="AZ617" s="132"/>
      <c r="BA617" s="132"/>
      <c r="BB617" s="132"/>
      <c r="BC617" s="132"/>
      <c r="BD617" s="132"/>
      <c r="BE617" s="132"/>
      <c r="BF617" s="132"/>
    </row>
    <row r="618" customFormat="false" ht="11.25" hidden="false" customHeight="true" outlineLevel="0" collapsed="false">
      <c r="A618" s="113" t="s">
        <v>1026</v>
      </c>
      <c r="E618" s="80"/>
      <c r="F618" s="810"/>
      <c r="G618" s="138"/>
      <c r="H618" s="811" t="s">
        <v>121</v>
      </c>
      <c r="I618" s="831"/>
      <c r="J618" s="335"/>
      <c r="K618" s="333"/>
      <c r="L618" s="204"/>
      <c r="M618" s="198"/>
      <c r="N618" s="837"/>
      <c r="O618" s="838" t="n">
        <v>1</v>
      </c>
      <c r="P618" s="76" t="s">
        <v>61</v>
      </c>
      <c r="Q618" s="335" t="s">
        <v>1080</v>
      </c>
      <c r="R618" s="839" t="s">
        <v>1064</v>
      </c>
      <c r="S618" s="839" t="s">
        <v>99</v>
      </c>
      <c r="T618" s="839" t="s">
        <v>99</v>
      </c>
      <c r="U618" s="839" t="s">
        <v>100</v>
      </c>
      <c r="V618" s="839" t="s">
        <v>1065</v>
      </c>
      <c r="W618" s="839" t="s">
        <v>1066</v>
      </c>
      <c r="X618" s="839" t="s">
        <v>1081</v>
      </c>
      <c r="Y618" s="839" t="s">
        <v>1082</v>
      </c>
      <c r="Z618" s="840"/>
      <c r="AA618" s="841"/>
      <c r="AB618" s="841"/>
      <c r="AC618" s="842"/>
      <c r="AD618" s="842"/>
      <c r="AE618" s="843"/>
      <c r="AF618" s="835"/>
      <c r="AG618" s="836"/>
      <c r="AH618" s="836"/>
      <c r="AI618" s="835"/>
      <c r="AJ618" s="836"/>
      <c r="AK618" s="836"/>
      <c r="AL618" s="809"/>
      <c r="AM618" s="132"/>
      <c r="AN618" s="132"/>
      <c r="AO618" s="132"/>
      <c r="AP618" s="132"/>
      <c r="AQ618" s="132"/>
      <c r="AR618" s="132"/>
      <c r="AS618" s="132"/>
      <c r="AT618" s="132"/>
      <c r="AU618" s="132"/>
      <c r="AV618" s="132"/>
      <c r="AW618" s="132"/>
      <c r="AX618" s="132"/>
      <c r="AY618" s="132"/>
      <c r="AZ618" s="132"/>
      <c r="BA618" s="132"/>
      <c r="BB618" s="132"/>
      <c r="BC618" s="132"/>
      <c r="BD618" s="132"/>
      <c r="BE618" s="132"/>
      <c r="BF618" s="132"/>
    </row>
    <row r="619" customFormat="false" ht="11.25" hidden="false" customHeight="true" outlineLevel="0" collapsed="false">
      <c r="A619" s="113" t="s">
        <v>1026</v>
      </c>
      <c r="E619" s="80"/>
      <c r="F619" s="810"/>
      <c r="G619" s="138"/>
      <c r="H619" s="811" t="s">
        <v>121</v>
      </c>
      <c r="I619" s="831"/>
      <c r="J619" s="335"/>
      <c r="K619" s="333"/>
      <c r="L619" s="204"/>
      <c r="M619" s="198"/>
      <c r="N619" s="837"/>
      <c r="O619" s="838"/>
      <c r="P619" s="76"/>
      <c r="Q619" s="335"/>
      <c r="R619" s="839"/>
      <c r="S619" s="839"/>
      <c r="T619" s="839"/>
      <c r="U619" s="839"/>
      <c r="V619" s="839"/>
      <c r="W619" s="839"/>
      <c r="X619" s="839"/>
      <c r="Y619" s="839"/>
      <c r="Z619" s="844"/>
      <c r="AA619" s="845" t="n">
        <v>1</v>
      </c>
      <c r="AB619" s="846" t="s">
        <v>1069</v>
      </c>
      <c r="AC619" s="756" t="n">
        <v>160.72</v>
      </c>
      <c r="AD619" s="846" t="str">
        <f aca="false">AB619</f>
        <v>Прочие амортизационные отчисления</v>
      </c>
      <c r="AE619" s="756" t="n">
        <v>193</v>
      </c>
      <c r="AF619" s="835"/>
      <c r="AG619" s="836"/>
      <c r="AH619" s="836"/>
      <c r="AI619" s="835"/>
      <c r="AJ619" s="836"/>
      <c r="AK619" s="836"/>
      <c r="AL619" s="809"/>
      <c r="AM619" s="132"/>
      <c r="AN619" s="132"/>
      <c r="AO619" s="132"/>
      <c r="AP619" s="132"/>
      <c r="AQ619" s="132"/>
      <c r="AR619" s="132"/>
      <c r="AS619" s="132"/>
      <c r="AT619" s="132"/>
      <c r="AU619" s="132"/>
      <c r="AV619" s="132"/>
      <c r="AW619" s="132"/>
      <c r="AX619" s="132"/>
      <c r="AY619" s="132"/>
      <c r="AZ619" s="132"/>
      <c r="BA619" s="132"/>
      <c r="BB619" s="132"/>
      <c r="BC619" s="132"/>
      <c r="BD619" s="132"/>
      <c r="BE619" s="132"/>
      <c r="BF619" s="132"/>
    </row>
    <row r="620" customFormat="false" ht="11.25" hidden="false" customHeight="true" outlineLevel="0" collapsed="false">
      <c r="A620" s="113" t="s">
        <v>1026</v>
      </c>
      <c r="E620" s="80"/>
      <c r="F620" s="810"/>
      <c r="G620" s="138"/>
      <c r="H620" s="811" t="s">
        <v>121</v>
      </c>
      <c r="I620" s="831"/>
      <c r="J620" s="335"/>
      <c r="K620" s="333"/>
      <c r="L620" s="204"/>
      <c r="M620" s="198"/>
      <c r="N620" s="837"/>
      <c r="O620" s="838"/>
      <c r="P620" s="76"/>
      <c r="Q620" s="335"/>
      <c r="R620" s="839"/>
      <c r="S620" s="839"/>
      <c r="T620" s="839"/>
      <c r="U620" s="839"/>
      <c r="V620" s="839"/>
      <c r="W620" s="839"/>
      <c r="X620" s="839"/>
      <c r="Y620" s="839"/>
      <c r="Z620" s="840"/>
      <c r="AA620" s="841"/>
      <c r="AB620" s="161" t="s">
        <v>1071</v>
      </c>
      <c r="AC620" s="842"/>
      <c r="AD620" s="842"/>
      <c r="AE620" s="847"/>
      <c r="AF620" s="835"/>
      <c r="AG620" s="836"/>
      <c r="AH620" s="836"/>
      <c r="AI620" s="835"/>
      <c r="AJ620" s="836"/>
      <c r="AK620" s="836"/>
      <c r="AL620" s="809"/>
      <c r="AM620" s="132"/>
      <c r="AN620" s="132"/>
      <c r="AO620" s="132"/>
      <c r="AP620" s="132"/>
      <c r="AQ620" s="132"/>
      <c r="AR620" s="132"/>
      <c r="AS620" s="132"/>
      <c r="AT620" s="132"/>
      <c r="AU620" s="132"/>
      <c r="AV620" s="132"/>
      <c r="AW620" s="132"/>
      <c r="AX620" s="132"/>
      <c r="AY620" s="132"/>
      <c r="AZ620" s="132"/>
      <c r="BA620" s="132"/>
      <c r="BB620" s="132"/>
      <c r="BC620" s="132"/>
      <c r="BD620" s="132"/>
      <c r="BE620" s="132"/>
      <c r="BF620" s="132"/>
    </row>
    <row r="621" customFormat="false" ht="11.25" hidden="false" customHeight="true" outlineLevel="0" collapsed="false">
      <c r="A621" s="113" t="s">
        <v>1026</v>
      </c>
      <c r="E621" s="80"/>
      <c r="F621" s="810"/>
      <c r="G621" s="138"/>
      <c r="H621" s="811" t="s">
        <v>121</v>
      </c>
      <c r="I621" s="831"/>
      <c r="J621" s="335"/>
      <c r="K621" s="333"/>
      <c r="L621" s="204"/>
      <c r="M621" s="198"/>
      <c r="N621" s="840"/>
      <c r="O621" s="841"/>
      <c r="P621" s="161" t="s">
        <v>1072</v>
      </c>
      <c r="Q621" s="841"/>
      <c r="R621" s="841"/>
      <c r="S621" s="841"/>
      <c r="T621" s="841"/>
      <c r="U621" s="841"/>
      <c r="V621" s="841"/>
      <c r="W621" s="841"/>
      <c r="X621" s="841"/>
      <c r="Y621" s="841"/>
      <c r="Z621" s="841"/>
      <c r="AA621" s="841"/>
      <c r="AB621" s="841"/>
      <c r="AC621" s="841"/>
      <c r="AD621" s="841"/>
      <c r="AE621" s="848"/>
      <c r="AF621" s="835"/>
      <c r="AG621" s="836"/>
      <c r="AH621" s="836"/>
      <c r="AI621" s="835"/>
      <c r="AJ621" s="836"/>
      <c r="AK621" s="836"/>
      <c r="AL621" s="809"/>
      <c r="AM621" s="132"/>
      <c r="AN621" s="132"/>
      <c r="AO621" s="132"/>
      <c r="AP621" s="132"/>
      <c r="AQ621" s="132"/>
      <c r="AR621" s="132"/>
      <c r="AS621" s="132"/>
      <c r="AT621" s="132"/>
      <c r="AU621" s="132"/>
      <c r="AV621" s="132"/>
      <c r="AW621" s="132"/>
      <c r="AX621" s="132"/>
      <c r="AY621" s="132"/>
      <c r="AZ621" s="132"/>
      <c r="BA621" s="132"/>
      <c r="BB621" s="132"/>
      <c r="BC621" s="132"/>
      <c r="BD621" s="132"/>
      <c r="BE621" s="132"/>
      <c r="BF621" s="132"/>
    </row>
    <row r="622" customFormat="false" ht="11.25" hidden="false" customHeight="true" outlineLevel="0" collapsed="false">
      <c r="A622" s="113" t="s">
        <v>1026</v>
      </c>
      <c r="E622" s="80"/>
      <c r="F622" s="810"/>
      <c r="G622" s="138" t="s">
        <v>103</v>
      </c>
      <c r="H622" s="811" t="s">
        <v>92</v>
      </c>
      <c r="I622" s="831"/>
      <c r="J622" s="335"/>
      <c r="K622" s="333" t="s">
        <v>1172</v>
      </c>
      <c r="L622" s="204" t="s">
        <v>19</v>
      </c>
      <c r="M622" s="198"/>
      <c r="N622" s="832"/>
      <c r="O622" s="833" t="s">
        <v>389</v>
      </c>
      <c r="P622" s="834"/>
      <c r="Q622" s="834"/>
      <c r="R622" s="834"/>
      <c r="S622" s="834"/>
      <c r="T622" s="834"/>
      <c r="U622" s="834"/>
      <c r="V622" s="834"/>
      <c r="W622" s="834"/>
      <c r="X622" s="834"/>
      <c r="Y622" s="834"/>
      <c r="Z622" s="834"/>
      <c r="AA622" s="834"/>
      <c r="AB622" s="834"/>
      <c r="AC622" s="834"/>
      <c r="AD622" s="834"/>
      <c r="AE622" s="834"/>
      <c r="AF622" s="835" t="n">
        <v>2022</v>
      </c>
      <c r="AG622" s="836" t="s">
        <v>1059</v>
      </c>
      <c r="AH622" s="836" t="s">
        <v>1096</v>
      </c>
      <c r="AI622" s="835" t="n">
        <v>2023</v>
      </c>
      <c r="AJ622" s="836" t="s">
        <v>1113</v>
      </c>
      <c r="AK622" s="836" t="s">
        <v>1104</v>
      </c>
      <c r="AL622" s="809"/>
      <c r="AM622" s="132"/>
      <c r="AN622" s="132"/>
      <c r="AO622" s="132"/>
      <c r="AP622" s="132"/>
      <c r="AQ622" s="132"/>
      <c r="AR622" s="132"/>
      <c r="AS622" s="132"/>
      <c r="AT622" s="132"/>
      <c r="AU622" s="132"/>
      <c r="AV622" s="132"/>
      <c r="AW622" s="132"/>
      <c r="AX622" s="132"/>
      <c r="AY622" s="132"/>
      <c r="AZ622" s="132"/>
      <c r="BA622" s="132"/>
      <c r="BB622" s="132"/>
      <c r="BC622" s="132"/>
      <c r="BD622" s="132"/>
      <c r="BE622" s="132"/>
      <c r="BF622" s="132"/>
    </row>
    <row r="623" customFormat="false" ht="11.25" hidden="false" customHeight="true" outlineLevel="0" collapsed="false">
      <c r="A623" s="113" t="s">
        <v>1026</v>
      </c>
      <c r="E623" s="80"/>
      <c r="F623" s="810"/>
      <c r="G623" s="138"/>
      <c r="H623" s="811" t="s">
        <v>91</v>
      </c>
      <c r="I623" s="831"/>
      <c r="J623" s="335"/>
      <c r="K623" s="333"/>
      <c r="L623" s="204"/>
      <c r="M623" s="198"/>
      <c r="N623" s="837"/>
      <c r="O623" s="838" t="n">
        <v>1</v>
      </c>
      <c r="P623" s="76" t="s">
        <v>61</v>
      </c>
      <c r="Q623" s="335" t="s">
        <v>1080</v>
      </c>
      <c r="R623" s="839" t="s">
        <v>1064</v>
      </c>
      <c r="S623" s="839" t="s">
        <v>99</v>
      </c>
      <c r="T623" s="839" t="s">
        <v>99</v>
      </c>
      <c r="U623" s="839" t="s">
        <v>100</v>
      </c>
      <c r="V623" s="839" t="s">
        <v>1065</v>
      </c>
      <c r="W623" s="839" t="s">
        <v>1066</v>
      </c>
      <c r="X623" s="839" t="s">
        <v>1081</v>
      </c>
      <c r="Y623" s="839" t="s">
        <v>1082</v>
      </c>
      <c r="Z623" s="840"/>
      <c r="AA623" s="841"/>
      <c r="AB623" s="841"/>
      <c r="AC623" s="842"/>
      <c r="AD623" s="842"/>
      <c r="AE623" s="843"/>
      <c r="AF623" s="835"/>
      <c r="AG623" s="836"/>
      <c r="AH623" s="836"/>
      <c r="AI623" s="835"/>
      <c r="AJ623" s="836"/>
      <c r="AK623" s="836"/>
      <c r="AL623" s="809"/>
      <c r="AM623" s="132"/>
      <c r="AN623" s="132"/>
      <c r="AO623" s="132"/>
      <c r="AP623" s="132"/>
      <c r="AQ623" s="132"/>
      <c r="AR623" s="132"/>
      <c r="AS623" s="132"/>
      <c r="AT623" s="132"/>
      <c r="AU623" s="132"/>
      <c r="AV623" s="132"/>
      <c r="AW623" s="132"/>
      <c r="AX623" s="132"/>
      <c r="AY623" s="132"/>
      <c r="AZ623" s="132"/>
      <c r="BA623" s="132"/>
      <c r="BB623" s="132"/>
      <c r="BC623" s="132"/>
      <c r="BD623" s="132"/>
      <c r="BE623" s="132"/>
      <c r="BF623" s="132"/>
    </row>
    <row r="624" customFormat="false" ht="11.25" hidden="false" customHeight="true" outlineLevel="0" collapsed="false">
      <c r="A624" s="113" t="s">
        <v>1026</v>
      </c>
      <c r="E624" s="80"/>
      <c r="F624" s="810"/>
      <c r="G624" s="138"/>
      <c r="H624" s="811" t="s">
        <v>91</v>
      </c>
      <c r="I624" s="831"/>
      <c r="J624" s="335"/>
      <c r="K624" s="333"/>
      <c r="L624" s="204"/>
      <c r="M624" s="198"/>
      <c r="N624" s="837"/>
      <c r="O624" s="838"/>
      <c r="P624" s="76"/>
      <c r="Q624" s="335"/>
      <c r="R624" s="839"/>
      <c r="S624" s="839"/>
      <c r="T624" s="839"/>
      <c r="U624" s="839"/>
      <c r="V624" s="839"/>
      <c r="W624" s="839"/>
      <c r="X624" s="839"/>
      <c r="Y624" s="839"/>
      <c r="Z624" s="844"/>
      <c r="AA624" s="845" t="n">
        <v>1</v>
      </c>
      <c r="AB624" s="846" t="s">
        <v>1069</v>
      </c>
      <c r="AC624" s="756" t="n">
        <v>0</v>
      </c>
      <c r="AD624" s="846" t="str">
        <f aca="false">AB624</f>
        <v>Прочие амортизационные отчисления</v>
      </c>
      <c r="AE624" s="756" t="n">
        <v>2610.246</v>
      </c>
      <c r="AF624" s="835"/>
      <c r="AG624" s="836"/>
      <c r="AH624" s="836"/>
      <c r="AI624" s="835"/>
      <c r="AJ624" s="836"/>
      <c r="AK624" s="836"/>
      <c r="AL624" s="809"/>
      <c r="AM624" s="132"/>
      <c r="AN624" s="132"/>
      <c r="AO624" s="132"/>
      <c r="AP624" s="132"/>
      <c r="AQ624" s="132"/>
      <c r="AR624" s="132"/>
      <c r="AS624" s="132"/>
      <c r="AT624" s="132"/>
      <c r="AU624" s="132"/>
      <c r="AV624" s="132"/>
      <c r="AW624" s="132"/>
      <c r="AX624" s="132"/>
      <c r="AY624" s="132"/>
      <c r="AZ624" s="132"/>
      <c r="BA624" s="132"/>
      <c r="BB624" s="132"/>
      <c r="BC624" s="132"/>
      <c r="BD624" s="132"/>
      <c r="BE624" s="132"/>
      <c r="BF624" s="132"/>
    </row>
    <row r="625" customFormat="false" ht="11.25" hidden="false" customHeight="true" outlineLevel="0" collapsed="false">
      <c r="A625" s="113" t="s">
        <v>1026</v>
      </c>
      <c r="E625" s="80"/>
      <c r="F625" s="810"/>
      <c r="G625" s="138"/>
      <c r="H625" s="811" t="s">
        <v>91</v>
      </c>
      <c r="I625" s="831"/>
      <c r="J625" s="335"/>
      <c r="K625" s="333"/>
      <c r="L625" s="204"/>
      <c r="M625" s="198"/>
      <c r="N625" s="837"/>
      <c r="O625" s="838"/>
      <c r="P625" s="76"/>
      <c r="Q625" s="335"/>
      <c r="R625" s="839"/>
      <c r="S625" s="839"/>
      <c r="T625" s="839"/>
      <c r="U625" s="839"/>
      <c r="V625" s="839"/>
      <c r="W625" s="839"/>
      <c r="X625" s="839"/>
      <c r="Y625" s="839"/>
      <c r="Z625" s="840"/>
      <c r="AA625" s="841"/>
      <c r="AB625" s="161" t="s">
        <v>1071</v>
      </c>
      <c r="AC625" s="842"/>
      <c r="AD625" s="842"/>
      <c r="AE625" s="847"/>
      <c r="AF625" s="835"/>
      <c r="AG625" s="836"/>
      <c r="AH625" s="836"/>
      <c r="AI625" s="835"/>
      <c r="AJ625" s="836"/>
      <c r="AK625" s="836"/>
      <c r="AL625" s="809"/>
      <c r="AM625" s="132"/>
      <c r="AN625" s="132"/>
      <c r="AO625" s="132"/>
      <c r="AP625" s="132"/>
      <c r="AQ625" s="132"/>
      <c r="AR625" s="132"/>
      <c r="AS625" s="132"/>
      <c r="AT625" s="132"/>
      <c r="AU625" s="132"/>
      <c r="AV625" s="132"/>
      <c r="AW625" s="132"/>
      <c r="AX625" s="132"/>
      <c r="AY625" s="132"/>
      <c r="AZ625" s="132"/>
      <c r="BA625" s="132"/>
      <c r="BB625" s="132"/>
      <c r="BC625" s="132"/>
      <c r="BD625" s="132"/>
      <c r="BE625" s="132"/>
      <c r="BF625" s="132"/>
    </row>
    <row r="626" customFormat="false" ht="11.25" hidden="false" customHeight="true" outlineLevel="0" collapsed="false">
      <c r="A626" s="113" t="s">
        <v>1026</v>
      </c>
      <c r="E626" s="80"/>
      <c r="F626" s="810"/>
      <c r="G626" s="138"/>
      <c r="H626" s="811" t="s">
        <v>91</v>
      </c>
      <c r="I626" s="831"/>
      <c r="J626" s="335"/>
      <c r="K626" s="333"/>
      <c r="L626" s="204"/>
      <c r="M626" s="198"/>
      <c r="N626" s="840"/>
      <c r="O626" s="841"/>
      <c r="P626" s="161" t="s">
        <v>1072</v>
      </c>
      <c r="Q626" s="841"/>
      <c r="R626" s="841"/>
      <c r="S626" s="841"/>
      <c r="T626" s="841"/>
      <c r="U626" s="841"/>
      <c r="V626" s="841"/>
      <c r="W626" s="841"/>
      <c r="X626" s="841"/>
      <c r="Y626" s="841"/>
      <c r="Z626" s="841"/>
      <c r="AA626" s="841"/>
      <c r="AB626" s="841"/>
      <c r="AC626" s="841"/>
      <c r="AD626" s="841"/>
      <c r="AE626" s="848"/>
      <c r="AF626" s="835"/>
      <c r="AG626" s="836"/>
      <c r="AH626" s="836"/>
      <c r="AI626" s="835"/>
      <c r="AJ626" s="836"/>
      <c r="AK626" s="836"/>
      <c r="AL626" s="809"/>
      <c r="AM626" s="132"/>
      <c r="AN626" s="132"/>
      <c r="AO626" s="132"/>
      <c r="AP626" s="132"/>
      <c r="AQ626" s="132"/>
      <c r="AR626" s="132"/>
      <c r="AS626" s="132"/>
      <c r="AT626" s="132"/>
      <c r="AU626" s="132"/>
      <c r="AV626" s="132"/>
      <c r="AW626" s="132"/>
      <c r="AX626" s="132"/>
      <c r="AY626" s="132"/>
      <c r="AZ626" s="132"/>
      <c r="BA626" s="132"/>
      <c r="BB626" s="132"/>
      <c r="BC626" s="132"/>
      <c r="BD626" s="132"/>
      <c r="BE626" s="132"/>
      <c r="BF626" s="132"/>
    </row>
    <row r="627" customFormat="false" ht="11.25" hidden="false" customHeight="true" outlineLevel="0" collapsed="false">
      <c r="A627" s="113" t="s">
        <v>1026</v>
      </c>
      <c r="E627" s="80"/>
      <c r="F627" s="810"/>
      <c r="G627" s="138" t="s">
        <v>103</v>
      </c>
      <c r="H627" s="811" t="s">
        <v>122</v>
      </c>
      <c r="I627" s="831"/>
      <c r="J627" s="335"/>
      <c r="K627" s="333" t="s">
        <v>1179</v>
      </c>
      <c r="L627" s="204" t="s">
        <v>19</v>
      </c>
      <c r="M627" s="198"/>
      <c r="N627" s="832"/>
      <c r="O627" s="833" t="s">
        <v>389</v>
      </c>
      <c r="P627" s="834"/>
      <c r="Q627" s="834"/>
      <c r="R627" s="834"/>
      <c r="S627" s="834"/>
      <c r="T627" s="834"/>
      <c r="U627" s="834"/>
      <c r="V627" s="834"/>
      <c r="W627" s="834"/>
      <c r="X627" s="834"/>
      <c r="Y627" s="834"/>
      <c r="Z627" s="834"/>
      <c r="AA627" s="834"/>
      <c r="AB627" s="834"/>
      <c r="AC627" s="834"/>
      <c r="AD627" s="834"/>
      <c r="AE627" s="834"/>
      <c r="AF627" s="835" t="n">
        <v>2022</v>
      </c>
      <c r="AG627" s="836" t="s">
        <v>1059</v>
      </c>
      <c r="AH627" s="836" t="s">
        <v>1096</v>
      </c>
      <c r="AI627" s="835" t="n">
        <v>2023</v>
      </c>
      <c r="AJ627" s="836" t="s">
        <v>1180</v>
      </c>
      <c r="AK627" s="836" t="s">
        <v>1104</v>
      </c>
      <c r="AL627" s="809"/>
      <c r="AM627" s="132"/>
      <c r="AN627" s="132"/>
      <c r="AO627" s="132"/>
      <c r="AP627" s="132"/>
      <c r="AQ627" s="132"/>
      <c r="AR627" s="132"/>
      <c r="AS627" s="132"/>
      <c r="AT627" s="132"/>
      <c r="AU627" s="132"/>
      <c r="AV627" s="132"/>
      <c r="AW627" s="132"/>
      <c r="AX627" s="132"/>
      <c r="AY627" s="132"/>
      <c r="AZ627" s="132"/>
      <c r="BA627" s="132"/>
      <c r="BB627" s="132"/>
      <c r="BC627" s="132"/>
      <c r="BD627" s="132"/>
      <c r="BE627" s="132"/>
      <c r="BF627" s="132"/>
    </row>
    <row r="628" customFormat="false" ht="11.25" hidden="false" customHeight="true" outlineLevel="0" collapsed="false">
      <c r="A628" s="113" t="s">
        <v>1026</v>
      </c>
      <c r="E628" s="80"/>
      <c r="F628" s="810"/>
      <c r="G628" s="138"/>
      <c r="H628" s="811" t="s">
        <v>92</v>
      </c>
      <c r="I628" s="831"/>
      <c r="J628" s="335"/>
      <c r="K628" s="333"/>
      <c r="L628" s="204"/>
      <c r="M628" s="198"/>
      <c r="N628" s="837"/>
      <c r="O628" s="838" t="n">
        <v>1</v>
      </c>
      <c r="P628" s="76" t="s">
        <v>61</v>
      </c>
      <c r="Q628" s="335" t="s">
        <v>1080</v>
      </c>
      <c r="R628" s="839" t="s">
        <v>1064</v>
      </c>
      <c r="S628" s="839" t="s">
        <v>99</v>
      </c>
      <c r="T628" s="839" t="s">
        <v>99</v>
      </c>
      <c r="U628" s="839" t="s">
        <v>100</v>
      </c>
      <c r="V628" s="839" t="s">
        <v>1065</v>
      </c>
      <c r="W628" s="839" t="s">
        <v>1066</v>
      </c>
      <c r="X628" s="839" t="s">
        <v>1081</v>
      </c>
      <c r="Y628" s="839" t="s">
        <v>1082</v>
      </c>
      <c r="Z628" s="840"/>
      <c r="AA628" s="841"/>
      <c r="AB628" s="841"/>
      <c r="AC628" s="842"/>
      <c r="AD628" s="842"/>
      <c r="AE628" s="843"/>
      <c r="AF628" s="835"/>
      <c r="AG628" s="836"/>
      <c r="AH628" s="836"/>
      <c r="AI628" s="835"/>
      <c r="AJ628" s="836"/>
      <c r="AK628" s="836"/>
      <c r="AL628" s="809"/>
      <c r="AM628" s="132"/>
      <c r="AN628" s="132"/>
      <c r="AO628" s="132"/>
      <c r="AP628" s="132"/>
      <c r="AQ628" s="132"/>
      <c r="AR628" s="132"/>
      <c r="AS628" s="132"/>
      <c r="AT628" s="132"/>
      <c r="AU628" s="132"/>
      <c r="AV628" s="132"/>
      <c r="AW628" s="132"/>
      <c r="AX628" s="132"/>
      <c r="AY628" s="132"/>
      <c r="AZ628" s="132"/>
      <c r="BA628" s="132"/>
      <c r="BB628" s="132"/>
      <c r="BC628" s="132"/>
      <c r="BD628" s="132"/>
      <c r="BE628" s="132"/>
      <c r="BF628" s="132"/>
    </row>
    <row r="629" customFormat="false" ht="11.25" hidden="false" customHeight="true" outlineLevel="0" collapsed="false">
      <c r="A629" s="113" t="s">
        <v>1026</v>
      </c>
      <c r="E629" s="80"/>
      <c r="F629" s="810"/>
      <c r="G629" s="138"/>
      <c r="H629" s="811" t="s">
        <v>92</v>
      </c>
      <c r="I629" s="831"/>
      <c r="J629" s="335"/>
      <c r="K629" s="333"/>
      <c r="L629" s="204"/>
      <c r="M629" s="198"/>
      <c r="N629" s="837"/>
      <c r="O629" s="838"/>
      <c r="P629" s="76"/>
      <c r="Q629" s="335"/>
      <c r="R629" s="839"/>
      <c r="S629" s="839"/>
      <c r="T629" s="839"/>
      <c r="U629" s="839"/>
      <c r="V629" s="839"/>
      <c r="W629" s="839"/>
      <c r="X629" s="839"/>
      <c r="Y629" s="839"/>
      <c r="Z629" s="844"/>
      <c r="AA629" s="845" t="n">
        <v>1</v>
      </c>
      <c r="AB629" s="846" t="s">
        <v>1069</v>
      </c>
      <c r="AC629" s="756" t="n">
        <v>0</v>
      </c>
      <c r="AD629" s="846" t="str">
        <f aca="false">AB629</f>
        <v>Прочие амортизационные отчисления</v>
      </c>
      <c r="AE629" s="756" t="n">
        <v>108.513</v>
      </c>
      <c r="AF629" s="835"/>
      <c r="AG629" s="836"/>
      <c r="AH629" s="836"/>
      <c r="AI629" s="835"/>
      <c r="AJ629" s="836"/>
      <c r="AK629" s="836"/>
      <c r="AL629" s="809"/>
      <c r="AM629" s="132"/>
      <c r="AN629" s="132"/>
      <c r="AO629" s="132"/>
      <c r="AP629" s="132"/>
      <c r="AQ629" s="132"/>
      <c r="AR629" s="132"/>
      <c r="AS629" s="132"/>
      <c r="AT629" s="132"/>
      <c r="AU629" s="132"/>
      <c r="AV629" s="132"/>
      <c r="AW629" s="132"/>
      <c r="AX629" s="132"/>
      <c r="AY629" s="132"/>
      <c r="AZ629" s="132"/>
      <c r="BA629" s="132"/>
      <c r="BB629" s="132"/>
      <c r="BC629" s="132"/>
      <c r="BD629" s="132"/>
      <c r="BE629" s="132"/>
      <c r="BF629" s="132"/>
    </row>
    <row r="630" customFormat="false" ht="11.25" hidden="false" customHeight="true" outlineLevel="0" collapsed="false">
      <c r="A630" s="113" t="s">
        <v>1026</v>
      </c>
      <c r="E630" s="80"/>
      <c r="F630" s="810"/>
      <c r="G630" s="138"/>
      <c r="H630" s="811" t="s">
        <v>92</v>
      </c>
      <c r="I630" s="831"/>
      <c r="J630" s="335"/>
      <c r="K630" s="333"/>
      <c r="L630" s="204"/>
      <c r="M630" s="198"/>
      <c r="N630" s="837"/>
      <c r="O630" s="838"/>
      <c r="P630" s="76"/>
      <c r="Q630" s="335"/>
      <c r="R630" s="839"/>
      <c r="S630" s="839"/>
      <c r="T630" s="839"/>
      <c r="U630" s="839"/>
      <c r="V630" s="839"/>
      <c r="W630" s="839"/>
      <c r="X630" s="839"/>
      <c r="Y630" s="839"/>
      <c r="Z630" s="840"/>
      <c r="AA630" s="841"/>
      <c r="AB630" s="161" t="s">
        <v>1071</v>
      </c>
      <c r="AC630" s="842"/>
      <c r="AD630" s="842"/>
      <c r="AE630" s="847"/>
      <c r="AF630" s="835"/>
      <c r="AG630" s="836"/>
      <c r="AH630" s="836"/>
      <c r="AI630" s="835"/>
      <c r="AJ630" s="836"/>
      <c r="AK630" s="836"/>
      <c r="AL630" s="809"/>
      <c r="AM630" s="132"/>
      <c r="AN630" s="132"/>
      <c r="AO630" s="132"/>
      <c r="AP630" s="132"/>
      <c r="AQ630" s="132"/>
      <c r="AR630" s="132"/>
      <c r="AS630" s="132"/>
      <c r="AT630" s="132"/>
      <c r="AU630" s="132"/>
      <c r="AV630" s="132"/>
      <c r="AW630" s="132"/>
      <c r="AX630" s="132"/>
      <c r="AY630" s="132"/>
      <c r="AZ630" s="132"/>
      <c r="BA630" s="132"/>
      <c r="BB630" s="132"/>
      <c r="BC630" s="132"/>
      <c r="BD630" s="132"/>
      <c r="BE630" s="132"/>
      <c r="BF630" s="132"/>
    </row>
    <row r="631" customFormat="false" ht="11.25" hidden="false" customHeight="true" outlineLevel="0" collapsed="false">
      <c r="A631" s="113" t="s">
        <v>1026</v>
      </c>
      <c r="E631" s="80"/>
      <c r="F631" s="810"/>
      <c r="G631" s="138"/>
      <c r="H631" s="811" t="s">
        <v>92</v>
      </c>
      <c r="I631" s="831"/>
      <c r="J631" s="335"/>
      <c r="K631" s="333"/>
      <c r="L631" s="204"/>
      <c r="M631" s="198"/>
      <c r="N631" s="840"/>
      <c r="O631" s="841"/>
      <c r="P631" s="161" t="s">
        <v>1072</v>
      </c>
      <c r="Q631" s="841"/>
      <c r="R631" s="841"/>
      <c r="S631" s="841"/>
      <c r="T631" s="841"/>
      <c r="U631" s="841"/>
      <c r="V631" s="841"/>
      <c r="W631" s="841"/>
      <c r="X631" s="841"/>
      <c r="Y631" s="841"/>
      <c r="Z631" s="841"/>
      <c r="AA631" s="841"/>
      <c r="AB631" s="841"/>
      <c r="AC631" s="841"/>
      <c r="AD631" s="841"/>
      <c r="AE631" s="848"/>
      <c r="AF631" s="835"/>
      <c r="AG631" s="836"/>
      <c r="AH631" s="836"/>
      <c r="AI631" s="835"/>
      <c r="AJ631" s="836"/>
      <c r="AK631" s="836"/>
      <c r="AL631" s="809"/>
      <c r="AM631" s="132"/>
      <c r="AN631" s="132"/>
      <c r="AO631" s="132"/>
      <c r="AP631" s="132"/>
      <c r="AQ631" s="132"/>
      <c r="AR631" s="132"/>
      <c r="AS631" s="132"/>
      <c r="AT631" s="132"/>
      <c r="AU631" s="132"/>
      <c r="AV631" s="132"/>
      <c r="AW631" s="132"/>
      <c r="AX631" s="132"/>
      <c r="AY631" s="132"/>
      <c r="AZ631" s="132"/>
      <c r="BA631" s="132"/>
      <c r="BB631" s="132"/>
      <c r="BC631" s="132"/>
      <c r="BD631" s="132"/>
      <c r="BE631" s="132"/>
      <c r="BF631" s="132"/>
    </row>
    <row r="632" customFormat="false" ht="11.25" hidden="false" customHeight="true" outlineLevel="0" collapsed="false">
      <c r="A632" s="113" t="s">
        <v>1026</v>
      </c>
      <c r="E632" s="80"/>
      <c r="F632" s="810"/>
      <c r="G632" s="138" t="s">
        <v>103</v>
      </c>
      <c r="H632" s="811" t="s">
        <v>163</v>
      </c>
      <c r="I632" s="831"/>
      <c r="J632" s="335"/>
      <c r="K632" s="333" t="s">
        <v>1103</v>
      </c>
      <c r="L632" s="204" t="s">
        <v>19</v>
      </c>
      <c r="M632" s="198"/>
      <c r="N632" s="832"/>
      <c r="O632" s="833" t="s">
        <v>389</v>
      </c>
      <c r="P632" s="834"/>
      <c r="Q632" s="834"/>
      <c r="R632" s="834"/>
      <c r="S632" s="834"/>
      <c r="T632" s="834"/>
      <c r="U632" s="834"/>
      <c r="V632" s="834"/>
      <c r="W632" s="834"/>
      <c r="X632" s="834"/>
      <c r="Y632" s="834"/>
      <c r="Z632" s="834"/>
      <c r="AA632" s="834"/>
      <c r="AB632" s="834"/>
      <c r="AC632" s="834"/>
      <c r="AD632" s="834"/>
      <c r="AE632" s="834"/>
      <c r="AF632" s="835" t="n">
        <v>2021</v>
      </c>
      <c r="AG632" s="836" t="s">
        <v>1059</v>
      </c>
      <c r="AH632" s="836" t="s">
        <v>1104</v>
      </c>
      <c r="AI632" s="835" t="n">
        <v>2022</v>
      </c>
      <c r="AJ632" s="836" t="s">
        <v>1105</v>
      </c>
      <c r="AK632" s="836" t="s">
        <v>1096</v>
      </c>
      <c r="AL632" s="809"/>
      <c r="AM632" s="132"/>
      <c r="AN632" s="132"/>
      <c r="AO632" s="132"/>
      <c r="AP632" s="132"/>
      <c r="AQ632" s="132"/>
      <c r="AR632" s="132"/>
      <c r="AS632" s="132"/>
      <c r="AT632" s="132"/>
      <c r="AU632" s="132"/>
      <c r="AV632" s="132"/>
      <c r="AW632" s="132"/>
      <c r="AX632" s="132"/>
      <c r="AY632" s="132"/>
      <c r="AZ632" s="132"/>
      <c r="BA632" s="132"/>
      <c r="BB632" s="132"/>
      <c r="BC632" s="132"/>
      <c r="BD632" s="132"/>
      <c r="BE632" s="132"/>
      <c r="BF632" s="132"/>
    </row>
    <row r="633" customFormat="false" ht="11.25" hidden="false" customHeight="true" outlineLevel="0" collapsed="false">
      <c r="A633" s="113" t="s">
        <v>1026</v>
      </c>
      <c r="E633" s="80"/>
      <c r="F633" s="810"/>
      <c r="G633" s="138"/>
      <c r="H633" s="811" t="s">
        <v>122</v>
      </c>
      <c r="I633" s="831"/>
      <c r="J633" s="335"/>
      <c r="K633" s="333"/>
      <c r="L633" s="204"/>
      <c r="M633" s="198"/>
      <c r="N633" s="837"/>
      <c r="O633" s="838" t="n">
        <v>1</v>
      </c>
      <c r="P633" s="76" t="s">
        <v>61</v>
      </c>
      <c r="Q633" s="335" t="s">
        <v>1106</v>
      </c>
      <c r="R633" s="839" t="s">
        <v>1064</v>
      </c>
      <c r="S633" s="839" t="s">
        <v>106</v>
      </c>
      <c r="T633" s="839" t="s">
        <v>107</v>
      </c>
      <c r="U633" s="839" t="s">
        <v>108</v>
      </c>
      <c r="V633" s="839" t="s">
        <v>1107</v>
      </c>
      <c r="W633" s="839" t="s">
        <v>1108</v>
      </c>
      <c r="X633" s="839" t="s">
        <v>1109</v>
      </c>
      <c r="Y633" s="839" t="s">
        <v>1110</v>
      </c>
      <c r="Z633" s="840"/>
      <c r="AA633" s="841"/>
      <c r="AB633" s="841"/>
      <c r="AC633" s="842"/>
      <c r="AD633" s="842"/>
      <c r="AE633" s="843"/>
      <c r="AF633" s="835"/>
      <c r="AG633" s="836"/>
      <c r="AH633" s="836"/>
      <c r="AI633" s="835"/>
      <c r="AJ633" s="836"/>
      <c r="AK633" s="836"/>
      <c r="AL633" s="809"/>
      <c r="AM633" s="132"/>
      <c r="AN633" s="132"/>
      <c r="AO633" s="132"/>
      <c r="AP633" s="132"/>
      <c r="AQ633" s="132"/>
      <c r="AR633" s="132"/>
      <c r="AS633" s="132"/>
      <c r="AT633" s="132"/>
      <c r="AU633" s="132"/>
      <c r="AV633" s="132"/>
      <c r="AW633" s="132"/>
      <c r="AX633" s="132"/>
      <c r="AY633" s="132"/>
      <c r="AZ633" s="132"/>
      <c r="BA633" s="132"/>
      <c r="BB633" s="132"/>
      <c r="BC633" s="132"/>
      <c r="BD633" s="132"/>
      <c r="BE633" s="132"/>
      <c r="BF633" s="132"/>
    </row>
    <row r="634" customFormat="false" ht="11.25" hidden="false" customHeight="true" outlineLevel="0" collapsed="false">
      <c r="A634" s="113" t="s">
        <v>1026</v>
      </c>
      <c r="E634" s="80"/>
      <c r="F634" s="810"/>
      <c r="G634" s="138"/>
      <c r="H634" s="811" t="s">
        <v>122</v>
      </c>
      <c r="I634" s="831"/>
      <c r="J634" s="335"/>
      <c r="K634" s="333"/>
      <c r="L634" s="204"/>
      <c r="M634" s="198"/>
      <c r="N634" s="837"/>
      <c r="O634" s="838"/>
      <c r="P634" s="76"/>
      <c r="Q634" s="335"/>
      <c r="R634" s="839"/>
      <c r="S634" s="839"/>
      <c r="T634" s="839"/>
      <c r="U634" s="839"/>
      <c r="V634" s="839"/>
      <c r="W634" s="839"/>
      <c r="X634" s="839"/>
      <c r="Y634" s="839"/>
      <c r="Z634" s="844"/>
      <c r="AA634" s="845" t="n">
        <v>1</v>
      </c>
      <c r="AB634" s="846" t="s">
        <v>1069</v>
      </c>
      <c r="AC634" s="756" t="n">
        <v>924.182</v>
      </c>
      <c r="AD634" s="846" t="str">
        <f aca="false">AB634</f>
        <v>Прочие амортизационные отчисления</v>
      </c>
      <c r="AE634" s="756" t="n">
        <v>0</v>
      </c>
      <c r="AF634" s="835"/>
      <c r="AG634" s="836"/>
      <c r="AH634" s="836"/>
      <c r="AI634" s="835"/>
      <c r="AJ634" s="836"/>
      <c r="AK634" s="836"/>
      <c r="AL634" s="809"/>
      <c r="AM634" s="132"/>
      <c r="AN634" s="132"/>
      <c r="AO634" s="132"/>
      <c r="AP634" s="132"/>
      <c r="AQ634" s="132"/>
      <c r="AR634" s="132"/>
      <c r="AS634" s="132"/>
      <c r="AT634" s="132"/>
      <c r="AU634" s="132"/>
      <c r="AV634" s="132"/>
      <c r="AW634" s="132"/>
      <c r="AX634" s="132"/>
      <c r="AY634" s="132"/>
      <c r="AZ634" s="132"/>
      <c r="BA634" s="132"/>
      <c r="BB634" s="132"/>
      <c r="BC634" s="132"/>
      <c r="BD634" s="132"/>
      <c r="BE634" s="132"/>
      <c r="BF634" s="132"/>
    </row>
    <row r="635" customFormat="false" ht="11.25" hidden="false" customHeight="true" outlineLevel="0" collapsed="false">
      <c r="A635" s="113" t="s">
        <v>1026</v>
      </c>
      <c r="E635" s="80"/>
      <c r="F635" s="810"/>
      <c r="G635" s="138"/>
      <c r="H635" s="811" t="s">
        <v>122</v>
      </c>
      <c r="I635" s="831"/>
      <c r="J635" s="335"/>
      <c r="K635" s="333"/>
      <c r="L635" s="204"/>
      <c r="M635" s="198"/>
      <c r="N635" s="837"/>
      <c r="O635" s="838"/>
      <c r="P635" s="76"/>
      <c r="Q635" s="335"/>
      <c r="R635" s="839"/>
      <c r="S635" s="839"/>
      <c r="T635" s="839"/>
      <c r="U635" s="839"/>
      <c r="V635" s="839"/>
      <c r="W635" s="839"/>
      <c r="X635" s="839"/>
      <c r="Y635" s="839"/>
      <c r="Z635" s="840"/>
      <c r="AA635" s="841"/>
      <c r="AB635" s="161" t="s">
        <v>1071</v>
      </c>
      <c r="AC635" s="842"/>
      <c r="AD635" s="842"/>
      <c r="AE635" s="847"/>
      <c r="AF635" s="835"/>
      <c r="AG635" s="836"/>
      <c r="AH635" s="836"/>
      <c r="AI635" s="835"/>
      <c r="AJ635" s="836"/>
      <c r="AK635" s="836"/>
      <c r="AL635" s="809"/>
      <c r="AM635" s="132"/>
      <c r="AN635" s="132"/>
      <c r="AO635" s="132"/>
      <c r="AP635" s="132"/>
      <c r="AQ635" s="132"/>
      <c r="AR635" s="132"/>
      <c r="AS635" s="132"/>
      <c r="AT635" s="132"/>
      <c r="AU635" s="132"/>
      <c r="AV635" s="132"/>
      <c r="AW635" s="132"/>
      <c r="AX635" s="132"/>
      <c r="AY635" s="132"/>
      <c r="AZ635" s="132"/>
      <c r="BA635" s="132"/>
      <c r="BB635" s="132"/>
      <c r="BC635" s="132"/>
      <c r="BD635" s="132"/>
      <c r="BE635" s="132"/>
      <c r="BF635" s="132"/>
    </row>
    <row r="636" customFormat="false" ht="11.25" hidden="false" customHeight="true" outlineLevel="0" collapsed="false">
      <c r="A636" s="113" t="s">
        <v>1026</v>
      </c>
      <c r="E636" s="80"/>
      <c r="F636" s="810"/>
      <c r="G636" s="138"/>
      <c r="H636" s="811" t="s">
        <v>122</v>
      </c>
      <c r="I636" s="831"/>
      <c r="J636" s="335"/>
      <c r="K636" s="333"/>
      <c r="L636" s="204"/>
      <c r="M636" s="198"/>
      <c r="N636" s="840"/>
      <c r="O636" s="841"/>
      <c r="P636" s="161" t="s">
        <v>1072</v>
      </c>
      <c r="Q636" s="841"/>
      <c r="R636" s="841"/>
      <c r="S636" s="841"/>
      <c r="T636" s="841"/>
      <c r="U636" s="841"/>
      <c r="V636" s="841"/>
      <c r="W636" s="841"/>
      <c r="X636" s="841"/>
      <c r="Y636" s="841"/>
      <c r="Z636" s="841"/>
      <c r="AA636" s="841"/>
      <c r="AB636" s="841"/>
      <c r="AC636" s="841"/>
      <c r="AD636" s="841"/>
      <c r="AE636" s="848"/>
      <c r="AF636" s="835"/>
      <c r="AG636" s="836"/>
      <c r="AH636" s="836"/>
      <c r="AI636" s="835"/>
      <c r="AJ636" s="836"/>
      <c r="AK636" s="836"/>
      <c r="AL636" s="809"/>
      <c r="AM636" s="132"/>
      <c r="AN636" s="132"/>
      <c r="AO636" s="132"/>
      <c r="AP636" s="132"/>
      <c r="AQ636" s="132"/>
      <c r="AR636" s="132"/>
      <c r="AS636" s="132"/>
      <c r="AT636" s="132"/>
      <c r="AU636" s="132"/>
      <c r="AV636" s="132"/>
      <c r="AW636" s="132"/>
      <c r="AX636" s="132"/>
      <c r="AY636" s="132"/>
      <c r="AZ636" s="132"/>
      <c r="BA636" s="132"/>
      <c r="BB636" s="132"/>
      <c r="BC636" s="132"/>
      <c r="BD636" s="132"/>
      <c r="BE636" s="132"/>
      <c r="BF636" s="132"/>
    </row>
    <row r="637" customFormat="false" ht="11.25" hidden="false" customHeight="true" outlineLevel="0" collapsed="false">
      <c r="A637" s="113" t="s">
        <v>1026</v>
      </c>
      <c r="E637" s="80"/>
      <c r="F637" s="810"/>
      <c r="G637" s="138" t="s">
        <v>103</v>
      </c>
      <c r="H637" s="811" t="s">
        <v>164</v>
      </c>
      <c r="I637" s="831"/>
      <c r="J637" s="335"/>
      <c r="K637" s="333" t="s">
        <v>1112</v>
      </c>
      <c r="L637" s="204" t="s">
        <v>19</v>
      </c>
      <c r="M637" s="198"/>
      <c r="N637" s="832"/>
      <c r="O637" s="833" t="s">
        <v>389</v>
      </c>
      <c r="P637" s="834"/>
      <c r="Q637" s="834"/>
      <c r="R637" s="834"/>
      <c r="S637" s="834"/>
      <c r="T637" s="834"/>
      <c r="U637" s="834"/>
      <c r="V637" s="834"/>
      <c r="W637" s="834"/>
      <c r="X637" s="834"/>
      <c r="Y637" s="834"/>
      <c r="Z637" s="834"/>
      <c r="AA637" s="834"/>
      <c r="AB637" s="834"/>
      <c r="AC637" s="834"/>
      <c r="AD637" s="834"/>
      <c r="AE637" s="834"/>
      <c r="AF637" s="835" t="n">
        <v>2020</v>
      </c>
      <c r="AG637" s="836" t="s">
        <v>1059</v>
      </c>
      <c r="AH637" s="836" t="s">
        <v>1104</v>
      </c>
      <c r="AI637" s="835" t="n">
        <v>2021</v>
      </c>
      <c r="AJ637" s="836" t="s">
        <v>1113</v>
      </c>
      <c r="AK637" s="836" t="s">
        <v>1075</v>
      </c>
      <c r="AL637" s="809"/>
      <c r="AM637" s="132"/>
      <c r="AN637" s="132"/>
      <c r="AO637" s="132"/>
      <c r="AP637" s="132"/>
      <c r="AQ637" s="132"/>
      <c r="AR637" s="132"/>
      <c r="AS637" s="132"/>
      <c r="AT637" s="132"/>
      <c r="AU637" s="132"/>
      <c r="AV637" s="132"/>
      <c r="AW637" s="132"/>
      <c r="AX637" s="132"/>
      <c r="AY637" s="132"/>
      <c r="AZ637" s="132"/>
      <c r="BA637" s="132"/>
      <c r="BB637" s="132"/>
      <c r="BC637" s="132"/>
      <c r="BD637" s="132"/>
      <c r="BE637" s="132"/>
      <c r="BF637" s="132"/>
    </row>
    <row r="638" customFormat="false" ht="11.25" hidden="false" customHeight="true" outlineLevel="0" collapsed="false">
      <c r="A638" s="113" t="s">
        <v>1026</v>
      </c>
      <c r="E638" s="80"/>
      <c r="F638" s="810"/>
      <c r="G638" s="138"/>
      <c r="H638" s="811" t="s">
        <v>163</v>
      </c>
      <c r="I638" s="831"/>
      <c r="J638" s="335"/>
      <c r="K638" s="333"/>
      <c r="L638" s="204"/>
      <c r="M638" s="198"/>
      <c r="N638" s="837"/>
      <c r="O638" s="838" t="n">
        <v>1</v>
      </c>
      <c r="P638" s="76" t="s">
        <v>61</v>
      </c>
      <c r="Q638" s="335" t="s">
        <v>1106</v>
      </c>
      <c r="R638" s="839" t="s">
        <v>1064</v>
      </c>
      <c r="S638" s="839" t="s">
        <v>106</v>
      </c>
      <c r="T638" s="839" t="s">
        <v>107</v>
      </c>
      <c r="U638" s="839" t="s">
        <v>108</v>
      </c>
      <c r="V638" s="839" t="s">
        <v>1107</v>
      </c>
      <c r="W638" s="839" t="s">
        <v>1108</v>
      </c>
      <c r="X638" s="839" t="s">
        <v>1109</v>
      </c>
      <c r="Y638" s="839" t="s">
        <v>1110</v>
      </c>
      <c r="Z638" s="840"/>
      <c r="AA638" s="841"/>
      <c r="AB638" s="841"/>
      <c r="AC638" s="842"/>
      <c r="AD638" s="842"/>
      <c r="AE638" s="843"/>
      <c r="AF638" s="835"/>
      <c r="AG638" s="836"/>
      <c r="AH638" s="836"/>
      <c r="AI638" s="835"/>
      <c r="AJ638" s="836"/>
      <c r="AK638" s="836"/>
      <c r="AL638" s="809"/>
      <c r="AM638" s="132"/>
      <c r="AN638" s="132"/>
      <c r="AO638" s="132"/>
      <c r="AP638" s="132"/>
      <c r="AQ638" s="132"/>
      <c r="AR638" s="132"/>
      <c r="AS638" s="132"/>
      <c r="AT638" s="132"/>
      <c r="AU638" s="132"/>
      <c r="AV638" s="132"/>
      <c r="AW638" s="132"/>
      <c r="AX638" s="132"/>
      <c r="AY638" s="132"/>
      <c r="AZ638" s="132"/>
      <c r="BA638" s="132"/>
      <c r="BB638" s="132"/>
      <c r="BC638" s="132"/>
      <c r="BD638" s="132"/>
      <c r="BE638" s="132"/>
      <c r="BF638" s="132"/>
    </row>
    <row r="639" customFormat="false" ht="11.25" hidden="false" customHeight="true" outlineLevel="0" collapsed="false">
      <c r="A639" s="113" t="s">
        <v>1026</v>
      </c>
      <c r="E639" s="80"/>
      <c r="F639" s="810"/>
      <c r="G639" s="138"/>
      <c r="H639" s="811" t="s">
        <v>163</v>
      </c>
      <c r="I639" s="831"/>
      <c r="J639" s="335"/>
      <c r="K639" s="333"/>
      <c r="L639" s="204"/>
      <c r="M639" s="198"/>
      <c r="N639" s="837"/>
      <c r="O639" s="838"/>
      <c r="P639" s="76"/>
      <c r="Q639" s="335"/>
      <c r="R639" s="839"/>
      <c r="S639" s="839"/>
      <c r="T639" s="839"/>
      <c r="U639" s="839"/>
      <c r="V639" s="839"/>
      <c r="W639" s="839"/>
      <c r="X639" s="839"/>
      <c r="Y639" s="839"/>
      <c r="Z639" s="844"/>
      <c r="AA639" s="845" t="n">
        <v>1</v>
      </c>
      <c r="AB639" s="846" t="s">
        <v>1070</v>
      </c>
      <c r="AC639" s="756" t="n">
        <v>2603.09</v>
      </c>
      <c r="AD639" s="846" t="str">
        <f aca="false">AB639</f>
        <v>Прибыль направляемая на инвестиции</v>
      </c>
      <c r="AE639" s="756" t="n">
        <v>0</v>
      </c>
      <c r="AF639" s="835"/>
      <c r="AG639" s="836"/>
      <c r="AH639" s="836"/>
      <c r="AI639" s="835"/>
      <c r="AJ639" s="836"/>
      <c r="AK639" s="836"/>
      <c r="AL639" s="809"/>
      <c r="AM639" s="132"/>
      <c r="AN639" s="132"/>
      <c r="AO639" s="132"/>
      <c r="AP639" s="132"/>
      <c r="AQ639" s="132"/>
      <c r="AR639" s="132"/>
      <c r="AS639" s="132"/>
      <c r="AT639" s="132"/>
      <c r="AU639" s="132"/>
      <c r="AV639" s="132"/>
      <c r="AW639" s="132"/>
      <c r="AX639" s="132"/>
      <c r="AY639" s="132"/>
      <c r="AZ639" s="132"/>
      <c r="BA639" s="132"/>
      <c r="BB639" s="132"/>
      <c r="BC639" s="132"/>
      <c r="BD639" s="132"/>
      <c r="BE639" s="132"/>
      <c r="BF639" s="132"/>
    </row>
    <row r="640" customFormat="false" ht="11.25" hidden="false" customHeight="true" outlineLevel="0" collapsed="false">
      <c r="A640" s="113" t="s">
        <v>1026</v>
      </c>
      <c r="E640" s="80"/>
      <c r="F640" s="810"/>
      <c r="G640" s="138"/>
      <c r="H640" s="811" t="s">
        <v>163</v>
      </c>
      <c r="I640" s="831"/>
      <c r="J640" s="335"/>
      <c r="K640" s="333"/>
      <c r="L640" s="204"/>
      <c r="M640" s="198"/>
      <c r="N640" s="837"/>
      <c r="O640" s="838"/>
      <c r="P640" s="76"/>
      <c r="Q640" s="335"/>
      <c r="R640" s="839"/>
      <c r="S640" s="839"/>
      <c r="T640" s="839"/>
      <c r="U640" s="839"/>
      <c r="V640" s="839"/>
      <c r="W640" s="839"/>
      <c r="X640" s="839"/>
      <c r="Y640" s="839"/>
      <c r="Z640" s="840"/>
      <c r="AA640" s="841"/>
      <c r="AB640" s="161" t="s">
        <v>1071</v>
      </c>
      <c r="AC640" s="842"/>
      <c r="AD640" s="842"/>
      <c r="AE640" s="847"/>
      <c r="AF640" s="835"/>
      <c r="AG640" s="836"/>
      <c r="AH640" s="836"/>
      <c r="AI640" s="835"/>
      <c r="AJ640" s="836"/>
      <c r="AK640" s="836"/>
      <c r="AL640" s="809"/>
      <c r="AM640" s="132"/>
      <c r="AN640" s="132"/>
      <c r="AO640" s="132"/>
      <c r="AP640" s="132"/>
      <c r="AQ640" s="132"/>
      <c r="AR640" s="132"/>
      <c r="AS640" s="132"/>
      <c r="AT640" s="132"/>
      <c r="AU640" s="132"/>
      <c r="AV640" s="132"/>
      <c r="AW640" s="132"/>
      <c r="AX640" s="132"/>
      <c r="AY640" s="132"/>
      <c r="AZ640" s="132"/>
      <c r="BA640" s="132"/>
      <c r="BB640" s="132"/>
      <c r="BC640" s="132"/>
      <c r="BD640" s="132"/>
      <c r="BE640" s="132"/>
      <c r="BF640" s="132"/>
    </row>
    <row r="641" customFormat="false" ht="11.25" hidden="false" customHeight="true" outlineLevel="0" collapsed="false">
      <c r="A641" s="113" t="s">
        <v>1026</v>
      </c>
      <c r="E641" s="80"/>
      <c r="F641" s="810"/>
      <c r="G641" s="138"/>
      <c r="H641" s="811" t="s">
        <v>163</v>
      </c>
      <c r="I641" s="831"/>
      <c r="J641" s="335"/>
      <c r="K641" s="333"/>
      <c r="L641" s="204"/>
      <c r="M641" s="198"/>
      <c r="N641" s="840"/>
      <c r="O641" s="841"/>
      <c r="P641" s="161" t="s">
        <v>1072</v>
      </c>
      <c r="Q641" s="841"/>
      <c r="R641" s="841"/>
      <c r="S641" s="841"/>
      <c r="T641" s="841"/>
      <c r="U641" s="841"/>
      <c r="V641" s="841"/>
      <c r="W641" s="841"/>
      <c r="X641" s="841"/>
      <c r="Y641" s="841"/>
      <c r="Z641" s="841"/>
      <c r="AA641" s="841"/>
      <c r="AB641" s="841"/>
      <c r="AC641" s="841"/>
      <c r="AD641" s="841"/>
      <c r="AE641" s="848"/>
      <c r="AF641" s="835"/>
      <c r="AG641" s="836"/>
      <c r="AH641" s="836"/>
      <c r="AI641" s="835"/>
      <c r="AJ641" s="836"/>
      <c r="AK641" s="836"/>
      <c r="AL641" s="809"/>
      <c r="AM641" s="132"/>
      <c r="AN641" s="132"/>
      <c r="AO641" s="132"/>
      <c r="AP641" s="132"/>
      <c r="AQ641" s="132"/>
      <c r="AR641" s="132"/>
      <c r="AS641" s="132"/>
      <c r="AT641" s="132"/>
      <c r="AU641" s="132"/>
      <c r="AV641" s="132"/>
      <c r="AW641" s="132"/>
      <c r="AX641" s="132"/>
      <c r="AY641" s="132"/>
      <c r="AZ641" s="132"/>
      <c r="BA641" s="132"/>
      <c r="BB641" s="132"/>
      <c r="BC641" s="132"/>
      <c r="BD641" s="132"/>
      <c r="BE641" s="132"/>
      <c r="BF641" s="132"/>
    </row>
    <row r="642" customFormat="false" ht="11.25" hidden="false" customHeight="true" outlineLevel="0" collapsed="false">
      <c r="A642" s="113" t="s">
        <v>1026</v>
      </c>
      <c r="E642" s="80"/>
      <c r="F642" s="810"/>
      <c r="G642" s="138" t="s">
        <v>103</v>
      </c>
      <c r="H642" s="811" t="s">
        <v>165</v>
      </c>
      <c r="I642" s="831"/>
      <c r="J642" s="335"/>
      <c r="K642" s="333" t="s">
        <v>1115</v>
      </c>
      <c r="L642" s="204" t="s">
        <v>19</v>
      </c>
      <c r="M642" s="198"/>
      <c r="N642" s="832"/>
      <c r="O642" s="833" t="s">
        <v>389</v>
      </c>
      <c r="P642" s="834"/>
      <c r="Q642" s="834"/>
      <c r="R642" s="834"/>
      <c r="S642" s="834"/>
      <c r="T642" s="834"/>
      <c r="U642" s="834"/>
      <c r="V642" s="834"/>
      <c r="W642" s="834"/>
      <c r="X642" s="834"/>
      <c r="Y642" s="834"/>
      <c r="Z642" s="834"/>
      <c r="AA642" s="834"/>
      <c r="AB642" s="834"/>
      <c r="AC642" s="834"/>
      <c r="AD642" s="834"/>
      <c r="AE642" s="834"/>
      <c r="AF642" s="835" t="n">
        <v>2019</v>
      </c>
      <c r="AG642" s="836" t="s">
        <v>1059</v>
      </c>
      <c r="AH642" s="836" t="s">
        <v>1104</v>
      </c>
      <c r="AI642" s="835" t="n">
        <v>2019</v>
      </c>
      <c r="AJ642" s="836" t="s">
        <v>1059</v>
      </c>
      <c r="AK642" s="836" t="s">
        <v>1062</v>
      </c>
      <c r="AL642" s="809"/>
      <c r="AM642" s="132"/>
      <c r="AN642" s="132"/>
      <c r="AO642" s="132"/>
      <c r="AP642" s="132"/>
      <c r="AQ642" s="132"/>
      <c r="AR642" s="132"/>
      <c r="AS642" s="132"/>
      <c r="AT642" s="132"/>
      <c r="AU642" s="132"/>
      <c r="AV642" s="132"/>
      <c r="AW642" s="132"/>
      <c r="AX642" s="132"/>
      <c r="AY642" s="132"/>
      <c r="AZ642" s="132"/>
      <c r="BA642" s="132"/>
      <c r="BB642" s="132"/>
      <c r="BC642" s="132"/>
      <c r="BD642" s="132"/>
      <c r="BE642" s="132"/>
      <c r="BF642" s="132"/>
    </row>
    <row r="643" customFormat="false" ht="11.25" hidden="false" customHeight="true" outlineLevel="0" collapsed="false">
      <c r="A643" s="113" t="s">
        <v>1026</v>
      </c>
      <c r="E643" s="80"/>
      <c r="F643" s="810"/>
      <c r="G643" s="138"/>
      <c r="H643" s="811" t="s">
        <v>164</v>
      </c>
      <c r="I643" s="831"/>
      <c r="J643" s="335"/>
      <c r="K643" s="333"/>
      <c r="L643" s="204"/>
      <c r="M643" s="198"/>
      <c r="N643" s="837"/>
      <c r="O643" s="838" t="n">
        <v>1</v>
      </c>
      <c r="P643" s="76" t="s">
        <v>61</v>
      </c>
      <c r="Q643" s="335" t="s">
        <v>1106</v>
      </c>
      <c r="R643" s="839" t="s">
        <v>1064</v>
      </c>
      <c r="S643" s="839" t="s">
        <v>106</v>
      </c>
      <c r="T643" s="839" t="s">
        <v>107</v>
      </c>
      <c r="U643" s="839" t="s">
        <v>108</v>
      </c>
      <c r="V643" s="839" t="s">
        <v>1107</v>
      </c>
      <c r="W643" s="839" t="s">
        <v>1108</v>
      </c>
      <c r="X643" s="839" t="s">
        <v>1109</v>
      </c>
      <c r="Y643" s="839" t="s">
        <v>1110</v>
      </c>
      <c r="Z643" s="840"/>
      <c r="AA643" s="841"/>
      <c r="AB643" s="841"/>
      <c r="AC643" s="842"/>
      <c r="AD643" s="842"/>
      <c r="AE643" s="843"/>
      <c r="AF643" s="835"/>
      <c r="AG643" s="836"/>
      <c r="AH643" s="836"/>
      <c r="AI643" s="835"/>
      <c r="AJ643" s="836"/>
      <c r="AK643" s="836"/>
      <c r="AL643" s="809"/>
      <c r="AM643" s="132"/>
      <c r="AN643" s="132"/>
      <c r="AO643" s="132"/>
      <c r="AP643" s="132"/>
      <c r="AQ643" s="132"/>
      <c r="AR643" s="132"/>
      <c r="AS643" s="132"/>
      <c r="AT643" s="132"/>
      <c r="AU643" s="132"/>
      <c r="AV643" s="132"/>
      <c r="AW643" s="132"/>
      <c r="AX643" s="132"/>
      <c r="AY643" s="132"/>
      <c r="AZ643" s="132"/>
      <c r="BA643" s="132"/>
      <c r="BB643" s="132"/>
      <c r="BC643" s="132"/>
      <c r="BD643" s="132"/>
      <c r="BE643" s="132"/>
      <c r="BF643" s="132"/>
    </row>
    <row r="644" customFormat="false" ht="11.25" hidden="false" customHeight="true" outlineLevel="0" collapsed="false">
      <c r="A644" s="113" t="s">
        <v>1026</v>
      </c>
      <c r="E644" s="80"/>
      <c r="F644" s="810"/>
      <c r="G644" s="138"/>
      <c r="H644" s="811" t="s">
        <v>164</v>
      </c>
      <c r="I644" s="831"/>
      <c r="J644" s="335"/>
      <c r="K644" s="333"/>
      <c r="L644" s="204"/>
      <c r="M644" s="198"/>
      <c r="N644" s="837"/>
      <c r="O644" s="838"/>
      <c r="P644" s="76"/>
      <c r="Q644" s="335"/>
      <c r="R644" s="839"/>
      <c r="S644" s="839"/>
      <c r="T644" s="839"/>
      <c r="U644" s="839"/>
      <c r="V644" s="839"/>
      <c r="W644" s="839"/>
      <c r="X644" s="839"/>
      <c r="Y644" s="839"/>
      <c r="Z644" s="844"/>
      <c r="AA644" s="845" t="n">
        <v>1</v>
      </c>
      <c r="AB644" s="846" t="s">
        <v>1069</v>
      </c>
      <c r="AC644" s="756" t="n">
        <v>1041.463</v>
      </c>
      <c r="AD644" s="846" t="str">
        <f aca="false">AB644</f>
        <v>Прочие амортизационные отчисления</v>
      </c>
      <c r="AE644" s="756" t="n">
        <v>0</v>
      </c>
      <c r="AF644" s="835"/>
      <c r="AG644" s="836"/>
      <c r="AH644" s="836"/>
      <c r="AI644" s="835"/>
      <c r="AJ644" s="836"/>
      <c r="AK644" s="836"/>
      <c r="AL644" s="809"/>
      <c r="AM644" s="132"/>
      <c r="AN644" s="132"/>
      <c r="AO644" s="132"/>
      <c r="AP644" s="132"/>
      <c r="AQ644" s="132"/>
      <c r="AR644" s="132"/>
      <c r="AS644" s="132"/>
      <c r="AT644" s="132"/>
      <c r="AU644" s="132"/>
      <c r="AV644" s="132"/>
      <c r="AW644" s="132"/>
      <c r="AX644" s="132"/>
      <c r="AY644" s="132"/>
      <c r="AZ644" s="132"/>
      <c r="BA644" s="132"/>
      <c r="BB644" s="132"/>
      <c r="BC644" s="132"/>
      <c r="BD644" s="132"/>
      <c r="BE644" s="132"/>
      <c r="BF644" s="132"/>
    </row>
    <row r="645" customFormat="false" ht="11.25" hidden="false" customHeight="true" outlineLevel="0" collapsed="false">
      <c r="A645" s="113" t="s">
        <v>1026</v>
      </c>
      <c r="E645" s="80"/>
      <c r="F645" s="810"/>
      <c r="G645" s="810"/>
      <c r="H645" s="810"/>
      <c r="I645" s="831"/>
      <c r="J645" s="335"/>
      <c r="K645" s="333"/>
      <c r="L645" s="204"/>
      <c r="M645" s="204"/>
      <c r="N645" s="204"/>
      <c r="O645" s="204"/>
      <c r="P645" s="204"/>
      <c r="Q645" s="204"/>
      <c r="R645" s="204"/>
      <c r="S645" s="204"/>
      <c r="T645" s="204"/>
      <c r="U645" s="204"/>
      <c r="V645" s="204"/>
      <c r="W645" s="204"/>
      <c r="X645" s="204"/>
      <c r="Y645" s="204"/>
      <c r="Z645" s="138" t="s">
        <v>103</v>
      </c>
      <c r="AA645" s="838" t="s">
        <v>102</v>
      </c>
      <c r="AB645" s="846" t="s">
        <v>1070</v>
      </c>
      <c r="AC645" s="756" t="n">
        <v>67.07</v>
      </c>
      <c r="AD645" s="846" t="str">
        <f aca="false">AB645</f>
        <v>Прибыль направляемая на инвестиции</v>
      </c>
      <c r="AE645" s="756" t="n">
        <v>0</v>
      </c>
      <c r="AF645" s="835"/>
      <c r="AG645" s="836"/>
      <c r="AH645" s="836"/>
      <c r="AI645" s="835"/>
      <c r="AJ645" s="836"/>
      <c r="AK645" s="836"/>
      <c r="AL645" s="809"/>
      <c r="AM645" s="132"/>
      <c r="AN645" s="132"/>
      <c r="AO645" s="132"/>
      <c r="AP645" s="132"/>
      <c r="AQ645" s="132"/>
      <c r="AR645" s="132"/>
      <c r="AS645" s="132"/>
      <c r="AT645" s="132"/>
      <c r="AU645" s="132"/>
      <c r="AV645" s="132"/>
      <c r="AW645" s="132"/>
      <c r="AX645" s="132"/>
      <c r="AY645" s="132"/>
      <c r="AZ645" s="132"/>
      <c r="BA645" s="132"/>
      <c r="BB645" s="132"/>
      <c r="BC645" s="132"/>
      <c r="BD645" s="132"/>
      <c r="BE645" s="132"/>
      <c r="BF645" s="132"/>
    </row>
    <row r="646" customFormat="false" ht="11.25" hidden="false" customHeight="true" outlineLevel="0" collapsed="false">
      <c r="A646" s="113" t="s">
        <v>1026</v>
      </c>
      <c r="E646" s="80"/>
      <c r="F646" s="810"/>
      <c r="G646" s="138"/>
      <c r="H646" s="811" t="s">
        <v>164</v>
      </c>
      <c r="I646" s="831"/>
      <c r="J646" s="335"/>
      <c r="K646" s="333"/>
      <c r="L646" s="204"/>
      <c r="M646" s="198"/>
      <c r="N646" s="837"/>
      <c r="O646" s="838"/>
      <c r="P646" s="76"/>
      <c r="Q646" s="335"/>
      <c r="R646" s="839"/>
      <c r="S646" s="839"/>
      <c r="T646" s="839"/>
      <c r="U646" s="839"/>
      <c r="V646" s="839"/>
      <c r="W646" s="839"/>
      <c r="X646" s="839"/>
      <c r="Y646" s="839"/>
      <c r="Z646" s="840"/>
      <c r="AA646" s="841"/>
      <c r="AB646" s="161" t="s">
        <v>1071</v>
      </c>
      <c r="AC646" s="842"/>
      <c r="AD646" s="842"/>
      <c r="AE646" s="847"/>
      <c r="AF646" s="835"/>
      <c r="AG646" s="836"/>
      <c r="AH646" s="836"/>
      <c r="AI646" s="835"/>
      <c r="AJ646" s="836"/>
      <c r="AK646" s="836"/>
      <c r="AL646" s="809"/>
      <c r="AM646" s="132"/>
      <c r="AN646" s="132"/>
      <c r="AO646" s="132"/>
      <c r="AP646" s="132"/>
      <c r="AQ646" s="132"/>
      <c r="AR646" s="132"/>
      <c r="AS646" s="132"/>
      <c r="AT646" s="132"/>
      <c r="AU646" s="132"/>
      <c r="AV646" s="132"/>
      <c r="AW646" s="132"/>
      <c r="AX646" s="132"/>
      <c r="AY646" s="132"/>
      <c r="AZ646" s="132"/>
      <c r="BA646" s="132"/>
      <c r="BB646" s="132"/>
      <c r="BC646" s="132"/>
      <c r="BD646" s="132"/>
      <c r="BE646" s="132"/>
      <c r="BF646" s="132"/>
    </row>
    <row r="647" customFormat="false" ht="11.25" hidden="false" customHeight="true" outlineLevel="0" collapsed="false">
      <c r="A647" s="113" t="s">
        <v>1026</v>
      </c>
      <c r="E647" s="80"/>
      <c r="F647" s="810"/>
      <c r="G647" s="138"/>
      <c r="H647" s="811" t="s">
        <v>164</v>
      </c>
      <c r="I647" s="831"/>
      <c r="J647" s="335"/>
      <c r="K647" s="333"/>
      <c r="L647" s="204"/>
      <c r="M647" s="198"/>
      <c r="N647" s="840"/>
      <c r="O647" s="841"/>
      <c r="P647" s="161" t="s">
        <v>1072</v>
      </c>
      <c r="Q647" s="841"/>
      <c r="R647" s="841"/>
      <c r="S647" s="841"/>
      <c r="T647" s="841"/>
      <c r="U647" s="841"/>
      <c r="V647" s="841"/>
      <c r="W647" s="841"/>
      <c r="X647" s="841"/>
      <c r="Y647" s="841"/>
      <c r="Z647" s="841"/>
      <c r="AA647" s="841"/>
      <c r="AB647" s="841"/>
      <c r="AC647" s="841"/>
      <c r="AD647" s="841"/>
      <c r="AE647" s="848"/>
      <c r="AF647" s="835"/>
      <c r="AG647" s="836"/>
      <c r="AH647" s="836"/>
      <c r="AI647" s="835"/>
      <c r="AJ647" s="836"/>
      <c r="AK647" s="836"/>
      <c r="AL647" s="809"/>
      <c r="AM647" s="132"/>
      <c r="AN647" s="132"/>
      <c r="AO647" s="132"/>
      <c r="AP647" s="132"/>
      <c r="AQ647" s="132"/>
      <c r="AR647" s="132"/>
      <c r="AS647" s="132"/>
      <c r="AT647" s="132"/>
      <c r="AU647" s="132"/>
      <c r="AV647" s="132"/>
      <c r="AW647" s="132"/>
      <c r="AX647" s="132"/>
      <c r="AY647" s="132"/>
      <c r="AZ647" s="132"/>
      <c r="BA647" s="132"/>
      <c r="BB647" s="132"/>
      <c r="BC647" s="132"/>
      <c r="BD647" s="132"/>
      <c r="BE647" s="132"/>
      <c r="BF647" s="132"/>
    </row>
    <row r="648" customFormat="false" ht="11.25" hidden="false" customHeight="true" outlineLevel="0" collapsed="false">
      <c r="A648" s="113" t="s">
        <v>1026</v>
      </c>
      <c r="E648" s="80"/>
      <c r="F648" s="810"/>
      <c r="G648" s="138" t="s">
        <v>103</v>
      </c>
      <c r="H648" s="811" t="s">
        <v>166</v>
      </c>
      <c r="I648" s="831"/>
      <c r="J648" s="335"/>
      <c r="K648" s="333" t="s">
        <v>1176</v>
      </c>
      <c r="L648" s="204" t="s">
        <v>19</v>
      </c>
      <c r="M648" s="198"/>
      <c r="N648" s="832"/>
      <c r="O648" s="833" t="s">
        <v>389</v>
      </c>
      <c r="P648" s="834"/>
      <c r="Q648" s="834"/>
      <c r="R648" s="834"/>
      <c r="S648" s="834"/>
      <c r="T648" s="834"/>
      <c r="U648" s="834"/>
      <c r="V648" s="834"/>
      <c r="W648" s="834"/>
      <c r="X648" s="834"/>
      <c r="Y648" s="834"/>
      <c r="Z648" s="834"/>
      <c r="AA648" s="834"/>
      <c r="AB648" s="834"/>
      <c r="AC648" s="834"/>
      <c r="AD648" s="834"/>
      <c r="AE648" s="834"/>
      <c r="AF648" s="835" t="n">
        <v>2023</v>
      </c>
      <c r="AG648" s="836" t="s">
        <v>1059</v>
      </c>
      <c r="AH648" s="836" t="s">
        <v>1104</v>
      </c>
      <c r="AI648" s="835" t="n">
        <v>2023</v>
      </c>
      <c r="AJ648" s="836" t="s">
        <v>1059</v>
      </c>
      <c r="AK648" s="836" t="s">
        <v>1104</v>
      </c>
      <c r="AL648" s="809"/>
      <c r="AM648" s="132"/>
      <c r="AN648" s="132"/>
      <c r="AO648" s="132"/>
      <c r="AP648" s="132"/>
      <c r="AQ648" s="132"/>
      <c r="AR648" s="132"/>
      <c r="AS648" s="132"/>
      <c r="AT648" s="132"/>
      <c r="AU648" s="132"/>
      <c r="AV648" s="132"/>
      <c r="AW648" s="132"/>
      <c r="AX648" s="132"/>
      <c r="AY648" s="132"/>
      <c r="AZ648" s="132"/>
      <c r="BA648" s="132"/>
      <c r="BB648" s="132"/>
      <c r="BC648" s="132"/>
      <c r="BD648" s="132"/>
      <c r="BE648" s="132"/>
      <c r="BF648" s="132"/>
    </row>
    <row r="649" customFormat="false" ht="11.25" hidden="false" customHeight="true" outlineLevel="0" collapsed="false">
      <c r="A649" s="113" t="s">
        <v>1026</v>
      </c>
      <c r="E649" s="80"/>
      <c r="F649" s="810"/>
      <c r="G649" s="138"/>
      <c r="H649" s="811" t="s">
        <v>165</v>
      </c>
      <c r="I649" s="831"/>
      <c r="J649" s="335"/>
      <c r="K649" s="333"/>
      <c r="L649" s="204"/>
      <c r="M649" s="198"/>
      <c r="N649" s="837"/>
      <c r="O649" s="838" t="n">
        <v>1</v>
      </c>
      <c r="P649" s="76" t="s">
        <v>61</v>
      </c>
      <c r="Q649" s="335" t="s">
        <v>1118</v>
      </c>
      <c r="R649" s="839" t="s">
        <v>1119</v>
      </c>
      <c r="S649" s="839" t="s">
        <v>111</v>
      </c>
      <c r="T649" s="839" t="s">
        <v>112</v>
      </c>
      <c r="U649" s="839" t="s">
        <v>113</v>
      </c>
      <c r="V649" s="839" t="s">
        <v>1120</v>
      </c>
      <c r="W649" s="839" t="s">
        <v>1121</v>
      </c>
      <c r="X649" s="839" t="s">
        <v>1122</v>
      </c>
      <c r="Y649" s="839" t="s">
        <v>1123</v>
      </c>
      <c r="Z649" s="840"/>
      <c r="AA649" s="841"/>
      <c r="AB649" s="841"/>
      <c r="AC649" s="842"/>
      <c r="AD649" s="842"/>
      <c r="AE649" s="843"/>
      <c r="AF649" s="835"/>
      <c r="AG649" s="836"/>
      <c r="AH649" s="836"/>
      <c r="AI649" s="835"/>
      <c r="AJ649" s="836"/>
      <c r="AK649" s="836"/>
      <c r="AL649" s="809"/>
      <c r="AM649" s="132"/>
      <c r="AN649" s="132"/>
      <c r="AO649" s="132"/>
      <c r="AP649" s="132"/>
      <c r="AQ649" s="132"/>
      <c r="AR649" s="132"/>
      <c r="AS649" s="132"/>
      <c r="AT649" s="132"/>
      <c r="AU649" s="132"/>
      <c r="AV649" s="132"/>
      <c r="AW649" s="132"/>
      <c r="AX649" s="132"/>
      <c r="AY649" s="132"/>
      <c r="AZ649" s="132"/>
      <c r="BA649" s="132"/>
      <c r="BB649" s="132"/>
      <c r="BC649" s="132"/>
      <c r="BD649" s="132"/>
      <c r="BE649" s="132"/>
      <c r="BF649" s="132"/>
    </row>
    <row r="650" customFormat="false" ht="11.25" hidden="false" customHeight="true" outlineLevel="0" collapsed="false">
      <c r="A650" s="113" t="s">
        <v>1026</v>
      </c>
      <c r="E650" s="80"/>
      <c r="F650" s="810"/>
      <c r="G650" s="138"/>
      <c r="H650" s="811" t="s">
        <v>165</v>
      </c>
      <c r="I650" s="831"/>
      <c r="J650" s="335"/>
      <c r="K650" s="333"/>
      <c r="L650" s="204"/>
      <c r="M650" s="198"/>
      <c r="N650" s="837"/>
      <c r="O650" s="838"/>
      <c r="P650" s="76"/>
      <c r="Q650" s="335"/>
      <c r="R650" s="839"/>
      <c r="S650" s="839"/>
      <c r="T650" s="839"/>
      <c r="U650" s="839"/>
      <c r="V650" s="839"/>
      <c r="W650" s="839"/>
      <c r="X650" s="839"/>
      <c r="Y650" s="839"/>
      <c r="Z650" s="844"/>
      <c r="AA650" s="845" t="n">
        <v>1</v>
      </c>
      <c r="AB650" s="846" t="s">
        <v>1069</v>
      </c>
      <c r="AC650" s="756" t="n">
        <v>4287.001</v>
      </c>
      <c r="AD650" s="846" t="str">
        <f aca="false">AB650</f>
        <v>Прочие амортизационные отчисления</v>
      </c>
      <c r="AE650" s="756" t="n">
        <v>4783.366</v>
      </c>
      <c r="AF650" s="835"/>
      <c r="AG650" s="836"/>
      <c r="AH650" s="836"/>
      <c r="AI650" s="835"/>
      <c r="AJ650" s="836"/>
      <c r="AK650" s="836"/>
      <c r="AL650" s="809"/>
      <c r="AM650" s="132"/>
      <c r="AN650" s="132"/>
      <c r="AO650" s="132"/>
      <c r="AP650" s="132"/>
      <c r="AQ650" s="132"/>
      <c r="AR650" s="132"/>
      <c r="AS650" s="132"/>
      <c r="AT650" s="132"/>
      <c r="AU650" s="132"/>
      <c r="AV650" s="132"/>
      <c r="AW650" s="132"/>
      <c r="AX650" s="132"/>
      <c r="AY650" s="132"/>
      <c r="AZ650" s="132"/>
      <c r="BA650" s="132"/>
      <c r="BB650" s="132"/>
      <c r="BC650" s="132"/>
      <c r="BD650" s="132"/>
      <c r="BE650" s="132"/>
      <c r="BF650" s="132"/>
    </row>
    <row r="651" customFormat="false" ht="11.25" hidden="false" customHeight="true" outlineLevel="0" collapsed="false">
      <c r="A651" s="113" t="s">
        <v>1026</v>
      </c>
      <c r="E651" s="80"/>
      <c r="F651" s="810"/>
      <c r="G651" s="810"/>
      <c r="H651" s="810"/>
      <c r="I651" s="831"/>
      <c r="J651" s="335"/>
      <c r="K651" s="333"/>
      <c r="L651" s="204"/>
      <c r="M651" s="204"/>
      <c r="N651" s="204"/>
      <c r="O651" s="204"/>
      <c r="P651" s="204"/>
      <c r="Q651" s="204"/>
      <c r="R651" s="204"/>
      <c r="S651" s="204"/>
      <c r="T651" s="204"/>
      <c r="U651" s="204"/>
      <c r="V651" s="204"/>
      <c r="W651" s="204"/>
      <c r="X651" s="204"/>
      <c r="Y651" s="204"/>
      <c r="Z651" s="138" t="s">
        <v>103</v>
      </c>
      <c r="AA651" s="838" t="s">
        <v>102</v>
      </c>
      <c r="AB651" s="846" t="s">
        <v>1070</v>
      </c>
      <c r="AC651" s="756" t="n">
        <v>1105.7</v>
      </c>
      <c r="AD651" s="846" t="str">
        <f aca="false">AB651</f>
        <v>Прибыль направляемая на инвестиции</v>
      </c>
      <c r="AE651" s="756" t="n">
        <v>0</v>
      </c>
      <c r="AF651" s="835"/>
      <c r="AG651" s="836"/>
      <c r="AH651" s="836"/>
      <c r="AI651" s="835"/>
      <c r="AJ651" s="836"/>
      <c r="AK651" s="836"/>
      <c r="AL651" s="809"/>
      <c r="AM651" s="132"/>
      <c r="AN651" s="132"/>
      <c r="AO651" s="132"/>
      <c r="AP651" s="132"/>
      <c r="AQ651" s="132"/>
      <c r="AR651" s="132"/>
      <c r="AS651" s="132"/>
      <c r="AT651" s="132"/>
      <c r="AU651" s="132"/>
      <c r="AV651" s="132"/>
      <c r="AW651" s="132"/>
      <c r="AX651" s="132"/>
      <c r="AY651" s="132"/>
      <c r="AZ651" s="132"/>
      <c r="BA651" s="132"/>
      <c r="BB651" s="132"/>
      <c r="BC651" s="132"/>
      <c r="BD651" s="132"/>
      <c r="BE651" s="132"/>
      <c r="BF651" s="132"/>
    </row>
    <row r="652" customFormat="false" ht="11.25" hidden="false" customHeight="true" outlineLevel="0" collapsed="false">
      <c r="A652" s="113" t="s">
        <v>1026</v>
      </c>
      <c r="E652" s="80"/>
      <c r="F652" s="810"/>
      <c r="G652" s="138"/>
      <c r="H652" s="811" t="s">
        <v>165</v>
      </c>
      <c r="I652" s="831"/>
      <c r="J652" s="335"/>
      <c r="K652" s="333"/>
      <c r="L652" s="204"/>
      <c r="M652" s="198"/>
      <c r="N652" s="837"/>
      <c r="O652" s="838"/>
      <c r="P652" s="76"/>
      <c r="Q652" s="335"/>
      <c r="R652" s="839"/>
      <c r="S652" s="839"/>
      <c r="T652" s="839"/>
      <c r="U652" s="839"/>
      <c r="V652" s="839"/>
      <c r="W652" s="839"/>
      <c r="X652" s="839"/>
      <c r="Y652" s="839"/>
      <c r="Z652" s="840"/>
      <c r="AA652" s="841"/>
      <c r="AB652" s="161" t="s">
        <v>1071</v>
      </c>
      <c r="AC652" s="842"/>
      <c r="AD652" s="842"/>
      <c r="AE652" s="847"/>
      <c r="AF652" s="835"/>
      <c r="AG652" s="836"/>
      <c r="AH652" s="836"/>
      <c r="AI652" s="835"/>
      <c r="AJ652" s="836"/>
      <c r="AK652" s="836"/>
      <c r="AL652" s="809"/>
      <c r="AM652" s="132"/>
      <c r="AN652" s="132"/>
      <c r="AO652" s="132"/>
      <c r="AP652" s="132"/>
      <c r="AQ652" s="132"/>
      <c r="AR652" s="132"/>
      <c r="AS652" s="132"/>
      <c r="AT652" s="132"/>
      <c r="AU652" s="132"/>
      <c r="AV652" s="132"/>
      <c r="AW652" s="132"/>
      <c r="AX652" s="132"/>
      <c r="AY652" s="132"/>
      <c r="AZ652" s="132"/>
      <c r="BA652" s="132"/>
      <c r="BB652" s="132"/>
      <c r="BC652" s="132"/>
      <c r="BD652" s="132"/>
      <c r="BE652" s="132"/>
      <c r="BF652" s="132"/>
    </row>
    <row r="653" customFormat="false" ht="11.25" hidden="false" customHeight="true" outlineLevel="0" collapsed="false">
      <c r="A653" s="113" t="s">
        <v>1026</v>
      </c>
      <c r="E653" s="80"/>
      <c r="F653" s="810"/>
      <c r="G653" s="138"/>
      <c r="H653" s="811" t="s">
        <v>165</v>
      </c>
      <c r="I653" s="831"/>
      <c r="J653" s="335"/>
      <c r="K653" s="333"/>
      <c r="L653" s="204"/>
      <c r="M653" s="198"/>
      <c r="N653" s="840"/>
      <c r="O653" s="841"/>
      <c r="P653" s="161" t="s">
        <v>1072</v>
      </c>
      <c r="Q653" s="841"/>
      <c r="R653" s="841"/>
      <c r="S653" s="841"/>
      <c r="T653" s="841"/>
      <c r="U653" s="841"/>
      <c r="V653" s="841"/>
      <c r="W653" s="841"/>
      <c r="X653" s="841"/>
      <c r="Y653" s="841"/>
      <c r="Z653" s="841"/>
      <c r="AA653" s="841"/>
      <c r="AB653" s="841"/>
      <c r="AC653" s="841"/>
      <c r="AD653" s="841"/>
      <c r="AE653" s="848"/>
      <c r="AF653" s="835"/>
      <c r="AG653" s="836"/>
      <c r="AH653" s="836"/>
      <c r="AI653" s="835"/>
      <c r="AJ653" s="836"/>
      <c r="AK653" s="836"/>
      <c r="AL653" s="809"/>
      <c r="AM653" s="132"/>
      <c r="AN653" s="132"/>
      <c r="AO653" s="132"/>
      <c r="AP653" s="132"/>
      <c r="AQ653" s="132"/>
      <c r="AR653" s="132"/>
      <c r="AS653" s="132"/>
      <c r="AT653" s="132"/>
      <c r="AU653" s="132"/>
      <c r="AV653" s="132"/>
      <c r="AW653" s="132"/>
      <c r="AX653" s="132"/>
      <c r="AY653" s="132"/>
      <c r="AZ653" s="132"/>
      <c r="BA653" s="132"/>
      <c r="BB653" s="132"/>
      <c r="BC653" s="132"/>
      <c r="BD653" s="132"/>
      <c r="BE653" s="132"/>
      <c r="BF653" s="132"/>
    </row>
    <row r="654" customFormat="false" ht="11.25" hidden="false" customHeight="true" outlineLevel="0" collapsed="false">
      <c r="A654" s="113" t="s">
        <v>1026</v>
      </c>
      <c r="E654" s="80"/>
      <c r="F654" s="810"/>
      <c r="G654" s="138" t="s">
        <v>103</v>
      </c>
      <c r="H654" s="811" t="s">
        <v>167</v>
      </c>
      <c r="I654" s="831"/>
      <c r="J654" s="335"/>
      <c r="K654" s="333" t="s">
        <v>1181</v>
      </c>
      <c r="L654" s="204" t="s">
        <v>19</v>
      </c>
      <c r="M654" s="198"/>
      <c r="N654" s="832"/>
      <c r="O654" s="833" t="s">
        <v>389</v>
      </c>
      <c r="P654" s="834"/>
      <c r="Q654" s="834"/>
      <c r="R654" s="834"/>
      <c r="S654" s="834"/>
      <c r="T654" s="834"/>
      <c r="U654" s="834"/>
      <c r="V654" s="834"/>
      <c r="W654" s="834"/>
      <c r="X654" s="834"/>
      <c r="Y654" s="834"/>
      <c r="Z654" s="834"/>
      <c r="AA654" s="834"/>
      <c r="AB654" s="834"/>
      <c r="AC654" s="834"/>
      <c r="AD654" s="834"/>
      <c r="AE654" s="834"/>
      <c r="AF654" s="835" t="n">
        <v>2023</v>
      </c>
      <c r="AG654" s="836" t="s">
        <v>1059</v>
      </c>
      <c r="AH654" s="836" t="s">
        <v>1104</v>
      </c>
      <c r="AI654" s="835" t="n">
        <v>2023</v>
      </c>
      <c r="AJ654" s="836" t="s">
        <v>1086</v>
      </c>
      <c r="AK654" s="836" t="s">
        <v>1104</v>
      </c>
      <c r="AL654" s="809"/>
      <c r="AM654" s="132"/>
      <c r="AN654" s="132"/>
      <c r="AO654" s="132"/>
      <c r="AP654" s="132"/>
      <c r="AQ654" s="132"/>
      <c r="AR654" s="132"/>
      <c r="AS654" s="132"/>
      <c r="AT654" s="132"/>
      <c r="AU654" s="132"/>
      <c r="AV654" s="132"/>
      <c r="AW654" s="132"/>
      <c r="AX654" s="132"/>
      <c r="AY654" s="132"/>
      <c r="AZ654" s="132"/>
      <c r="BA654" s="132"/>
      <c r="BB654" s="132"/>
      <c r="BC654" s="132"/>
      <c r="BD654" s="132"/>
      <c r="BE654" s="132"/>
      <c r="BF654" s="132"/>
    </row>
    <row r="655" customFormat="false" ht="11.25" hidden="false" customHeight="true" outlineLevel="0" collapsed="false">
      <c r="A655" s="113" t="s">
        <v>1026</v>
      </c>
      <c r="E655" s="80"/>
      <c r="F655" s="810"/>
      <c r="G655" s="138"/>
      <c r="H655" s="811" t="s">
        <v>166</v>
      </c>
      <c r="I655" s="831"/>
      <c r="J655" s="335"/>
      <c r="K655" s="333"/>
      <c r="L655" s="204"/>
      <c r="M655" s="198"/>
      <c r="N655" s="837"/>
      <c r="O655" s="838" t="n">
        <v>1</v>
      </c>
      <c r="P655" s="76" t="s">
        <v>61</v>
      </c>
      <c r="Q655" s="335" t="s">
        <v>1118</v>
      </c>
      <c r="R655" s="839" t="s">
        <v>1119</v>
      </c>
      <c r="S655" s="839" t="s">
        <v>111</v>
      </c>
      <c r="T655" s="839" t="s">
        <v>112</v>
      </c>
      <c r="U655" s="839" t="s">
        <v>113</v>
      </c>
      <c r="V655" s="839" t="s">
        <v>1120</v>
      </c>
      <c r="W655" s="839" t="s">
        <v>1121</v>
      </c>
      <c r="X655" s="839" t="s">
        <v>1122</v>
      </c>
      <c r="Y655" s="839" t="s">
        <v>1123</v>
      </c>
      <c r="Z655" s="840"/>
      <c r="AA655" s="841"/>
      <c r="AB655" s="841"/>
      <c r="AC655" s="842"/>
      <c r="AD655" s="842"/>
      <c r="AE655" s="843"/>
      <c r="AF655" s="835"/>
      <c r="AG655" s="836"/>
      <c r="AH655" s="836"/>
      <c r="AI655" s="835"/>
      <c r="AJ655" s="836"/>
      <c r="AK655" s="836"/>
      <c r="AL655" s="809"/>
      <c r="AM655" s="132"/>
      <c r="AN655" s="132"/>
      <c r="AO655" s="132"/>
      <c r="AP655" s="132"/>
      <c r="AQ655" s="132"/>
      <c r="AR655" s="132"/>
      <c r="AS655" s="132"/>
      <c r="AT655" s="132"/>
      <c r="AU655" s="132"/>
      <c r="AV655" s="132"/>
      <c r="AW655" s="132"/>
      <c r="AX655" s="132"/>
      <c r="AY655" s="132"/>
      <c r="AZ655" s="132"/>
      <c r="BA655" s="132"/>
      <c r="BB655" s="132"/>
      <c r="BC655" s="132"/>
      <c r="BD655" s="132"/>
      <c r="BE655" s="132"/>
      <c r="BF655" s="132"/>
    </row>
    <row r="656" customFormat="false" ht="11.25" hidden="false" customHeight="true" outlineLevel="0" collapsed="false">
      <c r="A656" s="113" t="s">
        <v>1026</v>
      </c>
      <c r="E656" s="80"/>
      <c r="F656" s="810"/>
      <c r="G656" s="138"/>
      <c r="H656" s="811" t="s">
        <v>166</v>
      </c>
      <c r="I656" s="831"/>
      <c r="J656" s="335"/>
      <c r="K656" s="333"/>
      <c r="L656" s="204"/>
      <c r="M656" s="198"/>
      <c r="N656" s="837"/>
      <c r="O656" s="838"/>
      <c r="P656" s="76"/>
      <c r="Q656" s="335"/>
      <c r="R656" s="839"/>
      <c r="S656" s="839"/>
      <c r="T656" s="839"/>
      <c r="U656" s="839"/>
      <c r="V656" s="839"/>
      <c r="W656" s="839"/>
      <c r="X656" s="839"/>
      <c r="Y656" s="839"/>
      <c r="Z656" s="844"/>
      <c r="AA656" s="845" t="n">
        <v>1</v>
      </c>
      <c r="AB656" s="846" t="s">
        <v>1069</v>
      </c>
      <c r="AC656" s="756" t="n">
        <v>611.033</v>
      </c>
      <c r="AD656" s="846" t="str">
        <f aca="false">AB656</f>
        <v>Прочие амортизационные отчисления</v>
      </c>
      <c r="AE656" s="756" t="n">
        <v>512.357</v>
      </c>
      <c r="AF656" s="835"/>
      <c r="AG656" s="836"/>
      <c r="AH656" s="836"/>
      <c r="AI656" s="835"/>
      <c r="AJ656" s="836"/>
      <c r="AK656" s="836"/>
      <c r="AL656" s="809"/>
      <c r="AM656" s="132"/>
      <c r="AN656" s="132"/>
      <c r="AO656" s="132"/>
      <c r="AP656" s="132"/>
      <c r="AQ656" s="132"/>
      <c r="AR656" s="132"/>
      <c r="AS656" s="132"/>
      <c r="AT656" s="132"/>
      <c r="AU656" s="132"/>
      <c r="AV656" s="132"/>
      <c r="AW656" s="132"/>
      <c r="AX656" s="132"/>
      <c r="AY656" s="132"/>
      <c r="AZ656" s="132"/>
      <c r="BA656" s="132"/>
      <c r="BB656" s="132"/>
      <c r="BC656" s="132"/>
      <c r="BD656" s="132"/>
      <c r="BE656" s="132"/>
      <c r="BF656" s="132"/>
    </row>
    <row r="657" customFormat="false" ht="11.25" hidden="false" customHeight="true" outlineLevel="0" collapsed="false">
      <c r="A657" s="113" t="s">
        <v>1026</v>
      </c>
      <c r="E657" s="80"/>
      <c r="F657" s="810"/>
      <c r="G657" s="138"/>
      <c r="H657" s="811" t="s">
        <v>166</v>
      </c>
      <c r="I657" s="831"/>
      <c r="J657" s="335"/>
      <c r="K657" s="333"/>
      <c r="L657" s="204"/>
      <c r="M657" s="198"/>
      <c r="N657" s="837"/>
      <c r="O657" s="838"/>
      <c r="P657" s="76"/>
      <c r="Q657" s="335"/>
      <c r="R657" s="839"/>
      <c r="S657" s="839"/>
      <c r="T657" s="839"/>
      <c r="U657" s="839"/>
      <c r="V657" s="839"/>
      <c r="W657" s="839"/>
      <c r="X657" s="839"/>
      <c r="Y657" s="839"/>
      <c r="Z657" s="840"/>
      <c r="AA657" s="841"/>
      <c r="AB657" s="161" t="s">
        <v>1071</v>
      </c>
      <c r="AC657" s="842"/>
      <c r="AD657" s="842"/>
      <c r="AE657" s="847"/>
      <c r="AF657" s="835"/>
      <c r="AG657" s="836"/>
      <c r="AH657" s="836"/>
      <c r="AI657" s="835"/>
      <c r="AJ657" s="836"/>
      <c r="AK657" s="836"/>
      <c r="AL657" s="809"/>
      <c r="AM657" s="132"/>
      <c r="AN657" s="132"/>
      <c r="AO657" s="132"/>
      <c r="AP657" s="132"/>
      <c r="AQ657" s="132"/>
      <c r="AR657" s="132"/>
      <c r="AS657" s="132"/>
      <c r="AT657" s="132"/>
      <c r="AU657" s="132"/>
      <c r="AV657" s="132"/>
      <c r="AW657" s="132"/>
      <c r="AX657" s="132"/>
      <c r="AY657" s="132"/>
      <c r="AZ657" s="132"/>
      <c r="BA657" s="132"/>
      <c r="BB657" s="132"/>
      <c r="BC657" s="132"/>
      <c r="BD657" s="132"/>
      <c r="BE657" s="132"/>
      <c r="BF657" s="132"/>
    </row>
    <row r="658" customFormat="false" ht="11.25" hidden="false" customHeight="true" outlineLevel="0" collapsed="false">
      <c r="A658" s="113" t="s">
        <v>1026</v>
      </c>
      <c r="E658" s="80"/>
      <c r="F658" s="810"/>
      <c r="G658" s="138"/>
      <c r="H658" s="811" t="s">
        <v>166</v>
      </c>
      <c r="I658" s="831"/>
      <c r="J658" s="335"/>
      <c r="K658" s="333"/>
      <c r="L658" s="204"/>
      <c r="M658" s="198"/>
      <c r="N658" s="840"/>
      <c r="O658" s="841"/>
      <c r="P658" s="161" t="s">
        <v>1072</v>
      </c>
      <c r="Q658" s="841"/>
      <c r="R658" s="841"/>
      <c r="S658" s="841"/>
      <c r="T658" s="841"/>
      <c r="U658" s="841"/>
      <c r="V658" s="841"/>
      <c r="W658" s="841"/>
      <c r="X658" s="841"/>
      <c r="Y658" s="841"/>
      <c r="Z658" s="841"/>
      <c r="AA658" s="841"/>
      <c r="AB658" s="841"/>
      <c r="AC658" s="841"/>
      <c r="AD658" s="841"/>
      <c r="AE658" s="848"/>
      <c r="AF658" s="835"/>
      <c r="AG658" s="836"/>
      <c r="AH658" s="836"/>
      <c r="AI658" s="835"/>
      <c r="AJ658" s="836"/>
      <c r="AK658" s="836"/>
      <c r="AL658" s="809"/>
      <c r="AM658" s="132"/>
      <c r="AN658" s="132"/>
      <c r="AO658" s="132"/>
      <c r="AP658" s="132"/>
      <c r="AQ658" s="132"/>
      <c r="AR658" s="132"/>
      <c r="AS658" s="132"/>
      <c r="AT658" s="132"/>
      <c r="AU658" s="132"/>
      <c r="AV658" s="132"/>
      <c r="AW658" s="132"/>
      <c r="AX658" s="132"/>
      <c r="AY658" s="132"/>
      <c r="AZ658" s="132"/>
      <c r="BA658" s="132"/>
      <c r="BB658" s="132"/>
      <c r="BC658" s="132"/>
      <c r="BD658" s="132"/>
      <c r="BE658" s="132"/>
      <c r="BF658" s="132"/>
    </row>
    <row r="659" customFormat="false" ht="11.25" hidden="false" customHeight="true" outlineLevel="0" collapsed="false">
      <c r="A659" s="113" t="s">
        <v>1026</v>
      </c>
      <c r="E659" s="80"/>
      <c r="F659" s="810"/>
      <c r="G659" s="138" t="s">
        <v>103</v>
      </c>
      <c r="H659" s="811" t="s">
        <v>168</v>
      </c>
      <c r="I659" s="831"/>
      <c r="J659" s="335"/>
      <c r="K659" s="333" t="s">
        <v>1165</v>
      </c>
      <c r="L659" s="204" t="s">
        <v>19</v>
      </c>
      <c r="M659" s="198"/>
      <c r="N659" s="832"/>
      <c r="O659" s="833" t="s">
        <v>389</v>
      </c>
      <c r="P659" s="834"/>
      <c r="Q659" s="834"/>
      <c r="R659" s="834"/>
      <c r="S659" s="834"/>
      <c r="T659" s="834"/>
      <c r="U659" s="834"/>
      <c r="V659" s="834"/>
      <c r="W659" s="834"/>
      <c r="X659" s="834"/>
      <c r="Y659" s="834"/>
      <c r="Z659" s="834"/>
      <c r="AA659" s="834"/>
      <c r="AB659" s="834"/>
      <c r="AC659" s="834"/>
      <c r="AD659" s="834"/>
      <c r="AE659" s="834"/>
      <c r="AF659" s="835" t="n">
        <v>2021</v>
      </c>
      <c r="AG659" s="836" t="s">
        <v>1059</v>
      </c>
      <c r="AH659" s="836" t="s">
        <v>1104</v>
      </c>
      <c r="AI659" s="835" t="n">
        <v>2022</v>
      </c>
      <c r="AJ659" s="836" t="s">
        <v>1059</v>
      </c>
      <c r="AK659" s="836" t="s">
        <v>1096</v>
      </c>
      <c r="AL659" s="809"/>
      <c r="AM659" s="132"/>
      <c r="AN659" s="132"/>
      <c r="AO659" s="132"/>
      <c r="AP659" s="132"/>
      <c r="AQ659" s="132"/>
      <c r="AR659" s="132"/>
      <c r="AS659" s="132"/>
      <c r="AT659" s="132"/>
      <c r="AU659" s="132"/>
      <c r="AV659" s="132"/>
      <c r="AW659" s="132"/>
      <c r="AX659" s="132"/>
      <c r="AY659" s="132"/>
      <c r="AZ659" s="132"/>
      <c r="BA659" s="132"/>
      <c r="BB659" s="132"/>
      <c r="BC659" s="132"/>
      <c r="BD659" s="132"/>
      <c r="BE659" s="132"/>
      <c r="BF659" s="132"/>
    </row>
    <row r="660" customFormat="false" ht="11.25" hidden="false" customHeight="true" outlineLevel="0" collapsed="false">
      <c r="A660" s="113" t="s">
        <v>1026</v>
      </c>
      <c r="E660" s="80"/>
      <c r="F660" s="810"/>
      <c r="G660" s="138"/>
      <c r="H660" s="811" t="s">
        <v>167</v>
      </c>
      <c r="I660" s="831"/>
      <c r="J660" s="335"/>
      <c r="K660" s="333"/>
      <c r="L660" s="204"/>
      <c r="M660" s="198"/>
      <c r="N660" s="837"/>
      <c r="O660" s="838" t="n">
        <v>1</v>
      </c>
      <c r="P660" s="76" t="s">
        <v>61</v>
      </c>
      <c r="Q660" s="335" t="s">
        <v>1118</v>
      </c>
      <c r="R660" s="839" t="s">
        <v>1119</v>
      </c>
      <c r="S660" s="839" t="s">
        <v>111</v>
      </c>
      <c r="T660" s="839" t="s">
        <v>112</v>
      </c>
      <c r="U660" s="839" t="s">
        <v>113</v>
      </c>
      <c r="V660" s="839" t="s">
        <v>1120</v>
      </c>
      <c r="W660" s="839" t="s">
        <v>1121</v>
      </c>
      <c r="X660" s="839" t="s">
        <v>1122</v>
      </c>
      <c r="Y660" s="839" t="s">
        <v>1123</v>
      </c>
      <c r="Z660" s="840"/>
      <c r="AA660" s="841"/>
      <c r="AB660" s="841"/>
      <c r="AC660" s="842"/>
      <c r="AD660" s="842"/>
      <c r="AE660" s="843"/>
      <c r="AF660" s="835"/>
      <c r="AG660" s="836"/>
      <c r="AH660" s="836"/>
      <c r="AI660" s="835"/>
      <c r="AJ660" s="836"/>
      <c r="AK660" s="836"/>
      <c r="AL660" s="809"/>
      <c r="AM660" s="132"/>
      <c r="AN660" s="132"/>
      <c r="AO660" s="132"/>
      <c r="AP660" s="132"/>
      <c r="AQ660" s="132"/>
      <c r="AR660" s="132"/>
      <c r="AS660" s="132"/>
      <c r="AT660" s="132"/>
      <c r="AU660" s="132"/>
      <c r="AV660" s="132"/>
      <c r="AW660" s="132"/>
      <c r="AX660" s="132"/>
      <c r="AY660" s="132"/>
      <c r="AZ660" s="132"/>
      <c r="BA660" s="132"/>
      <c r="BB660" s="132"/>
      <c r="BC660" s="132"/>
      <c r="BD660" s="132"/>
      <c r="BE660" s="132"/>
      <c r="BF660" s="132"/>
    </row>
    <row r="661" customFormat="false" ht="11.25" hidden="false" customHeight="true" outlineLevel="0" collapsed="false">
      <c r="A661" s="113" t="s">
        <v>1026</v>
      </c>
      <c r="E661" s="80"/>
      <c r="F661" s="810"/>
      <c r="G661" s="138"/>
      <c r="H661" s="811" t="s">
        <v>167</v>
      </c>
      <c r="I661" s="831"/>
      <c r="J661" s="335"/>
      <c r="K661" s="333"/>
      <c r="L661" s="204"/>
      <c r="M661" s="198"/>
      <c r="N661" s="837"/>
      <c r="O661" s="838"/>
      <c r="P661" s="76"/>
      <c r="Q661" s="335"/>
      <c r="R661" s="839"/>
      <c r="S661" s="839"/>
      <c r="T661" s="839"/>
      <c r="U661" s="839"/>
      <c r="V661" s="839"/>
      <c r="W661" s="839"/>
      <c r="X661" s="839"/>
      <c r="Y661" s="839"/>
      <c r="Z661" s="844"/>
      <c r="AA661" s="845" t="n">
        <v>1</v>
      </c>
      <c r="AB661" s="846" t="s">
        <v>1069</v>
      </c>
      <c r="AC661" s="756" t="n">
        <v>1351.91</v>
      </c>
      <c r="AD661" s="846" t="str">
        <f aca="false">AB661</f>
        <v>Прочие амортизационные отчисления</v>
      </c>
      <c r="AE661" s="756" t="n">
        <v>0</v>
      </c>
      <c r="AF661" s="835"/>
      <c r="AG661" s="836"/>
      <c r="AH661" s="836"/>
      <c r="AI661" s="835"/>
      <c r="AJ661" s="836"/>
      <c r="AK661" s="836"/>
      <c r="AL661" s="809"/>
      <c r="AM661" s="132"/>
      <c r="AN661" s="132"/>
      <c r="AO661" s="132"/>
      <c r="AP661" s="132"/>
      <c r="AQ661" s="132"/>
      <c r="AR661" s="132"/>
      <c r="AS661" s="132"/>
      <c r="AT661" s="132"/>
      <c r="AU661" s="132"/>
      <c r="AV661" s="132"/>
      <c r="AW661" s="132"/>
      <c r="AX661" s="132"/>
      <c r="AY661" s="132"/>
      <c r="AZ661" s="132"/>
      <c r="BA661" s="132"/>
      <c r="BB661" s="132"/>
      <c r="BC661" s="132"/>
      <c r="BD661" s="132"/>
      <c r="BE661" s="132"/>
      <c r="BF661" s="132"/>
    </row>
    <row r="662" customFormat="false" ht="11.25" hidden="false" customHeight="true" outlineLevel="0" collapsed="false">
      <c r="A662" s="113" t="s">
        <v>1026</v>
      </c>
      <c r="E662" s="80"/>
      <c r="F662" s="810"/>
      <c r="G662" s="138"/>
      <c r="H662" s="811" t="s">
        <v>167</v>
      </c>
      <c r="I662" s="831"/>
      <c r="J662" s="335"/>
      <c r="K662" s="333"/>
      <c r="L662" s="204"/>
      <c r="M662" s="198"/>
      <c r="N662" s="837"/>
      <c r="O662" s="838"/>
      <c r="P662" s="76"/>
      <c r="Q662" s="335"/>
      <c r="R662" s="839"/>
      <c r="S662" s="839"/>
      <c r="T662" s="839"/>
      <c r="U662" s="839"/>
      <c r="V662" s="839"/>
      <c r="W662" s="839"/>
      <c r="X662" s="839"/>
      <c r="Y662" s="839"/>
      <c r="Z662" s="840"/>
      <c r="AA662" s="841"/>
      <c r="AB662" s="161" t="s">
        <v>1071</v>
      </c>
      <c r="AC662" s="842"/>
      <c r="AD662" s="842"/>
      <c r="AE662" s="847"/>
      <c r="AF662" s="835"/>
      <c r="AG662" s="836"/>
      <c r="AH662" s="836"/>
      <c r="AI662" s="835"/>
      <c r="AJ662" s="836"/>
      <c r="AK662" s="836"/>
      <c r="AL662" s="809"/>
      <c r="AM662" s="132"/>
      <c r="AN662" s="132"/>
      <c r="AO662" s="132"/>
      <c r="AP662" s="132"/>
      <c r="AQ662" s="132"/>
      <c r="AR662" s="132"/>
      <c r="AS662" s="132"/>
      <c r="AT662" s="132"/>
      <c r="AU662" s="132"/>
      <c r="AV662" s="132"/>
      <c r="AW662" s="132"/>
      <c r="AX662" s="132"/>
      <c r="AY662" s="132"/>
      <c r="AZ662" s="132"/>
      <c r="BA662" s="132"/>
      <c r="BB662" s="132"/>
      <c r="BC662" s="132"/>
      <c r="BD662" s="132"/>
      <c r="BE662" s="132"/>
      <c r="BF662" s="132"/>
    </row>
    <row r="663" customFormat="false" ht="11.25" hidden="false" customHeight="true" outlineLevel="0" collapsed="false">
      <c r="A663" s="113" t="s">
        <v>1026</v>
      </c>
      <c r="E663" s="80"/>
      <c r="F663" s="810"/>
      <c r="G663" s="138"/>
      <c r="H663" s="811" t="s">
        <v>167</v>
      </c>
      <c r="I663" s="831"/>
      <c r="J663" s="335"/>
      <c r="K663" s="333"/>
      <c r="L663" s="204"/>
      <c r="M663" s="198"/>
      <c r="N663" s="840"/>
      <c r="O663" s="841"/>
      <c r="P663" s="161" t="s">
        <v>1072</v>
      </c>
      <c r="Q663" s="841"/>
      <c r="R663" s="841"/>
      <c r="S663" s="841"/>
      <c r="T663" s="841"/>
      <c r="U663" s="841"/>
      <c r="V663" s="841"/>
      <c r="W663" s="841"/>
      <c r="X663" s="841"/>
      <c r="Y663" s="841"/>
      <c r="Z663" s="841"/>
      <c r="AA663" s="841"/>
      <c r="AB663" s="841"/>
      <c r="AC663" s="841"/>
      <c r="AD663" s="841"/>
      <c r="AE663" s="848"/>
      <c r="AF663" s="835"/>
      <c r="AG663" s="836"/>
      <c r="AH663" s="836"/>
      <c r="AI663" s="835"/>
      <c r="AJ663" s="836"/>
      <c r="AK663" s="836"/>
      <c r="AL663" s="809"/>
      <c r="AM663" s="132"/>
      <c r="AN663" s="132"/>
      <c r="AO663" s="132"/>
      <c r="AP663" s="132"/>
      <c r="AQ663" s="132"/>
      <c r="AR663" s="132"/>
      <c r="AS663" s="132"/>
      <c r="AT663" s="132"/>
      <c r="AU663" s="132"/>
      <c r="AV663" s="132"/>
      <c r="AW663" s="132"/>
      <c r="AX663" s="132"/>
      <c r="AY663" s="132"/>
      <c r="AZ663" s="132"/>
      <c r="BA663" s="132"/>
      <c r="BB663" s="132"/>
      <c r="BC663" s="132"/>
      <c r="BD663" s="132"/>
      <c r="BE663" s="132"/>
      <c r="BF663" s="132"/>
    </row>
    <row r="664" customFormat="false" ht="11.25" hidden="false" customHeight="true" outlineLevel="0" collapsed="false">
      <c r="A664" s="113" t="s">
        <v>1026</v>
      </c>
      <c r="E664" s="80"/>
      <c r="F664" s="810"/>
      <c r="G664" s="138" t="s">
        <v>103</v>
      </c>
      <c r="H664" s="811" t="s">
        <v>1094</v>
      </c>
      <c r="I664" s="831"/>
      <c r="J664" s="335"/>
      <c r="K664" s="333" t="s">
        <v>1182</v>
      </c>
      <c r="L664" s="204" t="s">
        <v>19</v>
      </c>
      <c r="M664" s="198"/>
      <c r="N664" s="832"/>
      <c r="O664" s="833" t="s">
        <v>389</v>
      </c>
      <c r="P664" s="834"/>
      <c r="Q664" s="834"/>
      <c r="R664" s="834"/>
      <c r="S664" s="834"/>
      <c r="T664" s="834"/>
      <c r="U664" s="834"/>
      <c r="V664" s="834"/>
      <c r="W664" s="834"/>
      <c r="X664" s="834"/>
      <c r="Y664" s="834"/>
      <c r="Z664" s="834"/>
      <c r="AA664" s="834"/>
      <c r="AB664" s="834"/>
      <c r="AC664" s="834"/>
      <c r="AD664" s="834"/>
      <c r="AE664" s="834"/>
      <c r="AF664" s="835" t="n">
        <v>2022</v>
      </c>
      <c r="AG664" s="836" t="s">
        <v>1059</v>
      </c>
      <c r="AH664" s="836" t="s">
        <v>1104</v>
      </c>
      <c r="AI664" s="835" t="n">
        <v>2023</v>
      </c>
      <c r="AJ664" s="836" t="s">
        <v>1079</v>
      </c>
      <c r="AK664" s="836" t="s">
        <v>1104</v>
      </c>
      <c r="AL664" s="809"/>
      <c r="AM664" s="132"/>
      <c r="AN664" s="132"/>
      <c r="AO664" s="132"/>
      <c r="AP664" s="132"/>
      <c r="AQ664" s="132"/>
      <c r="AR664" s="132"/>
      <c r="AS664" s="132"/>
      <c r="AT664" s="132"/>
      <c r="AU664" s="132"/>
      <c r="AV664" s="132"/>
      <c r="AW664" s="132"/>
      <c r="AX664" s="132"/>
      <c r="AY664" s="132"/>
      <c r="AZ664" s="132"/>
      <c r="BA664" s="132"/>
      <c r="BB664" s="132"/>
      <c r="BC664" s="132"/>
      <c r="BD664" s="132"/>
      <c r="BE664" s="132"/>
      <c r="BF664" s="132"/>
    </row>
    <row r="665" customFormat="false" ht="11.25" hidden="false" customHeight="true" outlineLevel="0" collapsed="false">
      <c r="A665" s="113" t="s">
        <v>1026</v>
      </c>
      <c r="E665" s="80"/>
      <c r="F665" s="810"/>
      <c r="G665" s="138"/>
      <c r="H665" s="811" t="s">
        <v>168</v>
      </c>
      <c r="I665" s="831"/>
      <c r="J665" s="335"/>
      <c r="K665" s="333"/>
      <c r="L665" s="204"/>
      <c r="M665" s="198"/>
      <c r="N665" s="837"/>
      <c r="O665" s="838" t="n">
        <v>1</v>
      </c>
      <c r="P665" s="76" t="s">
        <v>61</v>
      </c>
      <c r="Q665" s="335" t="s">
        <v>1106</v>
      </c>
      <c r="R665" s="839" t="s">
        <v>1064</v>
      </c>
      <c r="S665" s="839" t="s">
        <v>106</v>
      </c>
      <c r="T665" s="839" t="s">
        <v>107</v>
      </c>
      <c r="U665" s="839" t="s">
        <v>108</v>
      </c>
      <c r="V665" s="839" t="s">
        <v>1107</v>
      </c>
      <c r="W665" s="839" t="s">
        <v>1108</v>
      </c>
      <c r="X665" s="839" t="s">
        <v>1109</v>
      </c>
      <c r="Y665" s="839" t="s">
        <v>1110</v>
      </c>
      <c r="Z665" s="840"/>
      <c r="AA665" s="841"/>
      <c r="AB665" s="841"/>
      <c r="AC665" s="842"/>
      <c r="AD665" s="842"/>
      <c r="AE665" s="843"/>
      <c r="AF665" s="835"/>
      <c r="AG665" s="836"/>
      <c r="AH665" s="836"/>
      <c r="AI665" s="835"/>
      <c r="AJ665" s="836"/>
      <c r="AK665" s="836"/>
      <c r="AL665" s="809"/>
      <c r="AM665" s="132"/>
      <c r="AN665" s="132"/>
      <c r="AO665" s="132"/>
      <c r="AP665" s="132"/>
      <c r="AQ665" s="132"/>
      <c r="AR665" s="132"/>
      <c r="AS665" s="132"/>
      <c r="AT665" s="132"/>
      <c r="AU665" s="132"/>
      <c r="AV665" s="132"/>
      <c r="AW665" s="132"/>
      <c r="AX665" s="132"/>
      <c r="AY665" s="132"/>
      <c r="AZ665" s="132"/>
      <c r="BA665" s="132"/>
      <c r="BB665" s="132"/>
      <c r="BC665" s="132"/>
      <c r="BD665" s="132"/>
      <c r="BE665" s="132"/>
      <c r="BF665" s="132"/>
    </row>
    <row r="666" customFormat="false" ht="11.25" hidden="false" customHeight="true" outlineLevel="0" collapsed="false">
      <c r="A666" s="113" t="s">
        <v>1026</v>
      </c>
      <c r="E666" s="80"/>
      <c r="F666" s="810"/>
      <c r="G666" s="138"/>
      <c r="H666" s="811" t="s">
        <v>168</v>
      </c>
      <c r="I666" s="831"/>
      <c r="J666" s="335"/>
      <c r="K666" s="333"/>
      <c r="L666" s="204"/>
      <c r="M666" s="198"/>
      <c r="N666" s="837"/>
      <c r="O666" s="838"/>
      <c r="P666" s="76"/>
      <c r="Q666" s="335"/>
      <c r="R666" s="839"/>
      <c r="S666" s="839"/>
      <c r="T666" s="839"/>
      <c r="U666" s="839"/>
      <c r="V666" s="839"/>
      <c r="W666" s="839"/>
      <c r="X666" s="839"/>
      <c r="Y666" s="839"/>
      <c r="Z666" s="844"/>
      <c r="AA666" s="845" t="n">
        <v>1</v>
      </c>
      <c r="AB666" s="846" t="s">
        <v>1183</v>
      </c>
      <c r="AC666" s="756" t="n">
        <v>1809.862</v>
      </c>
      <c r="AD666" s="846" t="s">
        <v>1069</v>
      </c>
      <c r="AE666" s="756" t="n">
        <v>3928.21</v>
      </c>
      <c r="AF666" s="835"/>
      <c r="AG666" s="836"/>
      <c r="AH666" s="836"/>
      <c r="AI666" s="835"/>
      <c r="AJ666" s="836"/>
      <c r="AK666" s="836"/>
      <c r="AL666" s="809"/>
      <c r="AM666" s="132"/>
      <c r="AN666" s="132"/>
      <c r="AO666" s="132"/>
      <c r="AP666" s="132"/>
      <c r="AQ666" s="132"/>
      <c r="AR666" s="132"/>
      <c r="AS666" s="132"/>
      <c r="AT666" s="132"/>
      <c r="AU666" s="132"/>
      <c r="AV666" s="132"/>
      <c r="AW666" s="132"/>
      <c r="AX666" s="132"/>
      <c r="AY666" s="132"/>
      <c r="AZ666" s="132"/>
      <c r="BA666" s="132"/>
      <c r="BB666" s="132"/>
      <c r="BC666" s="132"/>
      <c r="BD666" s="132"/>
      <c r="BE666" s="132"/>
      <c r="BF666" s="132"/>
    </row>
    <row r="667" customFormat="false" ht="11.25" hidden="false" customHeight="true" outlineLevel="0" collapsed="false">
      <c r="A667" s="113" t="s">
        <v>1026</v>
      </c>
      <c r="E667" s="80"/>
      <c r="F667" s="810"/>
      <c r="G667" s="138"/>
      <c r="H667" s="811" t="s">
        <v>168</v>
      </c>
      <c r="I667" s="831"/>
      <c r="J667" s="335"/>
      <c r="K667" s="333"/>
      <c r="L667" s="204"/>
      <c r="M667" s="198"/>
      <c r="N667" s="837"/>
      <c r="O667" s="838"/>
      <c r="P667" s="76"/>
      <c r="Q667" s="335"/>
      <c r="R667" s="839"/>
      <c r="S667" s="839"/>
      <c r="T667" s="839"/>
      <c r="U667" s="839"/>
      <c r="V667" s="839"/>
      <c r="W667" s="839"/>
      <c r="X667" s="839"/>
      <c r="Y667" s="839"/>
      <c r="Z667" s="840"/>
      <c r="AA667" s="841"/>
      <c r="AB667" s="161" t="s">
        <v>1071</v>
      </c>
      <c r="AC667" s="842"/>
      <c r="AD667" s="842"/>
      <c r="AE667" s="847"/>
      <c r="AF667" s="835"/>
      <c r="AG667" s="836"/>
      <c r="AH667" s="836"/>
      <c r="AI667" s="835"/>
      <c r="AJ667" s="836"/>
      <c r="AK667" s="836"/>
      <c r="AL667" s="809"/>
      <c r="AM667" s="132"/>
      <c r="AN667" s="132"/>
      <c r="AO667" s="132"/>
      <c r="AP667" s="132"/>
      <c r="AQ667" s="132"/>
      <c r="AR667" s="132"/>
      <c r="AS667" s="132"/>
      <c r="AT667" s="132"/>
      <c r="AU667" s="132"/>
      <c r="AV667" s="132"/>
      <c r="AW667" s="132"/>
      <c r="AX667" s="132"/>
      <c r="AY667" s="132"/>
      <c r="AZ667" s="132"/>
      <c r="BA667" s="132"/>
      <c r="BB667" s="132"/>
      <c r="BC667" s="132"/>
      <c r="BD667" s="132"/>
      <c r="BE667" s="132"/>
      <c r="BF667" s="132"/>
    </row>
    <row r="668" customFormat="false" ht="11.25" hidden="false" customHeight="true" outlineLevel="0" collapsed="false">
      <c r="A668" s="113" t="s">
        <v>1026</v>
      </c>
      <c r="E668" s="80"/>
      <c r="F668" s="810"/>
      <c r="G668" s="138"/>
      <c r="H668" s="811" t="s">
        <v>168</v>
      </c>
      <c r="I668" s="831"/>
      <c r="J668" s="335"/>
      <c r="K668" s="333"/>
      <c r="L668" s="204"/>
      <c r="M668" s="198"/>
      <c r="N668" s="840"/>
      <c r="O668" s="841"/>
      <c r="P668" s="161" t="s">
        <v>1072</v>
      </c>
      <c r="Q668" s="841"/>
      <c r="R668" s="841"/>
      <c r="S668" s="841"/>
      <c r="T668" s="841"/>
      <c r="U668" s="841"/>
      <c r="V668" s="841"/>
      <c r="W668" s="841"/>
      <c r="X668" s="841"/>
      <c r="Y668" s="841"/>
      <c r="Z668" s="841"/>
      <c r="AA668" s="841"/>
      <c r="AB668" s="841"/>
      <c r="AC668" s="841"/>
      <c r="AD668" s="841"/>
      <c r="AE668" s="848"/>
      <c r="AF668" s="835"/>
      <c r="AG668" s="836"/>
      <c r="AH668" s="836"/>
      <c r="AI668" s="835"/>
      <c r="AJ668" s="836"/>
      <c r="AK668" s="836"/>
      <c r="AL668" s="809"/>
      <c r="AM668" s="132"/>
      <c r="AN668" s="132"/>
      <c r="AO668" s="132"/>
      <c r="AP668" s="132"/>
      <c r="AQ668" s="132"/>
      <c r="AR668" s="132"/>
      <c r="AS668" s="132"/>
      <c r="AT668" s="132"/>
      <c r="AU668" s="132"/>
      <c r="AV668" s="132"/>
      <c r="AW668" s="132"/>
      <c r="AX668" s="132"/>
      <c r="AY668" s="132"/>
      <c r="AZ668" s="132"/>
      <c r="BA668" s="132"/>
      <c r="BB668" s="132"/>
      <c r="BC668" s="132"/>
      <c r="BD668" s="132"/>
      <c r="BE668" s="132"/>
      <c r="BF668" s="132"/>
    </row>
    <row r="669" customFormat="false" ht="12" hidden="false" customHeight="true" outlineLevel="0" collapsed="false">
      <c r="A669" s="113" t="s">
        <v>1026</v>
      </c>
      <c r="E669" s="80"/>
      <c r="F669" s="810"/>
      <c r="G669" s="849"/>
      <c r="H669" s="849"/>
      <c r="I669" s="850" t="s">
        <v>1136</v>
      </c>
      <c r="J669" s="850"/>
      <c r="K669" s="850"/>
      <c r="L669" s="851"/>
      <c r="M669" s="851"/>
      <c r="N669" s="852"/>
      <c r="O669" s="852"/>
      <c r="P669" s="852"/>
      <c r="Q669" s="852"/>
      <c r="R669" s="852"/>
      <c r="S669" s="852"/>
      <c r="T669" s="852"/>
      <c r="U669" s="852"/>
      <c r="V669" s="852"/>
      <c r="W669" s="852"/>
      <c r="X669" s="852"/>
      <c r="Y669" s="852"/>
      <c r="Z669" s="852"/>
      <c r="AA669" s="852"/>
      <c r="AB669" s="852"/>
      <c r="AC669" s="852"/>
      <c r="AD669" s="852"/>
      <c r="AE669" s="852"/>
      <c r="AF669" s="852"/>
      <c r="AG669" s="851"/>
      <c r="AH669" s="851"/>
      <c r="AI669" s="852"/>
      <c r="AJ669" s="851"/>
      <c r="AK669" s="852"/>
      <c r="AL669" s="809"/>
      <c r="AM669" s="132"/>
      <c r="AN669" s="132"/>
      <c r="AO669" s="132"/>
      <c r="AP669" s="132"/>
      <c r="AQ669" s="132"/>
      <c r="AR669" s="132"/>
      <c r="AS669" s="132"/>
      <c r="AT669" s="132"/>
      <c r="AU669" s="132"/>
      <c r="AV669" s="132"/>
      <c r="AW669" s="132"/>
      <c r="AX669" s="132"/>
      <c r="AY669" s="132"/>
      <c r="AZ669" s="132"/>
      <c r="BA669" s="132"/>
      <c r="BB669" s="132"/>
      <c r="BC669" s="132"/>
      <c r="BD669" s="132"/>
      <c r="BE669" s="132"/>
      <c r="BF669" s="132"/>
    </row>
    <row r="670" customFormat="false" ht="10.5" hidden="false" customHeight="true" outlineLevel="0" collapsed="false">
      <c r="E670" s="132"/>
      <c r="AL670" s="132"/>
      <c r="AM670" s="132"/>
      <c r="AN670" s="132"/>
      <c r="AO670" s="132"/>
      <c r="AP670" s="132"/>
      <c r="AQ670" s="132"/>
      <c r="AR670" s="132"/>
      <c r="AS670" s="132"/>
      <c r="AT670" s="132"/>
      <c r="AU670" s="132"/>
      <c r="AV670" s="132"/>
      <c r="AW670" s="132"/>
      <c r="AX670" s="132"/>
      <c r="AY670" s="132"/>
      <c r="AZ670" s="132"/>
      <c r="BA670" s="132"/>
      <c r="BB670" s="132"/>
      <c r="BC670" s="132"/>
      <c r="BD670" s="132"/>
      <c r="BE670" s="132"/>
      <c r="BF670" s="132"/>
      <c r="BG670" s="42" t="n">
        <v>10</v>
      </c>
    </row>
    <row r="671" customFormat="false" ht="13.5" hidden="false" customHeight="true" outlineLevel="0" collapsed="false">
      <c r="E671" s="132"/>
      <c r="F671" s="853" t="s">
        <v>1184</v>
      </c>
      <c r="G671" s="96"/>
      <c r="H671" s="96"/>
      <c r="I671" s="96"/>
      <c r="J671" s="96"/>
      <c r="K671" s="132"/>
      <c r="L671" s="132"/>
      <c r="M671" s="132"/>
      <c r="N671" s="132"/>
      <c r="O671" s="132"/>
      <c r="P671" s="132"/>
      <c r="Q671" s="132"/>
      <c r="R671" s="132"/>
      <c r="S671" s="132"/>
      <c r="T671" s="132"/>
      <c r="U671" s="132"/>
      <c r="V671" s="132"/>
      <c r="W671" s="132"/>
      <c r="X671" s="132"/>
      <c r="Y671" s="132"/>
      <c r="Z671" s="132"/>
      <c r="AA671" s="132"/>
      <c r="AB671" s="132"/>
      <c r="AC671" s="132"/>
      <c r="AD671" s="132"/>
      <c r="AE671" s="132"/>
      <c r="AF671" s="132"/>
      <c r="AG671" s="132"/>
      <c r="AH671" s="132"/>
      <c r="AI671" s="132"/>
      <c r="AJ671" s="132"/>
      <c r="AK671" s="132"/>
      <c r="AL671" s="132"/>
      <c r="AM671" s="132"/>
      <c r="AN671" s="132"/>
      <c r="AO671" s="132"/>
      <c r="AP671" s="132"/>
      <c r="AQ671" s="132"/>
      <c r="AR671" s="132"/>
      <c r="AS671" s="132"/>
      <c r="AT671" s="132"/>
      <c r="AU671" s="132"/>
      <c r="AV671" s="132"/>
      <c r="AW671" s="132"/>
      <c r="AX671" s="132"/>
      <c r="AY671" s="132"/>
      <c r="AZ671" s="132"/>
      <c r="BA671" s="132"/>
      <c r="BB671" s="132"/>
      <c r="BC671" s="132"/>
      <c r="BD671" s="132"/>
      <c r="BE671" s="132"/>
      <c r="BF671" s="132"/>
      <c r="BG671" s="42" t="n">
        <v>13</v>
      </c>
    </row>
    <row r="672" customFormat="false" ht="10.5" hidden="false" customHeight="true" outlineLevel="0" collapsed="false">
      <c r="BG672" s="42" t="n">
        <v>10</v>
      </c>
    </row>
    <row r="673" customFormat="false" ht="10.5" hidden="false" customHeight="true" outlineLevel="0" collapsed="false">
      <c r="E673" s="132"/>
      <c r="F673" s="75"/>
      <c r="G673" s="75"/>
      <c r="H673" s="75"/>
      <c r="I673" s="75"/>
      <c r="J673" s="75"/>
      <c r="K673" s="132"/>
      <c r="L673" s="132"/>
      <c r="M673" s="132"/>
      <c r="N673" s="132"/>
      <c r="O673" s="132"/>
      <c r="P673" s="132"/>
      <c r="Q673" s="132"/>
      <c r="R673" s="132"/>
      <c r="S673" s="132"/>
      <c r="T673" s="132"/>
      <c r="U673" s="132"/>
      <c r="V673" s="132"/>
      <c r="W673" s="132"/>
      <c r="X673" s="132"/>
      <c r="Y673" s="132"/>
      <c r="Z673" s="132"/>
      <c r="AA673" s="132"/>
      <c r="AB673" s="132"/>
      <c r="AC673" s="132"/>
      <c r="AD673" s="132"/>
      <c r="AE673" s="132"/>
      <c r="AF673" s="132"/>
      <c r="AG673" s="132"/>
      <c r="AH673" s="132"/>
      <c r="AI673" s="132"/>
      <c r="AJ673" s="132"/>
      <c r="AK673" s="132"/>
      <c r="AL673" s="132"/>
      <c r="AM673" s="132"/>
      <c r="AN673" s="132"/>
      <c r="AO673" s="132"/>
      <c r="AP673" s="132"/>
      <c r="AQ673" s="132"/>
      <c r="AR673" s="132"/>
      <c r="AS673" s="132"/>
      <c r="AT673" s="132"/>
      <c r="AU673" s="132"/>
      <c r="AV673" s="132"/>
      <c r="AW673" s="132"/>
      <c r="AX673" s="132"/>
      <c r="AY673" s="132"/>
      <c r="AZ673" s="132"/>
      <c r="BA673" s="132"/>
      <c r="BB673" s="132"/>
      <c r="BC673" s="132"/>
      <c r="BD673" s="132"/>
      <c r="BE673" s="132"/>
      <c r="BF673" s="132"/>
      <c r="BG673" s="42" t="n">
        <v>10</v>
      </c>
    </row>
    <row r="674" customFormat="false" ht="10.5" hidden="false" customHeight="true" outlineLevel="0" collapsed="false">
      <c r="E674" s="132"/>
      <c r="F674" s="75"/>
      <c r="G674" s="75"/>
      <c r="H674" s="75"/>
      <c r="I674" s="75"/>
      <c r="J674" s="75"/>
      <c r="K674" s="132"/>
      <c r="L674" s="132"/>
      <c r="M674" s="132"/>
      <c r="N674" s="132"/>
      <c r="O674" s="132"/>
      <c r="P674" s="132"/>
      <c r="Q674" s="132"/>
      <c r="R674" s="132"/>
      <c r="S674" s="132"/>
      <c r="T674" s="132"/>
      <c r="U674" s="132"/>
      <c r="V674" s="132"/>
      <c r="W674" s="132"/>
      <c r="X674" s="132"/>
      <c r="Y674" s="132"/>
      <c r="Z674" s="132"/>
      <c r="AA674" s="132"/>
      <c r="AB674" s="132"/>
      <c r="AC674" s="132"/>
      <c r="AD674" s="132"/>
      <c r="AE674" s="132"/>
      <c r="AF674" s="132"/>
      <c r="AG674" s="132"/>
      <c r="AH674" s="132"/>
      <c r="AI674" s="132"/>
      <c r="AJ674" s="132"/>
      <c r="AK674" s="132"/>
      <c r="AL674" s="132"/>
      <c r="AM674" s="132"/>
      <c r="AN674" s="132"/>
      <c r="AO674" s="132"/>
      <c r="AP674" s="132"/>
      <c r="AQ674" s="132"/>
      <c r="AR674" s="132"/>
      <c r="AS674" s="132"/>
      <c r="AT674" s="132"/>
      <c r="AU674" s="132"/>
      <c r="AV674" s="132"/>
      <c r="AW674" s="132"/>
      <c r="AX674" s="132"/>
      <c r="AY674" s="132"/>
      <c r="AZ674" s="132"/>
      <c r="BA674" s="132"/>
      <c r="BB674" s="132"/>
      <c r="BC674" s="132"/>
      <c r="BD674" s="132"/>
      <c r="BE674" s="132"/>
      <c r="BF674" s="132"/>
      <c r="BG674" s="42" t="n">
        <v>10</v>
      </c>
    </row>
    <row r="675" customFormat="false" ht="10.5" hidden="false" customHeight="true" outlineLevel="0" collapsed="false">
      <c r="E675" s="132"/>
      <c r="F675" s="75"/>
      <c r="G675" s="75"/>
      <c r="H675" s="75"/>
      <c r="I675" s="75"/>
      <c r="J675" s="75"/>
      <c r="K675" s="132"/>
      <c r="L675" s="132"/>
      <c r="M675" s="132"/>
      <c r="N675" s="132"/>
      <c r="O675" s="132"/>
      <c r="P675" s="132"/>
      <c r="Q675" s="132"/>
      <c r="R675" s="132"/>
      <c r="S675" s="132"/>
      <c r="T675" s="132"/>
      <c r="U675" s="132"/>
      <c r="V675" s="132"/>
      <c r="W675" s="132"/>
      <c r="X675" s="132"/>
      <c r="Y675" s="132"/>
      <c r="Z675" s="132"/>
      <c r="AA675" s="132"/>
      <c r="AB675" s="132"/>
      <c r="AC675" s="132"/>
      <c r="AD675" s="132"/>
      <c r="AE675" s="132"/>
      <c r="AF675" s="132"/>
      <c r="AG675" s="132"/>
      <c r="AH675" s="132"/>
      <c r="AI675" s="132"/>
      <c r="AJ675" s="132"/>
      <c r="AK675" s="132"/>
      <c r="AL675" s="132"/>
      <c r="AM675" s="132"/>
      <c r="AN675" s="132"/>
      <c r="AO675" s="132"/>
      <c r="AP675" s="132"/>
      <c r="AQ675" s="132"/>
      <c r="AR675" s="132"/>
      <c r="AS675" s="132"/>
      <c r="AT675" s="132"/>
      <c r="AU675" s="132"/>
      <c r="AV675" s="132"/>
      <c r="AW675" s="132"/>
      <c r="AX675" s="132"/>
      <c r="AY675" s="132"/>
      <c r="AZ675" s="132"/>
      <c r="BA675" s="132"/>
      <c r="BB675" s="132"/>
      <c r="BC675" s="132"/>
      <c r="BD675" s="132"/>
      <c r="BE675" s="132"/>
      <c r="BF675" s="132"/>
      <c r="BG675" s="42" t="n">
        <v>10</v>
      </c>
    </row>
    <row r="676" customFormat="false" ht="10.5" hidden="true" customHeight="true" outlineLevel="0" collapsed="false">
      <c r="A676" s="113" t="s">
        <v>81</v>
      </c>
      <c r="B676" s="113" t="n">
        <v>0</v>
      </c>
      <c r="C676" s="113" t="n">
        <v>0</v>
      </c>
      <c r="D676" s="45" t="n">
        <v>0</v>
      </c>
      <c r="E676" s="42" t="n">
        <v>3</v>
      </c>
      <c r="F676" s="42" t="n">
        <v>14</v>
      </c>
      <c r="G676" s="42" t="n">
        <v>3</v>
      </c>
      <c r="H676" s="42" t="n">
        <v>7</v>
      </c>
      <c r="I676" s="42" t="n">
        <v>16</v>
      </c>
      <c r="J676" s="42" t="n">
        <v>16</v>
      </c>
      <c r="K676" s="42" t="n">
        <v>25</v>
      </c>
      <c r="L676" s="42" t="n">
        <v>7</v>
      </c>
      <c r="M676" s="42" t="n">
        <v>15</v>
      </c>
      <c r="N676" s="42" t="n">
        <v>3</v>
      </c>
      <c r="O676" s="42" t="n">
        <v>4</v>
      </c>
      <c r="P676" s="42" t="n">
        <v>8</v>
      </c>
      <c r="Q676" s="42" t="n">
        <v>21</v>
      </c>
      <c r="R676" s="42" t="n">
        <v>14</v>
      </c>
      <c r="S676" s="42" t="n">
        <v>17</v>
      </c>
      <c r="T676" s="42" t="n">
        <v>17</v>
      </c>
      <c r="U676" s="42" t="n">
        <v>9</v>
      </c>
      <c r="V676" s="42" t="n">
        <v>12</v>
      </c>
      <c r="W676" s="42" t="n">
        <v>9</v>
      </c>
      <c r="X676" s="42" t="n">
        <v>21</v>
      </c>
      <c r="Y676" s="42" t="n">
        <v>12</v>
      </c>
      <c r="Z676" s="42" t="n">
        <v>3</v>
      </c>
      <c r="AA676" s="42" t="n">
        <v>6</v>
      </c>
      <c r="AB676" s="42" t="n">
        <v>38</v>
      </c>
      <c r="AC676" s="42" t="n">
        <v>15</v>
      </c>
      <c r="AD676" s="42" t="n">
        <v>0</v>
      </c>
      <c r="AE676" s="42" t="n">
        <v>0</v>
      </c>
      <c r="AF676" s="42" t="n">
        <v>16</v>
      </c>
      <c r="AG676" s="42" t="n">
        <v>16</v>
      </c>
      <c r="AH676" s="42" t="n">
        <v>16</v>
      </c>
      <c r="AI676" s="42" t="n">
        <v>0</v>
      </c>
      <c r="AJ676" s="42" t="n">
        <v>0</v>
      </c>
      <c r="AK676" s="42" t="n">
        <v>0</v>
      </c>
      <c r="AL676" s="42" t="n">
        <v>8</v>
      </c>
      <c r="AM676" s="42" t="n">
        <v>8</v>
      </c>
      <c r="AN676" s="42" t="n">
        <v>8</v>
      </c>
      <c r="AO676" s="42" t="n">
        <v>8</v>
      </c>
      <c r="AP676" s="42" t="n">
        <v>8</v>
      </c>
      <c r="AQ676" s="42" t="n">
        <v>8</v>
      </c>
      <c r="AR676" s="42" t="n">
        <v>8</v>
      </c>
      <c r="AS676" s="42" t="n">
        <v>8</v>
      </c>
      <c r="AT676" s="42" t="n">
        <v>8</v>
      </c>
      <c r="AU676" s="42" t="n">
        <v>8</v>
      </c>
      <c r="AV676" s="42" t="n">
        <v>8</v>
      </c>
      <c r="AW676" s="42" t="n">
        <v>8</v>
      </c>
      <c r="AX676" s="42" t="n">
        <v>8</v>
      </c>
      <c r="AY676" s="42" t="n">
        <v>8</v>
      </c>
      <c r="AZ676" s="42" t="n">
        <v>8</v>
      </c>
      <c r="BA676" s="42" t="n">
        <v>8</v>
      </c>
      <c r="BB676" s="42" t="n">
        <v>8</v>
      </c>
      <c r="BC676" s="42" t="n">
        <v>8</v>
      </c>
      <c r="BD676" s="42" t="n">
        <v>8</v>
      </c>
      <c r="BE676" s="42" t="n">
        <v>8</v>
      </c>
      <c r="BF676" s="42" t="n">
        <v>8</v>
      </c>
      <c r="BG676" s="42" t="n">
        <v>10</v>
      </c>
    </row>
  </sheetData>
  <mergeCells count="323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5:F155"/>
    <mergeCell ref="G15:G19"/>
    <mergeCell ref="H15:H19"/>
    <mergeCell ref="I15:I19"/>
    <mergeCell ref="J15:J19"/>
    <mergeCell ref="K15:K19"/>
    <mergeCell ref="L15:L19"/>
    <mergeCell ref="M15:M19"/>
    <mergeCell ref="AF15:AF19"/>
    <mergeCell ref="AG15:AG19"/>
    <mergeCell ref="AH15:AH19"/>
    <mergeCell ref="AI15:AI19"/>
    <mergeCell ref="AJ15:AJ19"/>
    <mergeCell ref="AK15:AK19"/>
    <mergeCell ref="N16:N18"/>
    <mergeCell ref="O16:O18"/>
    <mergeCell ref="P16:P18"/>
    <mergeCell ref="Q16:Q18"/>
    <mergeCell ref="R16:R18"/>
    <mergeCell ref="S16:S18"/>
    <mergeCell ref="T16:T18"/>
    <mergeCell ref="U16:U18"/>
    <mergeCell ref="V16:V18"/>
    <mergeCell ref="W16:W18"/>
    <mergeCell ref="X16:X18"/>
    <mergeCell ref="Y16:Y18"/>
    <mergeCell ref="G20:G24"/>
    <mergeCell ref="H20:H24"/>
    <mergeCell ref="I20:I24"/>
    <mergeCell ref="J20:J24"/>
    <mergeCell ref="K20:K24"/>
    <mergeCell ref="L20:L24"/>
    <mergeCell ref="M20:M24"/>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G25:G29"/>
    <mergeCell ref="H25:H29"/>
    <mergeCell ref="I25:I29"/>
    <mergeCell ref="J25:J29"/>
    <mergeCell ref="K25:K29"/>
    <mergeCell ref="L25:L29"/>
    <mergeCell ref="M25:M29"/>
    <mergeCell ref="AF25:AF29"/>
    <mergeCell ref="AG25:AG29"/>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G30:G34"/>
    <mergeCell ref="H30:H34"/>
    <mergeCell ref="I30:I34"/>
    <mergeCell ref="J30:J34"/>
    <mergeCell ref="K30:K34"/>
    <mergeCell ref="L30:L34"/>
    <mergeCell ref="M30:M34"/>
    <mergeCell ref="AF30:AF34"/>
    <mergeCell ref="AG30:AG34"/>
    <mergeCell ref="AH30:AH34"/>
    <mergeCell ref="AI30:AI34"/>
    <mergeCell ref="AJ30:AJ34"/>
    <mergeCell ref="AK30:AK34"/>
    <mergeCell ref="N31:N33"/>
    <mergeCell ref="O31:O33"/>
    <mergeCell ref="P31:P33"/>
    <mergeCell ref="Q31:Q33"/>
    <mergeCell ref="R31:R33"/>
    <mergeCell ref="S31:S33"/>
    <mergeCell ref="T31:T33"/>
    <mergeCell ref="U31:U33"/>
    <mergeCell ref="V31:V33"/>
    <mergeCell ref="W31:W33"/>
    <mergeCell ref="X31:X33"/>
    <mergeCell ref="Y31:Y33"/>
    <mergeCell ref="G35:G39"/>
    <mergeCell ref="H35:H39"/>
    <mergeCell ref="I35:I39"/>
    <mergeCell ref="J35:J39"/>
    <mergeCell ref="K35:K39"/>
    <mergeCell ref="L35:L39"/>
    <mergeCell ref="M35:M39"/>
    <mergeCell ref="AF35:AF39"/>
    <mergeCell ref="AG35:AG39"/>
    <mergeCell ref="AH35:AH39"/>
    <mergeCell ref="AI35:AI39"/>
    <mergeCell ref="AJ35:AJ39"/>
    <mergeCell ref="AK35:AK39"/>
    <mergeCell ref="N36:N38"/>
    <mergeCell ref="O36:O38"/>
    <mergeCell ref="P36:P38"/>
    <mergeCell ref="Q36:Q38"/>
    <mergeCell ref="R36:R38"/>
    <mergeCell ref="S36:S38"/>
    <mergeCell ref="T36:T38"/>
    <mergeCell ref="U36:U38"/>
    <mergeCell ref="V36:V38"/>
    <mergeCell ref="W36:W38"/>
    <mergeCell ref="X36:X38"/>
    <mergeCell ref="Y36:Y38"/>
    <mergeCell ref="G40:G44"/>
    <mergeCell ref="H40:H44"/>
    <mergeCell ref="I40:I44"/>
    <mergeCell ref="J40:J44"/>
    <mergeCell ref="K40:K44"/>
    <mergeCell ref="L40:L44"/>
    <mergeCell ref="M40:M44"/>
    <mergeCell ref="AF40:AF44"/>
    <mergeCell ref="AG40:AG44"/>
    <mergeCell ref="AH40:AH44"/>
    <mergeCell ref="AI40:AI44"/>
    <mergeCell ref="AJ40:AJ44"/>
    <mergeCell ref="AK40:AK44"/>
    <mergeCell ref="N41:N43"/>
    <mergeCell ref="O41:O43"/>
    <mergeCell ref="P41:P43"/>
    <mergeCell ref="Q41:Q43"/>
    <mergeCell ref="R41:R43"/>
    <mergeCell ref="S41:S43"/>
    <mergeCell ref="T41:T43"/>
    <mergeCell ref="U41:U43"/>
    <mergeCell ref="V41:V43"/>
    <mergeCell ref="W41:W43"/>
    <mergeCell ref="X41:X43"/>
    <mergeCell ref="Y41:Y43"/>
    <mergeCell ref="G45:G49"/>
    <mergeCell ref="H45:H49"/>
    <mergeCell ref="I45:I49"/>
    <mergeCell ref="J45:J49"/>
    <mergeCell ref="K45:K49"/>
    <mergeCell ref="L45:L49"/>
    <mergeCell ref="M45:M49"/>
    <mergeCell ref="AF45:AF49"/>
    <mergeCell ref="AG45:AG49"/>
    <mergeCell ref="AH45:AH49"/>
    <mergeCell ref="AI45:AI49"/>
    <mergeCell ref="AJ45:AJ49"/>
    <mergeCell ref="AK45:AK49"/>
    <mergeCell ref="N46:N48"/>
    <mergeCell ref="O46:O48"/>
    <mergeCell ref="P46:P48"/>
    <mergeCell ref="Q46:Q48"/>
    <mergeCell ref="R46:R48"/>
    <mergeCell ref="S46:S48"/>
    <mergeCell ref="T46:T48"/>
    <mergeCell ref="U46:U48"/>
    <mergeCell ref="V46:V48"/>
    <mergeCell ref="W46:W48"/>
    <mergeCell ref="X46:X48"/>
    <mergeCell ref="Y46:Y48"/>
    <mergeCell ref="G50:G54"/>
    <mergeCell ref="H50:H54"/>
    <mergeCell ref="I50:I54"/>
    <mergeCell ref="J50:J54"/>
    <mergeCell ref="K50:K54"/>
    <mergeCell ref="L50:L54"/>
    <mergeCell ref="M50:M54"/>
    <mergeCell ref="AF50:AF54"/>
    <mergeCell ref="AG50:AG54"/>
    <mergeCell ref="AH50:AH54"/>
    <mergeCell ref="AI50:AI54"/>
    <mergeCell ref="AJ50:AJ54"/>
    <mergeCell ref="AK50:AK54"/>
    <mergeCell ref="N51:N53"/>
    <mergeCell ref="O51:O53"/>
    <mergeCell ref="P51:P53"/>
    <mergeCell ref="Q51:Q53"/>
    <mergeCell ref="R51:R53"/>
    <mergeCell ref="S51:S53"/>
    <mergeCell ref="T51:T53"/>
    <mergeCell ref="U51:U53"/>
    <mergeCell ref="V51:V53"/>
    <mergeCell ref="W51:W53"/>
    <mergeCell ref="X51:X53"/>
    <mergeCell ref="Y51:Y53"/>
    <mergeCell ref="G55:G59"/>
    <mergeCell ref="H55:H59"/>
    <mergeCell ref="I55:I59"/>
    <mergeCell ref="J55:J59"/>
    <mergeCell ref="K55:K59"/>
    <mergeCell ref="L55:L59"/>
    <mergeCell ref="M55:M59"/>
    <mergeCell ref="AF55:AF59"/>
    <mergeCell ref="AG55:AG59"/>
    <mergeCell ref="AH55:AH59"/>
    <mergeCell ref="AI55:AI59"/>
    <mergeCell ref="AJ55:AJ59"/>
    <mergeCell ref="AK55:AK59"/>
    <mergeCell ref="N56:N58"/>
    <mergeCell ref="O56:O58"/>
    <mergeCell ref="P56:P58"/>
    <mergeCell ref="Q56:Q58"/>
    <mergeCell ref="R56:R58"/>
    <mergeCell ref="S56:S58"/>
    <mergeCell ref="T56:T58"/>
    <mergeCell ref="U56:U58"/>
    <mergeCell ref="V56:V58"/>
    <mergeCell ref="W56:W58"/>
    <mergeCell ref="X56:X58"/>
    <mergeCell ref="Y56:Y58"/>
    <mergeCell ref="G60:G64"/>
    <mergeCell ref="H60:H64"/>
    <mergeCell ref="I60:I64"/>
    <mergeCell ref="J60:J64"/>
    <mergeCell ref="K60:K64"/>
    <mergeCell ref="L60:L64"/>
    <mergeCell ref="M60:M64"/>
    <mergeCell ref="AF60:AF64"/>
    <mergeCell ref="AG60:AG64"/>
    <mergeCell ref="AH60:AH64"/>
    <mergeCell ref="AI60:AI64"/>
    <mergeCell ref="AJ60:AJ64"/>
    <mergeCell ref="AK60:AK64"/>
    <mergeCell ref="N61:N63"/>
    <mergeCell ref="O61:O63"/>
    <mergeCell ref="P61:P63"/>
    <mergeCell ref="Q61:Q63"/>
    <mergeCell ref="R61:R63"/>
    <mergeCell ref="S61:S63"/>
    <mergeCell ref="T61:T63"/>
    <mergeCell ref="U61:U63"/>
    <mergeCell ref="V61:V63"/>
    <mergeCell ref="W61:W63"/>
    <mergeCell ref="X61:X63"/>
    <mergeCell ref="Y61:Y63"/>
    <mergeCell ref="G65:G69"/>
    <mergeCell ref="H65:H69"/>
    <mergeCell ref="I65:I69"/>
    <mergeCell ref="J65:J69"/>
    <mergeCell ref="K65:K69"/>
    <mergeCell ref="L65:L69"/>
    <mergeCell ref="M65:M69"/>
    <mergeCell ref="AF65:AF69"/>
    <mergeCell ref="AG65:AG69"/>
    <mergeCell ref="AH65:AH69"/>
    <mergeCell ref="AI65:AI69"/>
    <mergeCell ref="AJ65:AJ69"/>
    <mergeCell ref="AK65:AK69"/>
    <mergeCell ref="N66:N68"/>
    <mergeCell ref="O66:O68"/>
    <mergeCell ref="P66:P68"/>
    <mergeCell ref="Q66:Q68"/>
    <mergeCell ref="R66:R68"/>
    <mergeCell ref="S66:S68"/>
    <mergeCell ref="T66:T68"/>
    <mergeCell ref="U66:U68"/>
    <mergeCell ref="V66:V68"/>
    <mergeCell ref="W66:W68"/>
    <mergeCell ref="X66:X68"/>
    <mergeCell ref="Y66:Y68"/>
    <mergeCell ref="G70:G74"/>
    <mergeCell ref="H70:H74"/>
    <mergeCell ref="I70:I74"/>
    <mergeCell ref="J70:J74"/>
    <mergeCell ref="K70:K74"/>
    <mergeCell ref="L70:L74"/>
    <mergeCell ref="M70:M74"/>
    <mergeCell ref="AF70:AF74"/>
    <mergeCell ref="AG70:AG74"/>
    <mergeCell ref="AH70:AH74"/>
    <mergeCell ref="AI70:AI74"/>
    <mergeCell ref="AJ70:AJ74"/>
    <mergeCell ref="AK70:AK74"/>
    <mergeCell ref="N71:N73"/>
    <mergeCell ref="O71:O73"/>
    <mergeCell ref="P71:P73"/>
    <mergeCell ref="Q71:Q73"/>
    <mergeCell ref="R71:R73"/>
    <mergeCell ref="S71:S73"/>
    <mergeCell ref="T71:T73"/>
    <mergeCell ref="U71:U73"/>
    <mergeCell ref="V71:V73"/>
    <mergeCell ref="W71:W73"/>
    <mergeCell ref="X71:X73"/>
    <mergeCell ref="Y71:Y73"/>
    <mergeCell ref="G75:G79"/>
    <mergeCell ref="H75:H79"/>
    <mergeCell ref="I75:I79"/>
    <mergeCell ref="J75:J79"/>
    <mergeCell ref="K75:K79"/>
    <mergeCell ref="L75:L79"/>
    <mergeCell ref="M75:M79"/>
    <mergeCell ref="AF75:AF79"/>
    <mergeCell ref="AG75:AG79"/>
    <mergeCell ref="AH75:AH79"/>
    <mergeCell ref="AI75:AI79"/>
    <mergeCell ref="AJ75:AJ79"/>
    <mergeCell ref="AK75:AK79"/>
    <mergeCell ref="N76:N78"/>
    <mergeCell ref="O76:O78"/>
    <mergeCell ref="P76:P78"/>
    <mergeCell ref="Q76:Q78"/>
    <mergeCell ref="R76:R78"/>
    <mergeCell ref="S76:S78"/>
    <mergeCell ref="T76:T78"/>
    <mergeCell ref="U76:U78"/>
    <mergeCell ref="V76:V78"/>
    <mergeCell ref="W76:W78"/>
    <mergeCell ref="X76:X78"/>
    <mergeCell ref="Y76:Y78"/>
    <mergeCell ref="G80:G84"/>
    <mergeCell ref="H80:H84"/>
    <mergeCell ref="I80:I84"/>
    <mergeCell ref="J80:J84"/>
    <mergeCell ref="K80:K84"/>
    <mergeCell ref="L80:L84"/>
    <mergeCell ref="M80:M84"/>
    <mergeCell ref="AF80:AF84"/>
    <mergeCell ref="AG80:AG84"/>
    <mergeCell ref="AH80:AH84"/>
    <mergeCell ref="AI80:AI84"/>
    <mergeCell ref="AJ80:AJ84"/>
    <mergeCell ref="AK80:AK84"/>
    <mergeCell ref="N81:N83"/>
    <mergeCell ref="O81:O83"/>
    <mergeCell ref="P81:P83"/>
    <mergeCell ref="Q81:Q83"/>
    <mergeCell ref="R81:R83"/>
    <mergeCell ref="S81:S83"/>
    <mergeCell ref="T81:T83"/>
    <mergeCell ref="U81:U83"/>
    <mergeCell ref="V81:V83"/>
    <mergeCell ref="W81:W83"/>
    <mergeCell ref="X81:X83"/>
    <mergeCell ref="Y81:Y83"/>
    <mergeCell ref="G85:G89"/>
    <mergeCell ref="H85:H89"/>
    <mergeCell ref="I85:I89"/>
    <mergeCell ref="J85:J89"/>
    <mergeCell ref="K85:K89"/>
    <mergeCell ref="L85:L89"/>
    <mergeCell ref="M85:M89"/>
    <mergeCell ref="AF85:AF89"/>
    <mergeCell ref="AG85:AG89"/>
    <mergeCell ref="AH85:AH89"/>
    <mergeCell ref="AI85:AI89"/>
    <mergeCell ref="AJ85:AJ89"/>
    <mergeCell ref="AK85:AK89"/>
    <mergeCell ref="N86:N88"/>
    <mergeCell ref="O86:O88"/>
    <mergeCell ref="P86:P88"/>
    <mergeCell ref="Q86:Q88"/>
    <mergeCell ref="R86:R88"/>
    <mergeCell ref="S86:S88"/>
    <mergeCell ref="T86:T88"/>
    <mergeCell ref="U86:U88"/>
    <mergeCell ref="V86:V88"/>
    <mergeCell ref="W86:W88"/>
    <mergeCell ref="X86:X88"/>
    <mergeCell ref="Y86:Y88"/>
    <mergeCell ref="G90:G94"/>
    <mergeCell ref="H90:H94"/>
    <mergeCell ref="I90:I94"/>
    <mergeCell ref="J90:J94"/>
    <mergeCell ref="K90:K94"/>
    <mergeCell ref="L90:L94"/>
    <mergeCell ref="M90:M94"/>
    <mergeCell ref="AF90:AF94"/>
    <mergeCell ref="AG90:AG94"/>
    <mergeCell ref="AH90:AH94"/>
    <mergeCell ref="AI90:AI94"/>
    <mergeCell ref="AJ90:AJ94"/>
    <mergeCell ref="AK90:AK94"/>
    <mergeCell ref="N91:N93"/>
    <mergeCell ref="O91:O93"/>
    <mergeCell ref="P91:P93"/>
    <mergeCell ref="Q91:Q93"/>
    <mergeCell ref="R91:R93"/>
    <mergeCell ref="S91:S93"/>
    <mergeCell ref="T91:T93"/>
    <mergeCell ref="U91:U93"/>
    <mergeCell ref="V91:V93"/>
    <mergeCell ref="W91:W93"/>
    <mergeCell ref="X91:X93"/>
    <mergeCell ref="Y91:Y93"/>
    <mergeCell ref="G95:G99"/>
    <mergeCell ref="H95:H99"/>
    <mergeCell ref="I95:I99"/>
    <mergeCell ref="J95:J99"/>
    <mergeCell ref="K95:K99"/>
    <mergeCell ref="L95:L99"/>
    <mergeCell ref="M95:M99"/>
    <mergeCell ref="AF95:AF99"/>
    <mergeCell ref="AG95:AG99"/>
    <mergeCell ref="AH95:AH99"/>
    <mergeCell ref="AI95:AI99"/>
    <mergeCell ref="AJ95:AJ99"/>
    <mergeCell ref="AK95:AK99"/>
    <mergeCell ref="N96:N98"/>
    <mergeCell ref="O96:O98"/>
    <mergeCell ref="P96:P98"/>
    <mergeCell ref="Q96:Q98"/>
    <mergeCell ref="R96:R98"/>
    <mergeCell ref="S96:S98"/>
    <mergeCell ref="T96:T98"/>
    <mergeCell ref="U96:U98"/>
    <mergeCell ref="V96:V98"/>
    <mergeCell ref="W96:W98"/>
    <mergeCell ref="X96:X98"/>
    <mergeCell ref="Y96:Y98"/>
    <mergeCell ref="G100:G105"/>
    <mergeCell ref="H100:H105"/>
    <mergeCell ref="I100:I105"/>
    <mergeCell ref="J100:J105"/>
    <mergeCell ref="K100:K105"/>
    <mergeCell ref="L100:L105"/>
    <mergeCell ref="M100:M105"/>
    <mergeCell ref="AF100:AF105"/>
    <mergeCell ref="AG100:AG105"/>
    <mergeCell ref="AH100:AH105"/>
    <mergeCell ref="AI100:AI105"/>
    <mergeCell ref="AJ100:AJ105"/>
    <mergeCell ref="AK100:AK105"/>
    <mergeCell ref="N101:N104"/>
    <mergeCell ref="O101:O104"/>
    <mergeCell ref="P101:P104"/>
    <mergeCell ref="Q101:Q104"/>
    <mergeCell ref="R101:R104"/>
    <mergeCell ref="S101:S104"/>
    <mergeCell ref="T101:T104"/>
    <mergeCell ref="U101:U104"/>
    <mergeCell ref="V101:V104"/>
    <mergeCell ref="W101:W104"/>
    <mergeCell ref="X101:X104"/>
    <mergeCell ref="Y101:Y104"/>
    <mergeCell ref="G106:G111"/>
    <mergeCell ref="H106:H111"/>
    <mergeCell ref="I106:I111"/>
    <mergeCell ref="J106:J111"/>
    <mergeCell ref="K106:K111"/>
    <mergeCell ref="L106:L111"/>
    <mergeCell ref="M106:M111"/>
    <mergeCell ref="AF106:AF111"/>
    <mergeCell ref="AG106:AG111"/>
    <mergeCell ref="AH106:AH111"/>
    <mergeCell ref="AI106:AI111"/>
    <mergeCell ref="AJ106:AJ111"/>
    <mergeCell ref="AK106:AK111"/>
    <mergeCell ref="N107:N110"/>
    <mergeCell ref="O107:O110"/>
    <mergeCell ref="P107:P110"/>
    <mergeCell ref="Q107:Q110"/>
    <mergeCell ref="R107:R110"/>
    <mergeCell ref="S107:S110"/>
    <mergeCell ref="T107:T110"/>
    <mergeCell ref="U107:U110"/>
    <mergeCell ref="V107:V110"/>
    <mergeCell ref="W107:W110"/>
    <mergeCell ref="X107:X110"/>
    <mergeCell ref="Y107:Y110"/>
    <mergeCell ref="G112:G117"/>
    <mergeCell ref="H112:H117"/>
    <mergeCell ref="I112:I117"/>
    <mergeCell ref="J112:J117"/>
    <mergeCell ref="K112:K117"/>
    <mergeCell ref="L112:L117"/>
    <mergeCell ref="M112:M117"/>
    <mergeCell ref="AF112:AF117"/>
    <mergeCell ref="AG112:AG117"/>
    <mergeCell ref="AH112:AH117"/>
    <mergeCell ref="AI112:AI117"/>
    <mergeCell ref="AJ112:AJ117"/>
    <mergeCell ref="AK112:AK117"/>
    <mergeCell ref="N113:N116"/>
    <mergeCell ref="O113:O116"/>
    <mergeCell ref="P113:P116"/>
    <mergeCell ref="Q113:Q116"/>
    <mergeCell ref="R113:R116"/>
    <mergeCell ref="S113:S116"/>
    <mergeCell ref="T113:T116"/>
    <mergeCell ref="U113:U116"/>
    <mergeCell ref="V113:V116"/>
    <mergeCell ref="W113:W116"/>
    <mergeCell ref="X113:X116"/>
    <mergeCell ref="Y113:Y116"/>
    <mergeCell ref="G118:G123"/>
    <mergeCell ref="H118:H123"/>
    <mergeCell ref="I118:I123"/>
    <mergeCell ref="J118:J123"/>
    <mergeCell ref="K118:K123"/>
    <mergeCell ref="L118:L123"/>
    <mergeCell ref="M118:M123"/>
    <mergeCell ref="AF118:AF123"/>
    <mergeCell ref="AG118:AG123"/>
    <mergeCell ref="AH118:AH123"/>
    <mergeCell ref="AI118:AI123"/>
    <mergeCell ref="AJ118:AJ123"/>
    <mergeCell ref="AK118:AK123"/>
    <mergeCell ref="N119:N122"/>
    <mergeCell ref="O119:O122"/>
    <mergeCell ref="P119:P122"/>
    <mergeCell ref="Q119:Q122"/>
    <mergeCell ref="R119:R122"/>
    <mergeCell ref="S119:S122"/>
    <mergeCell ref="T119:T122"/>
    <mergeCell ref="U119:U122"/>
    <mergeCell ref="V119:V122"/>
    <mergeCell ref="W119:W122"/>
    <mergeCell ref="X119:X122"/>
    <mergeCell ref="Y119:Y122"/>
    <mergeCell ref="G124:G128"/>
    <mergeCell ref="H124:H128"/>
    <mergeCell ref="I124:I128"/>
    <mergeCell ref="J124:J128"/>
    <mergeCell ref="K124:K128"/>
    <mergeCell ref="L124:L128"/>
    <mergeCell ref="M124:M128"/>
    <mergeCell ref="AF124:AF128"/>
    <mergeCell ref="AG124:AG128"/>
    <mergeCell ref="AH124:AH128"/>
    <mergeCell ref="AI124:AI128"/>
    <mergeCell ref="AJ124:AJ128"/>
    <mergeCell ref="AK124:AK128"/>
    <mergeCell ref="N125:N127"/>
    <mergeCell ref="O125:O127"/>
    <mergeCell ref="P125:P127"/>
    <mergeCell ref="Q125:Q127"/>
    <mergeCell ref="R125:R127"/>
    <mergeCell ref="S125:S127"/>
    <mergeCell ref="T125:T127"/>
    <mergeCell ref="U125:U127"/>
    <mergeCell ref="V125:V127"/>
    <mergeCell ref="W125:W127"/>
    <mergeCell ref="X125:X127"/>
    <mergeCell ref="Y125:Y127"/>
    <mergeCell ref="G129:G133"/>
    <mergeCell ref="H129:H133"/>
    <mergeCell ref="I129:I133"/>
    <mergeCell ref="J129:J133"/>
    <mergeCell ref="K129:K133"/>
    <mergeCell ref="L129:L133"/>
    <mergeCell ref="M129:M133"/>
    <mergeCell ref="AF129:AF133"/>
    <mergeCell ref="AG129:AG133"/>
    <mergeCell ref="AH129:AH133"/>
    <mergeCell ref="AI129:AI133"/>
    <mergeCell ref="AJ129:AJ133"/>
    <mergeCell ref="AK129:AK133"/>
    <mergeCell ref="N130:N132"/>
    <mergeCell ref="O130:O132"/>
    <mergeCell ref="P130:P132"/>
    <mergeCell ref="Q130:Q132"/>
    <mergeCell ref="R130:R132"/>
    <mergeCell ref="S130:S132"/>
    <mergeCell ref="T130:T132"/>
    <mergeCell ref="U130:U132"/>
    <mergeCell ref="V130:V132"/>
    <mergeCell ref="W130:W132"/>
    <mergeCell ref="X130:X132"/>
    <mergeCell ref="Y130:Y132"/>
    <mergeCell ref="G134:G138"/>
    <mergeCell ref="H134:H138"/>
    <mergeCell ref="I134:I138"/>
    <mergeCell ref="J134:J138"/>
    <mergeCell ref="K134:K138"/>
    <mergeCell ref="L134:L138"/>
    <mergeCell ref="M134:M138"/>
    <mergeCell ref="AF134:AF138"/>
    <mergeCell ref="AG134:AG138"/>
    <mergeCell ref="AH134:AH138"/>
    <mergeCell ref="AI134:AI138"/>
    <mergeCell ref="AJ134:AJ138"/>
    <mergeCell ref="AK134:AK138"/>
    <mergeCell ref="N135:N137"/>
    <mergeCell ref="O135:O137"/>
    <mergeCell ref="P135:P137"/>
    <mergeCell ref="Q135:Q137"/>
    <mergeCell ref="R135:R137"/>
    <mergeCell ref="S135:S137"/>
    <mergeCell ref="T135:T137"/>
    <mergeCell ref="U135:U137"/>
    <mergeCell ref="V135:V137"/>
    <mergeCell ref="W135:W137"/>
    <mergeCell ref="X135:X137"/>
    <mergeCell ref="Y135:Y137"/>
    <mergeCell ref="G139:G143"/>
    <mergeCell ref="H139:H143"/>
    <mergeCell ref="I139:I143"/>
    <mergeCell ref="J139:J143"/>
    <mergeCell ref="K139:K143"/>
    <mergeCell ref="L139:L143"/>
    <mergeCell ref="M139:M143"/>
    <mergeCell ref="AF139:AF143"/>
    <mergeCell ref="AG139:AG143"/>
    <mergeCell ref="AH139:AH143"/>
    <mergeCell ref="AI139:AI143"/>
    <mergeCell ref="AJ139:AJ143"/>
    <mergeCell ref="AK139:AK143"/>
    <mergeCell ref="N140:N142"/>
    <mergeCell ref="O140:O142"/>
    <mergeCell ref="P140:P142"/>
    <mergeCell ref="Q140:Q142"/>
    <mergeCell ref="R140:R142"/>
    <mergeCell ref="S140:S142"/>
    <mergeCell ref="T140:T142"/>
    <mergeCell ref="U140:U142"/>
    <mergeCell ref="V140:V142"/>
    <mergeCell ref="W140:W142"/>
    <mergeCell ref="X140:X142"/>
    <mergeCell ref="Y140:Y142"/>
    <mergeCell ref="G144:G148"/>
    <mergeCell ref="H144:H148"/>
    <mergeCell ref="I144:I148"/>
    <mergeCell ref="J144:J148"/>
    <mergeCell ref="K144:K148"/>
    <mergeCell ref="L144:L148"/>
    <mergeCell ref="M144:M148"/>
    <mergeCell ref="AF144:AF148"/>
    <mergeCell ref="AG144:AG148"/>
    <mergeCell ref="AH144:AH148"/>
    <mergeCell ref="AI144:AI148"/>
    <mergeCell ref="AJ144:AJ148"/>
    <mergeCell ref="AK144:AK148"/>
    <mergeCell ref="N145:N147"/>
    <mergeCell ref="O145:O147"/>
    <mergeCell ref="P145:P147"/>
    <mergeCell ref="Q145:Q147"/>
    <mergeCell ref="R145:R147"/>
    <mergeCell ref="S145:S147"/>
    <mergeCell ref="T145:T147"/>
    <mergeCell ref="U145:U147"/>
    <mergeCell ref="V145:V147"/>
    <mergeCell ref="W145:W147"/>
    <mergeCell ref="X145:X147"/>
    <mergeCell ref="Y145:Y147"/>
    <mergeCell ref="G149:G154"/>
    <mergeCell ref="H149:H154"/>
    <mergeCell ref="I149:I154"/>
    <mergeCell ref="J149:J154"/>
    <mergeCell ref="K149:K154"/>
    <mergeCell ref="L149:L154"/>
    <mergeCell ref="M149:M154"/>
    <mergeCell ref="AF149:AF154"/>
    <mergeCell ref="AG149:AG154"/>
    <mergeCell ref="AH149:AH154"/>
    <mergeCell ref="AI149:AI154"/>
    <mergeCell ref="AJ149:AJ154"/>
    <mergeCell ref="AK149:AK154"/>
    <mergeCell ref="N150:N153"/>
    <mergeCell ref="O150:O153"/>
    <mergeCell ref="P150:P153"/>
    <mergeCell ref="Q150:Q153"/>
    <mergeCell ref="R150:R153"/>
    <mergeCell ref="S150:S153"/>
    <mergeCell ref="T150:T153"/>
    <mergeCell ref="U150:U153"/>
    <mergeCell ref="V150:V153"/>
    <mergeCell ref="W150:W153"/>
    <mergeCell ref="X150:X153"/>
    <mergeCell ref="Y150:Y153"/>
    <mergeCell ref="I155:K155"/>
    <mergeCell ref="F156:F321"/>
    <mergeCell ref="G156:G160"/>
    <mergeCell ref="H156:H160"/>
    <mergeCell ref="I156:I160"/>
    <mergeCell ref="J156:J160"/>
    <mergeCell ref="K156:K160"/>
    <mergeCell ref="L156:L160"/>
    <mergeCell ref="M156:M160"/>
    <mergeCell ref="AF156:AF160"/>
    <mergeCell ref="AG156:AG160"/>
    <mergeCell ref="AH156:AH160"/>
    <mergeCell ref="AI156:AI160"/>
    <mergeCell ref="AJ156:AJ160"/>
    <mergeCell ref="AK156:AK160"/>
    <mergeCell ref="N157:N159"/>
    <mergeCell ref="O157:O159"/>
    <mergeCell ref="P157:P159"/>
    <mergeCell ref="Q157:Q159"/>
    <mergeCell ref="R157:R159"/>
    <mergeCell ref="S157:S159"/>
    <mergeCell ref="T157:T159"/>
    <mergeCell ref="U157:U159"/>
    <mergeCell ref="V157:V159"/>
    <mergeCell ref="W157:W159"/>
    <mergeCell ref="X157:X159"/>
    <mergeCell ref="Y157:Y159"/>
    <mergeCell ref="G161:G165"/>
    <mergeCell ref="H161:H165"/>
    <mergeCell ref="I161:I165"/>
    <mergeCell ref="J161:J165"/>
    <mergeCell ref="K161:K165"/>
    <mergeCell ref="L161:L165"/>
    <mergeCell ref="M161:M165"/>
    <mergeCell ref="AF161:AF165"/>
    <mergeCell ref="AG161:AG165"/>
    <mergeCell ref="AH161:AH165"/>
    <mergeCell ref="AI161:AI165"/>
    <mergeCell ref="AJ161:AJ165"/>
    <mergeCell ref="AK161:AK165"/>
    <mergeCell ref="N162:N164"/>
    <mergeCell ref="O162:O164"/>
    <mergeCell ref="P162:P164"/>
    <mergeCell ref="Q162:Q164"/>
    <mergeCell ref="R162:R164"/>
    <mergeCell ref="S162:S164"/>
    <mergeCell ref="T162:T164"/>
    <mergeCell ref="U162:U164"/>
    <mergeCell ref="V162:V164"/>
    <mergeCell ref="W162:W164"/>
    <mergeCell ref="X162:X164"/>
    <mergeCell ref="Y162:Y164"/>
    <mergeCell ref="G166:G170"/>
    <mergeCell ref="H166:H170"/>
    <mergeCell ref="I166:I170"/>
    <mergeCell ref="J166:J170"/>
    <mergeCell ref="K166:K170"/>
    <mergeCell ref="L166:L170"/>
    <mergeCell ref="M166:M170"/>
    <mergeCell ref="AF166:AF170"/>
    <mergeCell ref="AG166:AG170"/>
    <mergeCell ref="AH166:AH170"/>
    <mergeCell ref="AI166:AI170"/>
    <mergeCell ref="AJ166:AJ170"/>
    <mergeCell ref="AK166:AK170"/>
    <mergeCell ref="N167:N169"/>
    <mergeCell ref="O167:O169"/>
    <mergeCell ref="P167:P169"/>
    <mergeCell ref="Q167:Q169"/>
    <mergeCell ref="R167:R169"/>
    <mergeCell ref="S167:S169"/>
    <mergeCell ref="T167:T169"/>
    <mergeCell ref="U167:U169"/>
    <mergeCell ref="V167:V169"/>
    <mergeCell ref="W167:W169"/>
    <mergeCell ref="X167:X169"/>
    <mergeCell ref="Y167:Y169"/>
    <mergeCell ref="G171:G175"/>
    <mergeCell ref="H171:H175"/>
    <mergeCell ref="I171:I175"/>
    <mergeCell ref="J171:J175"/>
    <mergeCell ref="K171:K175"/>
    <mergeCell ref="L171:L175"/>
    <mergeCell ref="M171:M175"/>
    <mergeCell ref="AF171:AF175"/>
    <mergeCell ref="AG171:AG175"/>
    <mergeCell ref="AH171:AH175"/>
    <mergeCell ref="AI171:AI175"/>
    <mergeCell ref="AJ171:AJ175"/>
    <mergeCell ref="AK171:AK175"/>
    <mergeCell ref="N172:N174"/>
    <mergeCell ref="O172:O174"/>
    <mergeCell ref="P172:P174"/>
    <mergeCell ref="Q172:Q174"/>
    <mergeCell ref="R172:R174"/>
    <mergeCell ref="S172:S174"/>
    <mergeCell ref="T172:T174"/>
    <mergeCell ref="U172:U174"/>
    <mergeCell ref="V172:V174"/>
    <mergeCell ref="W172:W174"/>
    <mergeCell ref="X172:X174"/>
    <mergeCell ref="Y172:Y174"/>
    <mergeCell ref="G176:G180"/>
    <mergeCell ref="H176:H180"/>
    <mergeCell ref="I176:I180"/>
    <mergeCell ref="J176:J180"/>
    <mergeCell ref="K176:K180"/>
    <mergeCell ref="L176:L180"/>
    <mergeCell ref="M176:M180"/>
    <mergeCell ref="AF176:AF180"/>
    <mergeCell ref="AG176:AG180"/>
    <mergeCell ref="AH176:AH180"/>
    <mergeCell ref="AI176:AI180"/>
    <mergeCell ref="AJ176:AJ180"/>
    <mergeCell ref="AK176:AK180"/>
    <mergeCell ref="N177:N179"/>
    <mergeCell ref="O177:O179"/>
    <mergeCell ref="P177:P179"/>
    <mergeCell ref="Q177:Q179"/>
    <mergeCell ref="R177:R179"/>
    <mergeCell ref="S177:S179"/>
    <mergeCell ref="T177:T179"/>
    <mergeCell ref="U177:U179"/>
    <mergeCell ref="V177:V179"/>
    <mergeCell ref="W177:W179"/>
    <mergeCell ref="X177:X179"/>
    <mergeCell ref="Y177:Y179"/>
    <mergeCell ref="G181:G185"/>
    <mergeCell ref="H181:H185"/>
    <mergeCell ref="I181:I185"/>
    <mergeCell ref="J181:J185"/>
    <mergeCell ref="K181:K185"/>
    <mergeCell ref="L181:L185"/>
    <mergeCell ref="M181:M185"/>
    <mergeCell ref="AF181:AF185"/>
    <mergeCell ref="AG181:AG185"/>
    <mergeCell ref="AH181:AH185"/>
    <mergeCell ref="AI181:AI185"/>
    <mergeCell ref="AJ181:AJ185"/>
    <mergeCell ref="AK181:AK185"/>
    <mergeCell ref="N182:N184"/>
    <mergeCell ref="O182:O184"/>
    <mergeCell ref="P182:P184"/>
    <mergeCell ref="Q182:Q184"/>
    <mergeCell ref="R182:R184"/>
    <mergeCell ref="S182:S184"/>
    <mergeCell ref="T182:T184"/>
    <mergeCell ref="U182:U184"/>
    <mergeCell ref="V182:V184"/>
    <mergeCell ref="W182:W184"/>
    <mergeCell ref="X182:X184"/>
    <mergeCell ref="Y182:Y184"/>
    <mergeCell ref="G186:G190"/>
    <mergeCell ref="H186:H190"/>
    <mergeCell ref="I186:I190"/>
    <mergeCell ref="J186:J190"/>
    <mergeCell ref="K186:K190"/>
    <mergeCell ref="L186:L190"/>
    <mergeCell ref="M186:M190"/>
    <mergeCell ref="AF186:AF190"/>
    <mergeCell ref="AG186:AG190"/>
    <mergeCell ref="AH186:AH190"/>
    <mergeCell ref="AI186:AI190"/>
    <mergeCell ref="AJ186:AJ190"/>
    <mergeCell ref="AK186:AK190"/>
    <mergeCell ref="N187:N189"/>
    <mergeCell ref="O187:O189"/>
    <mergeCell ref="P187:P189"/>
    <mergeCell ref="Q187:Q189"/>
    <mergeCell ref="R187:R189"/>
    <mergeCell ref="S187:S189"/>
    <mergeCell ref="T187:T189"/>
    <mergeCell ref="U187:U189"/>
    <mergeCell ref="V187:V189"/>
    <mergeCell ref="W187:W189"/>
    <mergeCell ref="X187:X189"/>
    <mergeCell ref="Y187:Y189"/>
    <mergeCell ref="G191:G195"/>
    <mergeCell ref="H191:H195"/>
    <mergeCell ref="I191:I195"/>
    <mergeCell ref="J191:J195"/>
    <mergeCell ref="K191:K195"/>
    <mergeCell ref="L191:L195"/>
    <mergeCell ref="M191:M195"/>
    <mergeCell ref="AF191:AF195"/>
    <mergeCell ref="AG191:AG195"/>
    <mergeCell ref="AH191:AH195"/>
    <mergeCell ref="AI191:AI195"/>
    <mergeCell ref="AJ191:AJ195"/>
    <mergeCell ref="AK191:AK195"/>
    <mergeCell ref="N192:N194"/>
    <mergeCell ref="O192:O194"/>
    <mergeCell ref="P192:P194"/>
    <mergeCell ref="Q192:Q194"/>
    <mergeCell ref="R192:R194"/>
    <mergeCell ref="S192:S194"/>
    <mergeCell ref="T192:T194"/>
    <mergeCell ref="U192:U194"/>
    <mergeCell ref="V192:V194"/>
    <mergeCell ref="W192:W194"/>
    <mergeCell ref="X192:X194"/>
    <mergeCell ref="Y192:Y194"/>
    <mergeCell ref="G196:G200"/>
    <mergeCell ref="H196:H200"/>
    <mergeCell ref="I196:I200"/>
    <mergeCell ref="J196:J200"/>
    <mergeCell ref="K196:K200"/>
    <mergeCell ref="L196:L200"/>
    <mergeCell ref="M196:M200"/>
    <mergeCell ref="AF196:AF200"/>
    <mergeCell ref="AG196:AG200"/>
    <mergeCell ref="AH196:AH200"/>
    <mergeCell ref="AI196:AI200"/>
    <mergeCell ref="AJ196:AJ200"/>
    <mergeCell ref="AK196:AK200"/>
    <mergeCell ref="N197:N199"/>
    <mergeCell ref="O197:O199"/>
    <mergeCell ref="P197:P199"/>
    <mergeCell ref="Q197:Q199"/>
    <mergeCell ref="R197:R199"/>
    <mergeCell ref="S197:S199"/>
    <mergeCell ref="T197:T199"/>
    <mergeCell ref="U197:U199"/>
    <mergeCell ref="V197:V199"/>
    <mergeCell ref="W197:W199"/>
    <mergeCell ref="X197:X199"/>
    <mergeCell ref="Y197:Y199"/>
    <mergeCell ref="G201:G205"/>
    <mergeCell ref="H201:H205"/>
    <mergeCell ref="I201:I205"/>
    <mergeCell ref="J201:J205"/>
    <mergeCell ref="K201:K205"/>
    <mergeCell ref="L201:L205"/>
    <mergeCell ref="M201:M205"/>
    <mergeCell ref="AF201:AF205"/>
    <mergeCell ref="AG201:AG205"/>
    <mergeCell ref="AH201:AH205"/>
    <mergeCell ref="AI201:AI205"/>
    <mergeCell ref="AJ201:AJ205"/>
    <mergeCell ref="AK201:AK205"/>
    <mergeCell ref="N202:N204"/>
    <mergeCell ref="O202:O204"/>
    <mergeCell ref="P202:P204"/>
    <mergeCell ref="Q202:Q204"/>
    <mergeCell ref="R202:R204"/>
    <mergeCell ref="S202:S204"/>
    <mergeCell ref="T202:T204"/>
    <mergeCell ref="U202:U204"/>
    <mergeCell ref="V202:V204"/>
    <mergeCell ref="W202:W204"/>
    <mergeCell ref="X202:X204"/>
    <mergeCell ref="Y202:Y204"/>
    <mergeCell ref="G206:G210"/>
    <mergeCell ref="H206:H210"/>
    <mergeCell ref="I206:I210"/>
    <mergeCell ref="J206:J210"/>
    <mergeCell ref="K206:K210"/>
    <mergeCell ref="L206:L210"/>
    <mergeCell ref="M206:M210"/>
    <mergeCell ref="AF206:AF210"/>
    <mergeCell ref="AG206:AG210"/>
    <mergeCell ref="AH206:AH210"/>
    <mergeCell ref="AI206:AI210"/>
    <mergeCell ref="AJ206:AJ210"/>
    <mergeCell ref="AK206:AK210"/>
    <mergeCell ref="N207:N209"/>
    <mergeCell ref="O207:O209"/>
    <mergeCell ref="P207:P209"/>
    <mergeCell ref="Q207:Q209"/>
    <mergeCell ref="R207:R209"/>
    <mergeCell ref="S207:S209"/>
    <mergeCell ref="T207:T209"/>
    <mergeCell ref="U207:U209"/>
    <mergeCell ref="V207:V209"/>
    <mergeCell ref="W207:W209"/>
    <mergeCell ref="X207:X209"/>
    <mergeCell ref="Y207:Y209"/>
    <mergeCell ref="G211:G215"/>
    <mergeCell ref="H211:H215"/>
    <mergeCell ref="I211:I215"/>
    <mergeCell ref="J211:J215"/>
    <mergeCell ref="K211:K215"/>
    <mergeCell ref="L211:L215"/>
    <mergeCell ref="M211:M215"/>
    <mergeCell ref="AF211:AF215"/>
    <mergeCell ref="AG211:AG215"/>
    <mergeCell ref="AH211:AH215"/>
    <mergeCell ref="AI211:AI215"/>
    <mergeCell ref="AJ211:AJ215"/>
    <mergeCell ref="AK211:AK215"/>
    <mergeCell ref="N212:N214"/>
    <mergeCell ref="O212:O214"/>
    <mergeCell ref="P212:P214"/>
    <mergeCell ref="Q212:Q214"/>
    <mergeCell ref="R212:R214"/>
    <mergeCell ref="S212:S214"/>
    <mergeCell ref="T212:T214"/>
    <mergeCell ref="U212:U214"/>
    <mergeCell ref="V212:V214"/>
    <mergeCell ref="W212:W214"/>
    <mergeCell ref="X212:X214"/>
    <mergeCell ref="Y212:Y214"/>
    <mergeCell ref="G216:G220"/>
    <mergeCell ref="H216:H220"/>
    <mergeCell ref="I216:I220"/>
    <mergeCell ref="J216:J220"/>
    <mergeCell ref="K216:K220"/>
    <mergeCell ref="L216:L220"/>
    <mergeCell ref="M216:M220"/>
    <mergeCell ref="AF216:AF220"/>
    <mergeCell ref="AG216:AG220"/>
    <mergeCell ref="AH216:AH220"/>
    <mergeCell ref="AI216:AI220"/>
    <mergeCell ref="AJ216:AJ220"/>
    <mergeCell ref="AK216:AK220"/>
    <mergeCell ref="N217:N219"/>
    <mergeCell ref="O217:O219"/>
    <mergeCell ref="P217:P219"/>
    <mergeCell ref="Q217:Q219"/>
    <mergeCell ref="R217:R219"/>
    <mergeCell ref="S217:S219"/>
    <mergeCell ref="T217:T219"/>
    <mergeCell ref="U217:U219"/>
    <mergeCell ref="V217:V219"/>
    <mergeCell ref="W217:W219"/>
    <mergeCell ref="X217:X219"/>
    <mergeCell ref="Y217:Y219"/>
    <mergeCell ref="G221:G225"/>
    <mergeCell ref="H221:H225"/>
    <mergeCell ref="I221:I225"/>
    <mergeCell ref="J221:J225"/>
    <mergeCell ref="K221:K225"/>
    <mergeCell ref="L221:L225"/>
    <mergeCell ref="M221:M225"/>
    <mergeCell ref="AF221:AF225"/>
    <mergeCell ref="AG221:AG225"/>
    <mergeCell ref="AH221:AH225"/>
    <mergeCell ref="AI221:AI225"/>
    <mergeCell ref="AJ221:AJ225"/>
    <mergeCell ref="AK221:AK225"/>
    <mergeCell ref="N222:N224"/>
    <mergeCell ref="O222:O224"/>
    <mergeCell ref="P222:P224"/>
    <mergeCell ref="Q222:Q224"/>
    <mergeCell ref="R222:R224"/>
    <mergeCell ref="S222:S224"/>
    <mergeCell ref="T222:T224"/>
    <mergeCell ref="U222:U224"/>
    <mergeCell ref="V222:V224"/>
    <mergeCell ref="W222:W224"/>
    <mergeCell ref="X222:X224"/>
    <mergeCell ref="Y222:Y224"/>
    <mergeCell ref="G226:G230"/>
    <mergeCell ref="H226:H230"/>
    <mergeCell ref="I226:I230"/>
    <mergeCell ref="J226:J230"/>
    <mergeCell ref="K226:K230"/>
    <mergeCell ref="L226:L230"/>
    <mergeCell ref="M226:M230"/>
    <mergeCell ref="AF226:AF230"/>
    <mergeCell ref="AG226:AG230"/>
    <mergeCell ref="AH226:AH230"/>
    <mergeCell ref="AI226:AI230"/>
    <mergeCell ref="AJ226:AJ230"/>
    <mergeCell ref="AK226:AK230"/>
    <mergeCell ref="N227:N229"/>
    <mergeCell ref="O227:O229"/>
    <mergeCell ref="P227:P229"/>
    <mergeCell ref="Q227:Q229"/>
    <mergeCell ref="R227:R229"/>
    <mergeCell ref="S227:S229"/>
    <mergeCell ref="T227:T229"/>
    <mergeCell ref="U227:U229"/>
    <mergeCell ref="V227:V229"/>
    <mergeCell ref="W227:W229"/>
    <mergeCell ref="X227:X229"/>
    <mergeCell ref="Y227:Y229"/>
    <mergeCell ref="G231:G235"/>
    <mergeCell ref="H231:H235"/>
    <mergeCell ref="I231:I235"/>
    <mergeCell ref="J231:J235"/>
    <mergeCell ref="K231:K235"/>
    <mergeCell ref="L231:L235"/>
    <mergeCell ref="M231:M235"/>
    <mergeCell ref="AF231:AF235"/>
    <mergeCell ref="AG231:AG235"/>
    <mergeCell ref="AH231:AH235"/>
    <mergeCell ref="AI231:AI235"/>
    <mergeCell ref="AJ231:AJ235"/>
    <mergeCell ref="AK231:AK235"/>
    <mergeCell ref="N232:N234"/>
    <mergeCell ref="O232:O234"/>
    <mergeCell ref="P232:P234"/>
    <mergeCell ref="Q232:Q234"/>
    <mergeCell ref="R232:R234"/>
    <mergeCell ref="S232:S234"/>
    <mergeCell ref="T232:T234"/>
    <mergeCell ref="U232:U234"/>
    <mergeCell ref="V232:V234"/>
    <mergeCell ref="W232:W234"/>
    <mergeCell ref="X232:X234"/>
    <mergeCell ref="Y232:Y234"/>
    <mergeCell ref="G236:G240"/>
    <mergeCell ref="H236:H240"/>
    <mergeCell ref="I236:I240"/>
    <mergeCell ref="J236:J240"/>
    <mergeCell ref="K236:K240"/>
    <mergeCell ref="L236:L240"/>
    <mergeCell ref="M236:M240"/>
    <mergeCell ref="AF236:AF240"/>
    <mergeCell ref="AG236:AG240"/>
    <mergeCell ref="AH236:AH240"/>
    <mergeCell ref="AI236:AI240"/>
    <mergeCell ref="AJ236:AJ240"/>
    <mergeCell ref="AK236:AK240"/>
    <mergeCell ref="N237:N239"/>
    <mergeCell ref="O237:O239"/>
    <mergeCell ref="P237:P239"/>
    <mergeCell ref="Q237:Q239"/>
    <mergeCell ref="R237:R239"/>
    <mergeCell ref="S237:S239"/>
    <mergeCell ref="T237:T239"/>
    <mergeCell ref="U237:U239"/>
    <mergeCell ref="V237:V239"/>
    <mergeCell ref="W237:W239"/>
    <mergeCell ref="X237:X239"/>
    <mergeCell ref="Y237:Y239"/>
    <mergeCell ref="G241:G245"/>
    <mergeCell ref="H241:H245"/>
    <mergeCell ref="I241:I245"/>
    <mergeCell ref="J241:J245"/>
    <mergeCell ref="K241:K245"/>
    <mergeCell ref="L241:L245"/>
    <mergeCell ref="M241:M245"/>
    <mergeCell ref="AF241:AF245"/>
    <mergeCell ref="AG241:AG245"/>
    <mergeCell ref="AH241:AH245"/>
    <mergeCell ref="AI241:AI245"/>
    <mergeCell ref="AJ241:AJ245"/>
    <mergeCell ref="AK241:AK245"/>
    <mergeCell ref="N242:N244"/>
    <mergeCell ref="O242:O244"/>
    <mergeCell ref="P242:P244"/>
    <mergeCell ref="Q242:Q244"/>
    <mergeCell ref="R242:R244"/>
    <mergeCell ref="S242:S244"/>
    <mergeCell ref="T242:T244"/>
    <mergeCell ref="U242:U244"/>
    <mergeCell ref="V242:V244"/>
    <mergeCell ref="W242:W244"/>
    <mergeCell ref="X242:X244"/>
    <mergeCell ref="Y242:Y244"/>
    <mergeCell ref="G246:G250"/>
    <mergeCell ref="H246:H250"/>
    <mergeCell ref="I246:I250"/>
    <mergeCell ref="J246:J250"/>
    <mergeCell ref="K246:K250"/>
    <mergeCell ref="L246:L250"/>
    <mergeCell ref="M246:M250"/>
    <mergeCell ref="AF246:AF250"/>
    <mergeCell ref="AG246:AG250"/>
    <mergeCell ref="AH246:AH250"/>
    <mergeCell ref="AI246:AI250"/>
    <mergeCell ref="AJ246:AJ250"/>
    <mergeCell ref="AK246:AK250"/>
    <mergeCell ref="N247:N249"/>
    <mergeCell ref="O247:O249"/>
    <mergeCell ref="P247:P249"/>
    <mergeCell ref="Q247:Q249"/>
    <mergeCell ref="R247:R249"/>
    <mergeCell ref="S247:S249"/>
    <mergeCell ref="T247:T249"/>
    <mergeCell ref="U247:U249"/>
    <mergeCell ref="V247:V249"/>
    <mergeCell ref="W247:W249"/>
    <mergeCell ref="X247:X249"/>
    <mergeCell ref="Y247:Y249"/>
    <mergeCell ref="G251:G255"/>
    <mergeCell ref="H251:H255"/>
    <mergeCell ref="I251:I255"/>
    <mergeCell ref="J251:J255"/>
    <mergeCell ref="K251:K255"/>
    <mergeCell ref="L251:L255"/>
    <mergeCell ref="M251:M255"/>
    <mergeCell ref="AF251:AF255"/>
    <mergeCell ref="AG251:AG255"/>
    <mergeCell ref="AH251:AH255"/>
    <mergeCell ref="AI251:AI255"/>
    <mergeCell ref="AJ251:AJ255"/>
    <mergeCell ref="AK251:AK255"/>
    <mergeCell ref="N252:N254"/>
    <mergeCell ref="O252:O254"/>
    <mergeCell ref="P252:P254"/>
    <mergeCell ref="Q252:Q254"/>
    <mergeCell ref="R252:R254"/>
    <mergeCell ref="S252:S254"/>
    <mergeCell ref="T252:T254"/>
    <mergeCell ref="U252:U254"/>
    <mergeCell ref="V252:V254"/>
    <mergeCell ref="W252:W254"/>
    <mergeCell ref="X252:X254"/>
    <mergeCell ref="Y252:Y254"/>
    <mergeCell ref="G256:G260"/>
    <mergeCell ref="H256:H260"/>
    <mergeCell ref="I256:I260"/>
    <mergeCell ref="J256:J260"/>
    <mergeCell ref="K256:K260"/>
    <mergeCell ref="L256:L260"/>
    <mergeCell ref="M256:M260"/>
    <mergeCell ref="AF256:AF260"/>
    <mergeCell ref="AG256:AG260"/>
    <mergeCell ref="AH256:AH260"/>
    <mergeCell ref="AI256:AI260"/>
    <mergeCell ref="AJ256:AJ260"/>
    <mergeCell ref="AK256:AK260"/>
    <mergeCell ref="N257:N259"/>
    <mergeCell ref="O257:O259"/>
    <mergeCell ref="P257:P259"/>
    <mergeCell ref="Q257:Q259"/>
    <mergeCell ref="R257:R259"/>
    <mergeCell ref="S257:S259"/>
    <mergeCell ref="T257:T259"/>
    <mergeCell ref="U257:U259"/>
    <mergeCell ref="V257:V259"/>
    <mergeCell ref="W257:W259"/>
    <mergeCell ref="X257:X259"/>
    <mergeCell ref="Y257:Y259"/>
    <mergeCell ref="G261:G265"/>
    <mergeCell ref="H261:H265"/>
    <mergeCell ref="I261:I265"/>
    <mergeCell ref="J261:J265"/>
    <mergeCell ref="K261:K265"/>
    <mergeCell ref="L261:L265"/>
    <mergeCell ref="M261:M265"/>
    <mergeCell ref="AF261:AF265"/>
    <mergeCell ref="AG261:AG265"/>
    <mergeCell ref="AH261:AH265"/>
    <mergeCell ref="AI261:AI265"/>
    <mergeCell ref="AJ261:AJ265"/>
    <mergeCell ref="AK261:AK265"/>
    <mergeCell ref="N262:N264"/>
    <mergeCell ref="O262:O264"/>
    <mergeCell ref="P262:P264"/>
    <mergeCell ref="Q262:Q264"/>
    <mergeCell ref="R262:R264"/>
    <mergeCell ref="S262:S264"/>
    <mergeCell ref="T262:T264"/>
    <mergeCell ref="U262:U264"/>
    <mergeCell ref="V262:V264"/>
    <mergeCell ref="W262:W264"/>
    <mergeCell ref="X262:X264"/>
    <mergeCell ref="Y262:Y264"/>
    <mergeCell ref="G266:G270"/>
    <mergeCell ref="H266:H270"/>
    <mergeCell ref="I266:I270"/>
    <mergeCell ref="J266:J270"/>
    <mergeCell ref="K266:K270"/>
    <mergeCell ref="L266:L270"/>
    <mergeCell ref="M266:M270"/>
    <mergeCell ref="AF266:AF270"/>
    <mergeCell ref="AG266:AG270"/>
    <mergeCell ref="AH266:AH270"/>
    <mergeCell ref="AI266:AI270"/>
    <mergeCell ref="AJ266:AJ270"/>
    <mergeCell ref="AK266:AK270"/>
    <mergeCell ref="N267:N269"/>
    <mergeCell ref="O267:O269"/>
    <mergeCell ref="P267:P269"/>
    <mergeCell ref="Q267:Q269"/>
    <mergeCell ref="R267:R269"/>
    <mergeCell ref="S267:S269"/>
    <mergeCell ref="T267:T269"/>
    <mergeCell ref="U267:U269"/>
    <mergeCell ref="V267:V269"/>
    <mergeCell ref="W267:W269"/>
    <mergeCell ref="X267:X269"/>
    <mergeCell ref="Y267:Y269"/>
    <mergeCell ref="G271:G275"/>
    <mergeCell ref="H271:H275"/>
    <mergeCell ref="I271:I275"/>
    <mergeCell ref="J271:J275"/>
    <mergeCell ref="K271:K275"/>
    <mergeCell ref="L271:L275"/>
    <mergeCell ref="M271:M275"/>
    <mergeCell ref="AF271:AF275"/>
    <mergeCell ref="AG271:AG275"/>
    <mergeCell ref="AH271:AH275"/>
    <mergeCell ref="AI271:AI275"/>
    <mergeCell ref="AJ271:AJ275"/>
    <mergeCell ref="AK271:AK275"/>
    <mergeCell ref="N272:N274"/>
    <mergeCell ref="O272:O274"/>
    <mergeCell ref="P272:P274"/>
    <mergeCell ref="Q272:Q274"/>
    <mergeCell ref="R272:R274"/>
    <mergeCell ref="S272:S274"/>
    <mergeCell ref="T272:T274"/>
    <mergeCell ref="U272:U274"/>
    <mergeCell ref="V272:V274"/>
    <mergeCell ref="W272:W274"/>
    <mergeCell ref="X272:X274"/>
    <mergeCell ref="Y272:Y274"/>
    <mergeCell ref="G276:G280"/>
    <mergeCell ref="H276:H280"/>
    <mergeCell ref="I276:I280"/>
    <mergeCell ref="J276:J280"/>
    <mergeCell ref="K276:K280"/>
    <mergeCell ref="L276:L280"/>
    <mergeCell ref="M276:M280"/>
    <mergeCell ref="AF276:AF280"/>
    <mergeCell ref="AG276:AG280"/>
    <mergeCell ref="AH276:AH280"/>
    <mergeCell ref="AI276:AI280"/>
    <mergeCell ref="AJ276:AJ280"/>
    <mergeCell ref="AK276:AK280"/>
    <mergeCell ref="N277:N279"/>
    <mergeCell ref="O277:O279"/>
    <mergeCell ref="P277:P279"/>
    <mergeCell ref="Q277:Q279"/>
    <mergeCell ref="R277:R279"/>
    <mergeCell ref="S277:S279"/>
    <mergeCell ref="T277:T279"/>
    <mergeCell ref="U277:U279"/>
    <mergeCell ref="V277:V279"/>
    <mergeCell ref="W277:W279"/>
    <mergeCell ref="X277:X279"/>
    <mergeCell ref="Y277:Y279"/>
    <mergeCell ref="G281:G285"/>
    <mergeCell ref="H281:H285"/>
    <mergeCell ref="I281:I285"/>
    <mergeCell ref="J281:J285"/>
    <mergeCell ref="K281:K285"/>
    <mergeCell ref="L281:L285"/>
    <mergeCell ref="M281:M285"/>
    <mergeCell ref="AF281:AF285"/>
    <mergeCell ref="AG281:AG285"/>
    <mergeCell ref="AH281:AH285"/>
    <mergeCell ref="AI281:AI285"/>
    <mergeCell ref="AJ281:AJ285"/>
    <mergeCell ref="AK281:AK285"/>
    <mergeCell ref="N282:N284"/>
    <mergeCell ref="O282:O284"/>
    <mergeCell ref="P282:P284"/>
    <mergeCell ref="Q282:Q284"/>
    <mergeCell ref="R282:R284"/>
    <mergeCell ref="S282:S284"/>
    <mergeCell ref="T282:T284"/>
    <mergeCell ref="U282:U284"/>
    <mergeCell ref="V282:V284"/>
    <mergeCell ref="W282:W284"/>
    <mergeCell ref="X282:X284"/>
    <mergeCell ref="Y282:Y284"/>
    <mergeCell ref="G286:G290"/>
    <mergeCell ref="H286:H290"/>
    <mergeCell ref="I286:I290"/>
    <mergeCell ref="J286:J290"/>
    <mergeCell ref="K286:K290"/>
    <mergeCell ref="L286:L290"/>
    <mergeCell ref="M286:M290"/>
    <mergeCell ref="AF286:AF290"/>
    <mergeCell ref="AG286:AG290"/>
    <mergeCell ref="AH286:AH290"/>
    <mergeCell ref="AI286:AI290"/>
    <mergeCell ref="AJ286:AJ290"/>
    <mergeCell ref="AK286:AK290"/>
    <mergeCell ref="N287:N289"/>
    <mergeCell ref="O287:O289"/>
    <mergeCell ref="P287:P289"/>
    <mergeCell ref="Q287:Q289"/>
    <mergeCell ref="R287:R289"/>
    <mergeCell ref="S287:S289"/>
    <mergeCell ref="T287:T289"/>
    <mergeCell ref="U287:U289"/>
    <mergeCell ref="V287:V289"/>
    <mergeCell ref="W287:W289"/>
    <mergeCell ref="X287:X289"/>
    <mergeCell ref="Y287:Y289"/>
    <mergeCell ref="G291:G295"/>
    <mergeCell ref="H291:H295"/>
    <mergeCell ref="I291:I295"/>
    <mergeCell ref="J291:J295"/>
    <mergeCell ref="K291:K295"/>
    <mergeCell ref="L291:L295"/>
    <mergeCell ref="M291:M295"/>
    <mergeCell ref="AF291:AF295"/>
    <mergeCell ref="AG291:AG295"/>
    <mergeCell ref="AH291:AH295"/>
    <mergeCell ref="AI291:AI295"/>
    <mergeCell ref="AJ291:AJ295"/>
    <mergeCell ref="AK291:AK295"/>
    <mergeCell ref="N292:N294"/>
    <mergeCell ref="O292:O294"/>
    <mergeCell ref="P292:P294"/>
    <mergeCell ref="Q292:Q294"/>
    <mergeCell ref="R292:R294"/>
    <mergeCell ref="S292:S294"/>
    <mergeCell ref="T292:T294"/>
    <mergeCell ref="U292:U294"/>
    <mergeCell ref="V292:V294"/>
    <mergeCell ref="W292:W294"/>
    <mergeCell ref="X292:X294"/>
    <mergeCell ref="Y292:Y294"/>
    <mergeCell ref="G296:G300"/>
    <mergeCell ref="H296:H300"/>
    <mergeCell ref="I296:I300"/>
    <mergeCell ref="J296:J300"/>
    <mergeCell ref="K296:K300"/>
    <mergeCell ref="L296:L300"/>
    <mergeCell ref="M296:M300"/>
    <mergeCell ref="AF296:AF300"/>
    <mergeCell ref="AG296:AG300"/>
    <mergeCell ref="AH296:AH300"/>
    <mergeCell ref="AI296:AI300"/>
    <mergeCell ref="AJ296:AJ300"/>
    <mergeCell ref="AK296:AK300"/>
    <mergeCell ref="N297:N299"/>
    <mergeCell ref="O297:O299"/>
    <mergeCell ref="P297:P299"/>
    <mergeCell ref="Q297:Q299"/>
    <mergeCell ref="R297:R299"/>
    <mergeCell ref="S297:S299"/>
    <mergeCell ref="T297:T299"/>
    <mergeCell ref="U297:U299"/>
    <mergeCell ref="V297:V299"/>
    <mergeCell ref="W297:W299"/>
    <mergeCell ref="X297:X299"/>
    <mergeCell ref="Y297:Y299"/>
    <mergeCell ref="G301:G305"/>
    <mergeCell ref="H301:H305"/>
    <mergeCell ref="I301:I305"/>
    <mergeCell ref="J301:J305"/>
    <mergeCell ref="K301:K305"/>
    <mergeCell ref="L301:L305"/>
    <mergeCell ref="M301:M305"/>
    <mergeCell ref="AF301:AF305"/>
    <mergeCell ref="AG301:AG305"/>
    <mergeCell ref="AH301:AH305"/>
    <mergeCell ref="AI301:AI305"/>
    <mergeCell ref="AJ301:AJ305"/>
    <mergeCell ref="AK301:AK305"/>
    <mergeCell ref="N302:N304"/>
    <mergeCell ref="O302:O304"/>
    <mergeCell ref="P302:P304"/>
    <mergeCell ref="Q302:Q304"/>
    <mergeCell ref="R302:R304"/>
    <mergeCell ref="S302:S304"/>
    <mergeCell ref="T302:T304"/>
    <mergeCell ref="U302:U304"/>
    <mergeCell ref="V302:V304"/>
    <mergeCell ref="W302:W304"/>
    <mergeCell ref="X302:X304"/>
    <mergeCell ref="Y302:Y304"/>
    <mergeCell ref="G306:G310"/>
    <mergeCell ref="H306:H310"/>
    <mergeCell ref="I306:I310"/>
    <mergeCell ref="J306:J310"/>
    <mergeCell ref="K306:K310"/>
    <mergeCell ref="L306:L310"/>
    <mergeCell ref="M306:M310"/>
    <mergeCell ref="AF306:AF310"/>
    <mergeCell ref="AG306:AG310"/>
    <mergeCell ref="AH306:AH310"/>
    <mergeCell ref="AI306:AI310"/>
    <mergeCell ref="AJ306:AJ310"/>
    <mergeCell ref="AK306:AK310"/>
    <mergeCell ref="N307:N309"/>
    <mergeCell ref="O307:O309"/>
    <mergeCell ref="P307:P309"/>
    <mergeCell ref="Q307:Q309"/>
    <mergeCell ref="R307:R309"/>
    <mergeCell ref="S307:S309"/>
    <mergeCell ref="T307:T309"/>
    <mergeCell ref="U307:U309"/>
    <mergeCell ref="V307:V309"/>
    <mergeCell ref="W307:W309"/>
    <mergeCell ref="X307:X309"/>
    <mergeCell ref="Y307:Y309"/>
    <mergeCell ref="G311:G315"/>
    <mergeCell ref="H311:H315"/>
    <mergeCell ref="I311:I315"/>
    <mergeCell ref="J311:J315"/>
    <mergeCell ref="K311:K315"/>
    <mergeCell ref="L311:L315"/>
    <mergeCell ref="M311:M315"/>
    <mergeCell ref="AF311:AF315"/>
    <mergeCell ref="AG311:AG315"/>
    <mergeCell ref="AH311:AH315"/>
    <mergeCell ref="AI311:AI315"/>
    <mergeCell ref="AJ311:AJ315"/>
    <mergeCell ref="AK311:AK315"/>
    <mergeCell ref="N312:N314"/>
    <mergeCell ref="O312:O314"/>
    <mergeCell ref="P312:P314"/>
    <mergeCell ref="Q312:Q314"/>
    <mergeCell ref="R312:R314"/>
    <mergeCell ref="S312:S314"/>
    <mergeCell ref="T312:T314"/>
    <mergeCell ref="U312:U314"/>
    <mergeCell ref="V312:V314"/>
    <mergeCell ref="W312:W314"/>
    <mergeCell ref="X312:X314"/>
    <mergeCell ref="Y312:Y314"/>
    <mergeCell ref="G316:G320"/>
    <mergeCell ref="H316:H320"/>
    <mergeCell ref="I316:I320"/>
    <mergeCell ref="J316:J320"/>
    <mergeCell ref="K316:K320"/>
    <mergeCell ref="L316:L320"/>
    <mergeCell ref="M316:M320"/>
    <mergeCell ref="AF316:AF320"/>
    <mergeCell ref="AG316:AG320"/>
    <mergeCell ref="AH316:AH320"/>
    <mergeCell ref="AI316:AI320"/>
    <mergeCell ref="AJ316:AJ320"/>
    <mergeCell ref="AK316:AK320"/>
    <mergeCell ref="N317:N319"/>
    <mergeCell ref="O317:O319"/>
    <mergeCell ref="P317:P319"/>
    <mergeCell ref="Q317:Q319"/>
    <mergeCell ref="R317:R319"/>
    <mergeCell ref="S317:S319"/>
    <mergeCell ref="T317:T319"/>
    <mergeCell ref="U317:U319"/>
    <mergeCell ref="V317:V319"/>
    <mergeCell ref="W317:W319"/>
    <mergeCell ref="X317:X319"/>
    <mergeCell ref="Y317:Y319"/>
    <mergeCell ref="I321:K321"/>
    <mergeCell ref="F322:F432"/>
    <mergeCell ref="G322:G326"/>
    <mergeCell ref="H322:H326"/>
    <mergeCell ref="I322:I326"/>
    <mergeCell ref="J322:J326"/>
    <mergeCell ref="K322:K326"/>
    <mergeCell ref="L322:L326"/>
    <mergeCell ref="M322:M326"/>
    <mergeCell ref="AF322:AF326"/>
    <mergeCell ref="AG322:AG326"/>
    <mergeCell ref="AH322:AH326"/>
    <mergeCell ref="AI322:AI326"/>
    <mergeCell ref="AJ322:AJ326"/>
    <mergeCell ref="AK322:AK326"/>
    <mergeCell ref="N323:N325"/>
    <mergeCell ref="O323:O325"/>
    <mergeCell ref="P323:P325"/>
    <mergeCell ref="Q323:Q325"/>
    <mergeCell ref="R323:R325"/>
    <mergeCell ref="S323:S325"/>
    <mergeCell ref="T323:T325"/>
    <mergeCell ref="U323:U325"/>
    <mergeCell ref="V323:V325"/>
    <mergeCell ref="W323:W325"/>
    <mergeCell ref="X323:X325"/>
    <mergeCell ref="Y323:Y325"/>
    <mergeCell ref="G327:G331"/>
    <mergeCell ref="H327:H331"/>
    <mergeCell ref="I327:I331"/>
    <mergeCell ref="J327:J331"/>
    <mergeCell ref="K327:K331"/>
    <mergeCell ref="L327:L331"/>
    <mergeCell ref="M327:M331"/>
    <mergeCell ref="AF327:AF331"/>
    <mergeCell ref="AG327:AG331"/>
    <mergeCell ref="AH327:AH331"/>
    <mergeCell ref="AI327:AI331"/>
    <mergeCell ref="AJ327:AJ331"/>
    <mergeCell ref="AK327:AK331"/>
    <mergeCell ref="N328:N330"/>
    <mergeCell ref="O328:O330"/>
    <mergeCell ref="P328:P330"/>
    <mergeCell ref="Q328:Q330"/>
    <mergeCell ref="R328:R330"/>
    <mergeCell ref="S328:S330"/>
    <mergeCell ref="T328:T330"/>
    <mergeCell ref="U328:U330"/>
    <mergeCell ref="V328:V330"/>
    <mergeCell ref="W328:W330"/>
    <mergeCell ref="X328:X330"/>
    <mergeCell ref="Y328:Y330"/>
    <mergeCell ref="G332:G336"/>
    <mergeCell ref="H332:H336"/>
    <mergeCell ref="I332:I336"/>
    <mergeCell ref="J332:J336"/>
    <mergeCell ref="K332:K336"/>
    <mergeCell ref="L332:L336"/>
    <mergeCell ref="M332:M336"/>
    <mergeCell ref="AF332:AF336"/>
    <mergeCell ref="AG332:AG336"/>
    <mergeCell ref="AH332:AH336"/>
    <mergeCell ref="AI332:AI336"/>
    <mergeCell ref="AJ332:AJ336"/>
    <mergeCell ref="AK332:AK336"/>
    <mergeCell ref="N333:N335"/>
    <mergeCell ref="O333:O335"/>
    <mergeCell ref="P333:P335"/>
    <mergeCell ref="Q333:Q335"/>
    <mergeCell ref="R333:R335"/>
    <mergeCell ref="S333:S335"/>
    <mergeCell ref="T333:T335"/>
    <mergeCell ref="U333:U335"/>
    <mergeCell ref="V333:V335"/>
    <mergeCell ref="W333:W335"/>
    <mergeCell ref="X333:X335"/>
    <mergeCell ref="Y333:Y335"/>
    <mergeCell ref="G337:G341"/>
    <mergeCell ref="H337:H341"/>
    <mergeCell ref="I337:I341"/>
    <mergeCell ref="J337:J341"/>
    <mergeCell ref="K337:K341"/>
    <mergeCell ref="L337:L341"/>
    <mergeCell ref="M337:M341"/>
    <mergeCell ref="AF337:AF341"/>
    <mergeCell ref="AG337:AG341"/>
    <mergeCell ref="AH337:AH341"/>
    <mergeCell ref="AI337:AI341"/>
    <mergeCell ref="AJ337:AJ341"/>
    <mergeCell ref="AK337:AK341"/>
    <mergeCell ref="N338:N340"/>
    <mergeCell ref="O338:O340"/>
    <mergeCell ref="P338:P340"/>
    <mergeCell ref="Q338:Q340"/>
    <mergeCell ref="R338:R340"/>
    <mergeCell ref="S338:S340"/>
    <mergeCell ref="T338:T340"/>
    <mergeCell ref="U338:U340"/>
    <mergeCell ref="V338:V340"/>
    <mergeCell ref="W338:W340"/>
    <mergeCell ref="X338:X340"/>
    <mergeCell ref="Y338:Y340"/>
    <mergeCell ref="G342:G346"/>
    <mergeCell ref="H342:H346"/>
    <mergeCell ref="I342:I346"/>
    <mergeCell ref="J342:J346"/>
    <mergeCell ref="K342:K346"/>
    <mergeCell ref="L342:L346"/>
    <mergeCell ref="M342:M346"/>
    <mergeCell ref="AF342:AF346"/>
    <mergeCell ref="AG342:AG346"/>
    <mergeCell ref="AH342:AH346"/>
    <mergeCell ref="AI342:AI346"/>
    <mergeCell ref="AJ342:AJ346"/>
    <mergeCell ref="AK342:AK346"/>
    <mergeCell ref="N343:N345"/>
    <mergeCell ref="O343:O345"/>
    <mergeCell ref="P343:P345"/>
    <mergeCell ref="Q343:Q345"/>
    <mergeCell ref="R343:R345"/>
    <mergeCell ref="S343:S345"/>
    <mergeCell ref="T343:T345"/>
    <mergeCell ref="U343:U345"/>
    <mergeCell ref="V343:V345"/>
    <mergeCell ref="W343:W345"/>
    <mergeCell ref="X343:X345"/>
    <mergeCell ref="Y343:Y345"/>
    <mergeCell ref="G347:G351"/>
    <mergeCell ref="H347:H351"/>
    <mergeCell ref="I347:I351"/>
    <mergeCell ref="J347:J351"/>
    <mergeCell ref="K347:K351"/>
    <mergeCell ref="L347:L351"/>
    <mergeCell ref="M347:M351"/>
    <mergeCell ref="AF347:AF351"/>
    <mergeCell ref="AG347:AG351"/>
    <mergeCell ref="AH347:AH351"/>
    <mergeCell ref="AI347:AI351"/>
    <mergeCell ref="AJ347:AJ351"/>
    <mergeCell ref="AK347:AK351"/>
    <mergeCell ref="N348:N350"/>
    <mergeCell ref="O348:O350"/>
    <mergeCell ref="P348:P350"/>
    <mergeCell ref="Q348:Q350"/>
    <mergeCell ref="R348:R350"/>
    <mergeCell ref="S348:S350"/>
    <mergeCell ref="T348:T350"/>
    <mergeCell ref="U348:U350"/>
    <mergeCell ref="V348:V350"/>
    <mergeCell ref="W348:W350"/>
    <mergeCell ref="X348:X350"/>
    <mergeCell ref="Y348:Y350"/>
    <mergeCell ref="G352:G356"/>
    <mergeCell ref="H352:H356"/>
    <mergeCell ref="I352:I356"/>
    <mergeCell ref="J352:J356"/>
    <mergeCell ref="K352:K356"/>
    <mergeCell ref="L352:L356"/>
    <mergeCell ref="M352:M356"/>
    <mergeCell ref="AF352:AF356"/>
    <mergeCell ref="AG352:AG356"/>
    <mergeCell ref="AH352:AH356"/>
    <mergeCell ref="AI352:AI356"/>
    <mergeCell ref="AJ352:AJ356"/>
    <mergeCell ref="AK352:AK356"/>
    <mergeCell ref="N353:N355"/>
    <mergeCell ref="O353:O355"/>
    <mergeCell ref="P353:P355"/>
    <mergeCell ref="Q353:Q355"/>
    <mergeCell ref="R353:R355"/>
    <mergeCell ref="S353:S355"/>
    <mergeCell ref="T353:T355"/>
    <mergeCell ref="U353:U355"/>
    <mergeCell ref="V353:V355"/>
    <mergeCell ref="W353:W355"/>
    <mergeCell ref="X353:X355"/>
    <mergeCell ref="Y353:Y355"/>
    <mergeCell ref="G357:G361"/>
    <mergeCell ref="H357:H361"/>
    <mergeCell ref="I357:I361"/>
    <mergeCell ref="J357:J361"/>
    <mergeCell ref="K357:K361"/>
    <mergeCell ref="L357:L361"/>
    <mergeCell ref="M357:M361"/>
    <mergeCell ref="AF357:AF361"/>
    <mergeCell ref="AG357:AG361"/>
    <mergeCell ref="AH357:AH361"/>
    <mergeCell ref="AI357:AI361"/>
    <mergeCell ref="AJ357:AJ361"/>
    <mergeCell ref="AK357:AK361"/>
    <mergeCell ref="N358:N360"/>
    <mergeCell ref="O358:O360"/>
    <mergeCell ref="P358:P360"/>
    <mergeCell ref="Q358:Q360"/>
    <mergeCell ref="R358:R360"/>
    <mergeCell ref="S358:S360"/>
    <mergeCell ref="T358:T360"/>
    <mergeCell ref="U358:U360"/>
    <mergeCell ref="V358:V360"/>
    <mergeCell ref="W358:W360"/>
    <mergeCell ref="X358:X360"/>
    <mergeCell ref="Y358:Y360"/>
    <mergeCell ref="G362:G366"/>
    <mergeCell ref="H362:H366"/>
    <mergeCell ref="I362:I366"/>
    <mergeCell ref="J362:J366"/>
    <mergeCell ref="K362:K366"/>
    <mergeCell ref="L362:L366"/>
    <mergeCell ref="M362:M366"/>
    <mergeCell ref="AF362:AF366"/>
    <mergeCell ref="AG362:AG366"/>
    <mergeCell ref="AH362:AH366"/>
    <mergeCell ref="AI362:AI366"/>
    <mergeCell ref="AJ362:AJ366"/>
    <mergeCell ref="AK362:AK366"/>
    <mergeCell ref="N363:N365"/>
    <mergeCell ref="O363:O365"/>
    <mergeCell ref="P363:P365"/>
    <mergeCell ref="Q363:Q365"/>
    <mergeCell ref="R363:R365"/>
    <mergeCell ref="S363:S365"/>
    <mergeCell ref="T363:T365"/>
    <mergeCell ref="U363:U365"/>
    <mergeCell ref="V363:V365"/>
    <mergeCell ref="W363:W365"/>
    <mergeCell ref="X363:X365"/>
    <mergeCell ref="Y363:Y365"/>
    <mergeCell ref="G367:G371"/>
    <mergeCell ref="H367:H371"/>
    <mergeCell ref="I367:I371"/>
    <mergeCell ref="J367:J371"/>
    <mergeCell ref="K367:K371"/>
    <mergeCell ref="L367:L371"/>
    <mergeCell ref="M367:M371"/>
    <mergeCell ref="AF367:AF371"/>
    <mergeCell ref="AG367:AG371"/>
    <mergeCell ref="AH367:AH371"/>
    <mergeCell ref="AI367:AI371"/>
    <mergeCell ref="AJ367:AJ371"/>
    <mergeCell ref="AK367:AK371"/>
    <mergeCell ref="N368:N370"/>
    <mergeCell ref="O368:O370"/>
    <mergeCell ref="P368:P370"/>
    <mergeCell ref="Q368:Q370"/>
    <mergeCell ref="R368:R370"/>
    <mergeCell ref="S368:S370"/>
    <mergeCell ref="T368:T370"/>
    <mergeCell ref="U368:U370"/>
    <mergeCell ref="V368:V370"/>
    <mergeCell ref="W368:W370"/>
    <mergeCell ref="X368:X370"/>
    <mergeCell ref="Y368:Y370"/>
    <mergeCell ref="G372:G376"/>
    <mergeCell ref="H372:H376"/>
    <mergeCell ref="I372:I376"/>
    <mergeCell ref="J372:J376"/>
    <mergeCell ref="K372:K376"/>
    <mergeCell ref="L372:L376"/>
    <mergeCell ref="M372:M376"/>
    <mergeCell ref="AF372:AF376"/>
    <mergeCell ref="AG372:AG376"/>
    <mergeCell ref="AH372:AH376"/>
    <mergeCell ref="AI372:AI376"/>
    <mergeCell ref="AJ372:AJ376"/>
    <mergeCell ref="AK372:AK376"/>
    <mergeCell ref="N373:N375"/>
    <mergeCell ref="O373:O375"/>
    <mergeCell ref="P373:P375"/>
    <mergeCell ref="Q373:Q375"/>
    <mergeCell ref="R373:R375"/>
    <mergeCell ref="S373:S375"/>
    <mergeCell ref="T373:T375"/>
    <mergeCell ref="U373:U375"/>
    <mergeCell ref="V373:V375"/>
    <mergeCell ref="W373:W375"/>
    <mergeCell ref="X373:X375"/>
    <mergeCell ref="Y373:Y375"/>
    <mergeCell ref="G377:G381"/>
    <mergeCell ref="H377:H381"/>
    <mergeCell ref="I377:I381"/>
    <mergeCell ref="J377:J381"/>
    <mergeCell ref="K377:K381"/>
    <mergeCell ref="L377:L381"/>
    <mergeCell ref="M377:M381"/>
    <mergeCell ref="AF377:AF381"/>
    <mergeCell ref="AG377:AG381"/>
    <mergeCell ref="AH377:AH381"/>
    <mergeCell ref="AI377:AI381"/>
    <mergeCell ref="AJ377:AJ381"/>
    <mergeCell ref="AK377:AK381"/>
    <mergeCell ref="N378:N380"/>
    <mergeCell ref="O378:O380"/>
    <mergeCell ref="P378:P380"/>
    <mergeCell ref="Q378:Q380"/>
    <mergeCell ref="R378:R380"/>
    <mergeCell ref="S378:S380"/>
    <mergeCell ref="T378:T380"/>
    <mergeCell ref="U378:U380"/>
    <mergeCell ref="V378:V380"/>
    <mergeCell ref="W378:W380"/>
    <mergeCell ref="X378:X380"/>
    <mergeCell ref="Y378:Y380"/>
    <mergeCell ref="G382:G386"/>
    <mergeCell ref="H382:H386"/>
    <mergeCell ref="I382:I386"/>
    <mergeCell ref="J382:J386"/>
    <mergeCell ref="K382:K386"/>
    <mergeCell ref="L382:L386"/>
    <mergeCell ref="M382:M386"/>
    <mergeCell ref="AF382:AF386"/>
    <mergeCell ref="AG382:AG386"/>
    <mergeCell ref="AH382:AH386"/>
    <mergeCell ref="AI382:AI386"/>
    <mergeCell ref="AJ382:AJ386"/>
    <mergeCell ref="AK382:AK386"/>
    <mergeCell ref="N383:N385"/>
    <mergeCell ref="O383:O385"/>
    <mergeCell ref="P383:P385"/>
    <mergeCell ref="Q383:Q385"/>
    <mergeCell ref="R383:R385"/>
    <mergeCell ref="S383:S385"/>
    <mergeCell ref="T383:T385"/>
    <mergeCell ref="U383:U385"/>
    <mergeCell ref="V383:V385"/>
    <mergeCell ref="W383:W385"/>
    <mergeCell ref="X383:X385"/>
    <mergeCell ref="Y383:Y385"/>
    <mergeCell ref="G387:G391"/>
    <mergeCell ref="H387:H391"/>
    <mergeCell ref="I387:I391"/>
    <mergeCell ref="J387:J391"/>
    <mergeCell ref="K387:K391"/>
    <mergeCell ref="L387:L391"/>
    <mergeCell ref="M387:M391"/>
    <mergeCell ref="AF387:AF391"/>
    <mergeCell ref="AG387:AG391"/>
    <mergeCell ref="AH387:AH391"/>
    <mergeCell ref="AI387:AI391"/>
    <mergeCell ref="AJ387:AJ391"/>
    <mergeCell ref="AK387:AK391"/>
    <mergeCell ref="N388:N390"/>
    <mergeCell ref="O388:O390"/>
    <mergeCell ref="P388:P390"/>
    <mergeCell ref="Q388:Q390"/>
    <mergeCell ref="R388:R390"/>
    <mergeCell ref="S388:S390"/>
    <mergeCell ref="T388:T390"/>
    <mergeCell ref="U388:U390"/>
    <mergeCell ref="V388:V390"/>
    <mergeCell ref="W388:W390"/>
    <mergeCell ref="X388:X390"/>
    <mergeCell ref="Y388:Y390"/>
    <mergeCell ref="G392:G396"/>
    <mergeCell ref="H392:H396"/>
    <mergeCell ref="I392:I396"/>
    <mergeCell ref="J392:J396"/>
    <mergeCell ref="K392:K396"/>
    <mergeCell ref="L392:L396"/>
    <mergeCell ref="M392:M396"/>
    <mergeCell ref="AF392:AF396"/>
    <mergeCell ref="AG392:AG396"/>
    <mergeCell ref="AH392:AH396"/>
    <mergeCell ref="AI392:AI396"/>
    <mergeCell ref="AJ392:AJ396"/>
    <mergeCell ref="AK392:AK396"/>
    <mergeCell ref="N393:N395"/>
    <mergeCell ref="O393:O395"/>
    <mergeCell ref="P393:P395"/>
    <mergeCell ref="Q393:Q395"/>
    <mergeCell ref="R393:R395"/>
    <mergeCell ref="S393:S395"/>
    <mergeCell ref="T393:T395"/>
    <mergeCell ref="U393:U395"/>
    <mergeCell ref="V393:V395"/>
    <mergeCell ref="W393:W395"/>
    <mergeCell ref="X393:X395"/>
    <mergeCell ref="Y393:Y395"/>
    <mergeCell ref="G397:G401"/>
    <mergeCell ref="H397:H401"/>
    <mergeCell ref="I397:I401"/>
    <mergeCell ref="J397:J401"/>
    <mergeCell ref="K397:K401"/>
    <mergeCell ref="L397:L401"/>
    <mergeCell ref="M397:M401"/>
    <mergeCell ref="AF397:AF401"/>
    <mergeCell ref="AG397:AG401"/>
    <mergeCell ref="AH397:AH401"/>
    <mergeCell ref="AI397:AI401"/>
    <mergeCell ref="AJ397:AJ401"/>
    <mergeCell ref="AK397:AK401"/>
    <mergeCell ref="N398:N400"/>
    <mergeCell ref="O398:O400"/>
    <mergeCell ref="P398:P400"/>
    <mergeCell ref="Q398:Q400"/>
    <mergeCell ref="R398:R400"/>
    <mergeCell ref="S398:S400"/>
    <mergeCell ref="T398:T400"/>
    <mergeCell ref="U398:U400"/>
    <mergeCell ref="V398:V400"/>
    <mergeCell ref="W398:W400"/>
    <mergeCell ref="X398:X400"/>
    <mergeCell ref="Y398:Y400"/>
    <mergeCell ref="G402:G406"/>
    <mergeCell ref="H402:H406"/>
    <mergeCell ref="I402:I406"/>
    <mergeCell ref="J402:J406"/>
    <mergeCell ref="K402:K406"/>
    <mergeCell ref="L402:L406"/>
    <mergeCell ref="M402:M406"/>
    <mergeCell ref="AF402:AF406"/>
    <mergeCell ref="AG402:AG406"/>
    <mergeCell ref="AH402:AH406"/>
    <mergeCell ref="AI402:AI406"/>
    <mergeCell ref="AJ402:AJ406"/>
    <mergeCell ref="AK402:AK406"/>
    <mergeCell ref="N403:N405"/>
    <mergeCell ref="O403:O405"/>
    <mergeCell ref="P403:P405"/>
    <mergeCell ref="Q403:Q405"/>
    <mergeCell ref="R403:R405"/>
    <mergeCell ref="S403:S405"/>
    <mergeCell ref="T403:T405"/>
    <mergeCell ref="U403:U405"/>
    <mergeCell ref="V403:V405"/>
    <mergeCell ref="W403:W405"/>
    <mergeCell ref="X403:X405"/>
    <mergeCell ref="Y403:Y405"/>
    <mergeCell ref="G407:G411"/>
    <mergeCell ref="H407:H411"/>
    <mergeCell ref="I407:I411"/>
    <mergeCell ref="J407:J411"/>
    <mergeCell ref="K407:K411"/>
    <mergeCell ref="L407:L411"/>
    <mergeCell ref="M407:M411"/>
    <mergeCell ref="AF407:AF411"/>
    <mergeCell ref="AG407:AG411"/>
    <mergeCell ref="AH407:AH411"/>
    <mergeCell ref="AI407:AI411"/>
    <mergeCell ref="AJ407:AJ411"/>
    <mergeCell ref="AK407:AK411"/>
    <mergeCell ref="N408:N410"/>
    <mergeCell ref="O408:O410"/>
    <mergeCell ref="P408:P410"/>
    <mergeCell ref="Q408:Q410"/>
    <mergeCell ref="R408:R410"/>
    <mergeCell ref="S408:S410"/>
    <mergeCell ref="T408:T410"/>
    <mergeCell ref="U408:U410"/>
    <mergeCell ref="V408:V410"/>
    <mergeCell ref="W408:W410"/>
    <mergeCell ref="X408:X410"/>
    <mergeCell ref="Y408:Y410"/>
    <mergeCell ref="G412:G416"/>
    <mergeCell ref="H412:H416"/>
    <mergeCell ref="I412:I416"/>
    <mergeCell ref="J412:J416"/>
    <mergeCell ref="K412:K416"/>
    <mergeCell ref="L412:L416"/>
    <mergeCell ref="M412:M416"/>
    <mergeCell ref="AF412:AF416"/>
    <mergeCell ref="AG412:AG416"/>
    <mergeCell ref="AH412:AH416"/>
    <mergeCell ref="AI412:AI416"/>
    <mergeCell ref="AJ412:AJ416"/>
    <mergeCell ref="AK412:AK416"/>
    <mergeCell ref="N413:N415"/>
    <mergeCell ref="O413:O415"/>
    <mergeCell ref="P413:P415"/>
    <mergeCell ref="Q413:Q415"/>
    <mergeCell ref="R413:R415"/>
    <mergeCell ref="S413:S415"/>
    <mergeCell ref="T413:T415"/>
    <mergeCell ref="U413:U415"/>
    <mergeCell ref="V413:V415"/>
    <mergeCell ref="W413:W415"/>
    <mergeCell ref="X413:X415"/>
    <mergeCell ref="Y413:Y415"/>
    <mergeCell ref="G417:G421"/>
    <mergeCell ref="H417:H421"/>
    <mergeCell ref="I417:I421"/>
    <mergeCell ref="J417:J421"/>
    <mergeCell ref="K417:K421"/>
    <mergeCell ref="L417:L421"/>
    <mergeCell ref="M417:M421"/>
    <mergeCell ref="AF417:AF421"/>
    <mergeCell ref="AG417:AG421"/>
    <mergeCell ref="AH417:AH421"/>
    <mergeCell ref="AI417:AI421"/>
    <mergeCell ref="AJ417:AJ421"/>
    <mergeCell ref="AK417:AK421"/>
    <mergeCell ref="N418:N420"/>
    <mergeCell ref="O418:O420"/>
    <mergeCell ref="P418:P420"/>
    <mergeCell ref="Q418:Q420"/>
    <mergeCell ref="R418:R420"/>
    <mergeCell ref="S418:S420"/>
    <mergeCell ref="T418:T420"/>
    <mergeCell ref="U418:U420"/>
    <mergeCell ref="V418:V420"/>
    <mergeCell ref="W418:W420"/>
    <mergeCell ref="X418:X420"/>
    <mergeCell ref="Y418:Y420"/>
    <mergeCell ref="G422:G426"/>
    <mergeCell ref="H422:H426"/>
    <mergeCell ref="I422:I426"/>
    <mergeCell ref="J422:J426"/>
    <mergeCell ref="K422:K426"/>
    <mergeCell ref="L422:L426"/>
    <mergeCell ref="M422:M426"/>
    <mergeCell ref="AF422:AF426"/>
    <mergeCell ref="AG422:AG426"/>
    <mergeCell ref="AH422:AH426"/>
    <mergeCell ref="AI422:AI426"/>
    <mergeCell ref="AJ422:AJ426"/>
    <mergeCell ref="AK422:AK426"/>
    <mergeCell ref="N423:N425"/>
    <mergeCell ref="O423:O425"/>
    <mergeCell ref="P423:P425"/>
    <mergeCell ref="Q423:Q425"/>
    <mergeCell ref="R423:R425"/>
    <mergeCell ref="S423:S425"/>
    <mergeCell ref="T423:T425"/>
    <mergeCell ref="U423:U425"/>
    <mergeCell ref="V423:V425"/>
    <mergeCell ref="W423:W425"/>
    <mergeCell ref="X423:X425"/>
    <mergeCell ref="Y423:Y425"/>
    <mergeCell ref="G427:G431"/>
    <mergeCell ref="H427:H431"/>
    <mergeCell ref="I427:I431"/>
    <mergeCell ref="J427:J431"/>
    <mergeCell ref="K427:K431"/>
    <mergeCell ref="L427:L431"/>
    <mergeCell ref="M427:M431"/>
    <mergeCell ref="AF427:AF431"/>
    <mergeCell ref="AG427:AG431"/>
    <mergeCell ref="AH427:AH431"/>
    <mergeCell ref="AI427:AI431"/>
    <mergeCell ref="AJ427:AJ431"/>
    <mergeCell ref="AK427:AK431"/>
    <mergeCell ref="N428:N430"/>
    <mergeCell ref="O428:O430"/>
    <mergeCell ref="P428:P430"/>
    <mergeCell ref="Q428:Q430"/>
    <mergeCell ref="R428:R430"/>
    <mergeCell ref="S428:S430"/>
    <mergeCell ref="T428:T430"/>
    <mergeCell ref="U428:U430"/>
    <mergeCell ref="V428:V430"/>
    <mergeCell ref="W428:W430"/>
    <mergeCell ref="X428:X430"/>
    <mergeCell ref="Y428:Y430"/>
    <mergeCell ref="I432:K432"/>
    <mergeCell ref="F433:F585"/>
    <mergeCell ref="G433:G437"/>
    <mergeCell ref="H433:H437"/>
    <mergeCell ref="I433:I437"/>
    <mergeCell ref="J433:J437"/>
    <mergeCell ref="K433:K437"/>
    <mergeCell ref="L433:L437"/>
    <mergeCell ref="M433:M437"/>
    <mergeCell ref="AF433:AF437"/>
    <mergeCell ref="AG433:AG437"/>
    <mergeCell ref="AH433:AH437"/>
    <mergeCell ref="AI433:AI437"/>
    <mergeCell ref="AJ433:AJ437"/>
    <mergeCell ref="AK433:AK437"/>
    <mergeCell ref="N434:N436"/>
    <mergeCell ref="O434:O436"/>
    <mergeCell ref="P434:P436"/>
    <mergeCell ref="Q434:Q436"/>
    <mergeCell ref="R434:R436"/>
    <mergeCell ref="S434:S436"/>
    <mergeCell ref="T434:T436"/>
    <mergeCell ref="U434:U436"/>
    <mergeCell ref="V434:V436"/>
    <mergeCell ref="W434:W436"/>
    <mergeCell ref="X434:X436"/>
    <mergeCell ref="Y434:Y436"/>
    <mergeCell ref="G438:G442"/>
    <mergeCell ref="H438:H442"/>
    <mergeCell ref="I438:I442"/>
    <mergeCell ref="J438:J442"/>
    <mergeCell ref="K438:K442"/>
    <mergeCell ref="L438:L442"/>
    <mergeCell ref="M438:M442"/>
    <mergeCell ref="AF438:AF442"/>
    <mergeCell ref="AG438:AG442"/>
    <mergeCell ref="AH438:AH442"/>
    <mergeCell ref="AI438:AI442"/>
    <mergeCell ref="AJ438:AJ442"/>
    <mergeCell ref="AK438:AK442"/>
    <mergeCell ref="N439:N441"/>
    <mergeCell ref="O439:O441"/>
    <mergeCell ref="P439:P441"/>
    <mergeCell ref="Q439:Q441"/>
    <mergeCell ref="R439:R441"/>
    <mergeCell ref="S439:S441"/>
    <mergeCell ref="T439:T441"/>
    <mergeCell ref="U439:U441"/>
    <mergeCell ref="V439:V441"/>
    <mergeCell ref="W439:W441"/>
    <mergeCell ref="X439:X441"/>
    <mergeCell ref="Y439:Y441"/>
    <mergeCell ref="G443:G447"/>
    <mergeCell ref="H443:H447"/>
    <mergeCell ref="I443:I447"/>
    <mergeCell ref="J443:J447"/>
    <mergeCell ref="K443:K447"/>
    <mergeCell ref="L443:L447"/>
    <mergeCell ref="M443:M447"/>
    <mergeCell ref="AF443:AF447"/>
    <mergeCell ref="AG443:AG447"/>
    <mergeCell ref="AH443:AH447"/>
    <mergeCell ref="AI443:AI447"/>
    <mergeCell ref="AJ443:AJ447"/>
    <mergeCell ref="AK443:AK447"/>
    <mergeCell ref="N444:N446"/>
    <mergeCell ref="O444:O446"/>
    <mergeCell ref="P444:P446"/>
    <mergeCell ref="Q444:Q446"/>
    <mergeCell ref="R444:R446"/>
    <mergeCell ref="S444:S446"/>
    <mergeCell ref="T444:T446"/>
    <mergeCell ref="U444:U446"/>
    <mergeCell ref="V444:V446"/>
    <mergeCell ref="W444:W446"/>
    <mergeCell ref="X444:X446"/>
    <mergeCell ref="Y444:Y446"/>
    <mergeCell ref="G448:G452"/>
    <mergeCell ref="H448:H452"/>
    <mergeCell ref="I448:I452"/>
    <mergeCell ref="J448:J452"/>
    <mergeCell ref="K448:K452"/>
    <mergeCell ref="L448:L452"/>
    <mergeCell ref="M448:M452"/>
    <mergeCell ref="AF448:AF452"/>
    <mergeCell ref="AG448:AG452"/>
    <mergeCell ref="AH448:AH452"/>
    <mergeCell ref="AI448:AI452"/>
    <mergeCell ref="AJ448:AJ452"/>
    <mergeCell ref="AK448:AK452"/>
    <mergeCell ref="N449:N451"/>
    <mergeCell ref="O449:O451"/>
    <mergeCell ref="P449:P451"/>
    <mergeCell ref="Q449:Q451"/>
    <mergeCell ref="R449:R451"/>
    <mergeCell ref="S449:S451"/>
    <mergeCell ref="T449:T451"/>
    <mergeCell ref="U449:U451"/>
    <mergeCell ref="V449:V451"/>
    <mergeCell ref="W449:W451"/>
    <mergeCell ref="X449:X451"/>
    <mergeCell ref="Y449:Y451"/>
    <mergeCell ref="G453:G457"/>
    <mergeCell ref="H453:H457"/>
    <mergeCell ref="I453:I457"/>
    <mergeCell ref="J453:J457"/>
    <mergeCell ref="K453:K457"/>
    <mergeCell ref="L453:L457"/>
    <mergeCell ref="M453:M457"/>
    <mergeCell ref="AF453:AF457"/>
    <mergeCell ref="AG453:AG457"/>
    <mergeCell ref="AH453:AH457"/>
    <mergeCell ref="AI453:AI457"/>
    <mergeCell ref="AJ453:AJ457"/>
    <mergeCell ref="AK453:AK457"/>
    <mergeCell ref="N454:N456"/>
    <mergeCell ref="O454:O456"/>
    <mergeCell ref="P454:P456"/>
    <mergeCell ref="Q454:Q456"/>
    <mergeCell ref="R454:R456"/>
    <mergeCell ref="S454:S456"/>
    <mergeCell ref="T454:T456"/>
    <mergeCell ref="U454:U456"/>
    <mergeCell ref="V454:V456"/>
    <mergeCell ref="W454:W456"/>
    <mergeCell ref="X454:X456"/>
    <mergeCell ref="Y454:Y456"/>
    <mergeCell ref="G458:G462"/>
    <mergeCell ref="H458:H462"/>
    <mergeCell ref="I458:I462"/>
    <mergeCell ref="J458:J462"/>
    <mergeCell ref="K458:K462"/>
    <mergeCell ref="L458:L462"/>
    <mergeCell ref="M458:M462"/>
    <mergeCell ref="AF458:AF462"/>
    <mergeCell ref="AG458:AG462"/>
    <mergeCell ref="AH458:AH462"/>
    <mergeCell ref="AI458:AI462"/>
    <mergeCell ref="AJ458:AJ462"/>
    <mergeCell ref="AK458:AK462"/>
    <mergeCell ref="N459:N461"/>
    <mergeCell ref="O459:O461"/>
    <mergeCell ref="P459:P461"/>
    <mergeCell ref="Q459:Q461"/>
    <mergeCell ref="R459:R461"/>
    <mergeCell ref="S459:S461"/>
    <mergeCell ref="T459:T461"/>
    <mergeCell ref="U459:U461"/>
    <mergeCell ref="V459:V461"/>
    <mergeCell ref="W459:W461"/>
    <mergeCell ref="X459:X461"/>
    <mergeCell ref="Y459:Y461"/>
    <mergeCell ref="G463:G467"/>
    <mergeCell ref="H463:H467"/>
    <mergeCell ref="I463:I467"/>
    <mergeCell ref="J463:J467"/>
    <mergeCell ref="K463:K467"/>
    <mergeCell ref="L463:L467"/>
    <mergeCell ref="M463:M467"/>
    <mergeCell ref="AF463:AF467"/>
    <mergeCell ref="AG463:AG467"/>
    <mergeCell ref="AH463:AH467"/>
    <mergeCell ref="AI463:AI467"/>
    <mergeCell ref="AJ463:AJ467"/>
    <mergeCell ref="AK463:AK467"/>
    <mergeCell ref="N464:N466"/>
    <mergeCell ref="O464:O466"/>
    <mergeCell ref="P464:P466"/>
    <mergeCell ref="Q464:Q466"/>
    <mergeCell ref="R464:R466"/>
    <mergeCell ref="S464:S466"/>
    <mergeCell ref="T464:T466"/>
    <mergeCell ref="U464:U466"/>
    <mergeCell ref="V464:V466"/>
    <mergeCell ref="W464:W466"/>
    <mergeCell ref="X464:X466"/>
    <mergeCell ref="Y464:Y466"/>
    <mergeCell ref="G468:G472"/>
    <mergeCell ref="H468:H472"/>
    <mergeCell ref="I468:I472"/>
    <mergeCell ref="J468:J472"/>
    <mergeCell ref="K468:K472"/>
    <mergeCell ref="L468:L472"/>
    <mergeCell ref="M468:M472"/>
    <mergeCell ref="AF468:AF472"/>
    <mergeCell ref="AG468:AG472"/>
    <mergeCell ref="AH468:AH472"/>
    <mergeCell ref="AI468:AI472"/>
    <mergeCell ref="AJ468:AJ472"/>
    <mergeCell ref="AK468:AK472"/>
    <mergeCell ref="N469:N471"/>
    <mergeCell ref="O469:O471"/>
    <mergeCell ref="P469:P471"/>
    <mergeCell ref="Q469:Q471"/>
    <mergeCell ref="R469:R471"/>
    <mergeCell ref="S469:S471"/>
    <mergeCell ref="T469:T471"/>
    <mergeCell ref="U469:U471"/>
    <mergeCell ref="V469:V471"/>
    <mergeCell ref="W469:W471"/>
    <mergeCell ref="X469:X471"/>
    <mergeCell ref="Y469:Y471"/>
    <mergeCell ref="G473:G477"/>
    <mergeCell ref="H473:H477"/>
    <mergeCell ref="I473:I477"/>
    <mergeCell ref="J473:J477"/>
    <mergeCell ref="K473:K477"/>
    <mergeCell ref="L473:L477"/>
    <mergeCell ref="M473:M477"/>
    <mergeCell ref="AF473:AF477"/>
    <mergeCell ref="AG473:AG477"/>
    <mergeCell ref="AH473:AH477"/>
    <mergeCell ref="AI473:AI477"/>
    <mergeCell ref="AJ473:AJ477"/>
    <mergeCell ref="AK473:AK477"/>
    <mergeCell ref="N474:N476"/>
    <mergeCell ref="O474:O476"/>
    <mergeCell ref="P474:P476"/>
    <mergeCell ref="Q474:Q476"/>
    <mergeCell ref="R474:R476"/>
    <mergeCell ref="S474:S476"/>
    <mergeCell ref="T474:T476"/>
    <mergeCell ref="U474:U476"/>
    <mergeCell ref="V474:V476"/>
    <mergeCell ref="W474:W476"/>
    <mergeCell ref="X474:X476"/>
    <mergeCell ref="Y474:Y476"/>
    <mergeCell ref="G478:G482"/>
    <mergeCell ref="H478:H482"/>
    <mergeCell ref="I478:I482"/>
    <mergeCell ref="J478:J482"/>
    <mergeCell ref="K478:K482"/>
    <mergeCell ref="L478:L482"/>
    <mergeCell ref="M478:M482"/>
    <mergeCell ref="AF478:AF482"/>
    <mergeCell ref="AG478:AG482"/>
    <mergeCell ref="AH478:AH482"/>
    <mergeCell ref="AI478:AI482"/>
    <mergeCell ref="AJ478:AJ482"/>
    <mergeCell ref="AK478:AK482"/>
    <mergeCell ref="N479:N481"/>
    <mergeCell ref="O479:O481"/>
    <mergeCell ref="P479:P481"/>
    <mergeCell ref="Q479:Q481"/>
    <mergeCell ref="R479:R481"/>
    <mergeCell ref="S479:S481"/>
    <mergeCell ref="T479:T481"/>
    <mergeCell ref="U479:U481"/>
    <mergeCell ref="V479:V481"/>
    <mergeCell ref="W479:W481"/>
    <mergeCell ref="X479:X481"/>
    <mergeCell ref="Y479:Y481"/>
    <mergeCell ref="G483:G487"/>
    <mergeCell ref="H483:H487"/>
    <mergeCell ref="I483:I487"/>
    <mergeCell ref="J483:J487"/>
    <mergeCell ref="K483:K487"/>
    <mergeCell ref="L483:L487"/>
    <mergeCell ref="M483:M487"/>
    <mergeCell ref="AF483:AF487"/>
    <mergeCell ref="AG483:AG487"/>
    <mergeCell ref="AH483:AH487"/>
    <mergeCell ref="AI483:AI487"/>
    <mergeCell ref="AJ483:AJ487"/>
    <mergeCell ref="AK483:AK487"/>
    <mergeCell ref="N484:N486"/>
    <mergeCell ref="O484:O486"/>
    <mergeCell ref="P484:P486"/>
    <mergeCell ref="Q484:Q486"/>
    <mergeCell ref="R484:R486"/>
    <mergeCell ref="S484:S486"/>
    <mergeCell ref="T484:T486"/>
    <mergeCell ref="U484:U486"/>
    <mergeCell ref="V484:V486"/>
    <mergeCell ref="W484:W486"/>
    <mergeCell ref="X484:X486"/>
    <mergeCell ref="Y484:Y486"/>
    <mergeCell ref="G488:G492"/>
    <mergeCell ref="H488:H492"/>
    <mergeCell ref="I488:I492"/>
    <mergeCell ref="J488:J492"/>
    <mergeCell ref="K488:K492"/>
    <mergeCell ref="L488:L492"/>
    <mergeCell ref="M488:M492"/>
    <mergeCell ref="AF488:AF492"/>
    <mergeCell ref="AG488:AG492"/>
    <mergeCell ref="AH488:AH492"/>
    <mergeCell ref="AI488:AI492"/>
    <mergeCell ref="AJ488:AJ492"/>
    <mergeCell ref="AK488:AK492"/>
    <mergeCell ref="N489:N491"/>
    <mergeCell ref="O489:O491"/>
    <mergeCell ref="P489:P491"/>
    <mergeCell ref="Q489:Q491"/>
    <mergeCell ref="R489:R491"/>
    <mergeCell ref="S489:S491"/>
    <mergeCell ref="T489:T491"/>
    <mergeCell ref="U489:U491"/>
    <mergeCell ref="V489:V491"/>
    <mergeCell ref="W489:W491"/>
    <mergeCell ref="X489:X491"/>
    <mergeCell ref="Y489:Y491"/>
    <mergeCell ref="G493:G497"/>
    <mergeCell ref="H493:H497"/>
    <mergeCell ref="I493:I497"/>
    <mergeCell ref="J493:J497"/>
    <mergeCell ref="K493:K497"/>
    <mergeCell ref="L493:L497"/>
    <mergeCell ref="M493:M497"/>
    <mergeCell ref="AF493:AF497"/>
    <mergeCell ref="AG493:AG497"/>
    <mergeCell ref="AH493:AH497"/>
    <mergeCell ref="AI493:AI497"/>
    <mergeCell ref="AJ493:AJ497"/>
    <mergeCell ref="AK493:AK497"/>
    <mergeCell ref="N494:N496"/>
    <mergeCell ref="O494:O496"/>
    <mergeCell ref="P494:P496"/>
    <mergeCell ref="Q494:Q496"/>
    <mergeCell ref="R494:R496"/>
    <mergeCell ref="S494:S496"/>
    <mergeCell ref="T494:T496"/>
    <mergeCell ref="U494:U496"/>
    <mergeCell ref="V494:V496"/>
    <mergeCell ref="W494:W496"/>
    <mergeCell ref="X494:X496"/>
    <mergeCell ref="Y494:Y496"/>
    <mergeCell ref="G498:G502"/>
    <mergeCell ref="H498:H502"/>
    <mergeCell ref="I498:I502"/>
    <mergeCell ref="J498:J502"/>
    <mergeCell ref="K498:K502"/>
    <mergeCell ref="L498:L502"/>
    <mergeCell ref="M498:M502"/>
    <mergeCell ref="AF498:AF502"/>
    <mergeCell ref="AG498:AG502"/>
    <mergeCell ref="AH498:AH502"/>
    <mergeCell ref="AI498:AI502"/>
    <mergeCell ref="AJ498:AJ502"/>
    <mergeCell ref="AK498:AK502"/>
    <mergeCell ref="N499:N501"/>
    <mergeCell ref="O499:O501"/>
    <mergeCell ref="P499:P501"/>
    <mergeCell ref="Q499:Q501"/>
    <mergeCell ref="R499:R501"/>
    <mergeCell ref="S499:S501"/>
    <mergeCell ref="T499:T501"/>
    <mergeCell ref="U499:U501"/>
    <mergeCell ref="V499:V501"/>
    <mergeCell ref="W499:W501"/>
    <mergeCell ref="X499:X501"/>
    <mergeCell ref="Y499:Y501"/>
    <mergeCell ref="G503:G507"/>
    <mergeCell ref="H503:H507"/>
    <mergeCell ref="I503:I507"/>
    <mergeCell ref="J503:J507"/>
    <mergeCell ref="K503:K507"/>
    <mergeCell ref="L503:L507"/>
    <mergeCell ref="M503:M507"/>
    <mergeCell ref="AF503:AF507"/>
    <mergeCell ref="AG503:AG507"/>
    <mergeCell ref="AH503:AH507"/>
    <mergeCell ref="AI503:AI507"/>
    <mergeCell ref="AJ503:AJ507"/>
    <mergeCell ref="AK503:AK507"/>
    <mergeCell ref="N504:N506"/>
    <mergeCell ref="O504:O506"/>
    <mergeCell ref="P504:P506"/>
    <mergeCell ref="Q504:Q506"/>
    <mergeCell ref="R504:R506"/>
    <mergeCell ref="S504:S506"/>
    <mergeCell ref="T504:T506"/>
    <mergeCell ref="U504:U506"/>
    <mergeCell ref="V504:V506"/>
    <mergeCell ref="W504:W506"/>
    <mergeCell ref="X504:X506"/>
    <mergeCell ref="Y504:Y506"/>
    <mergeCell ref="G508:G512"/>
    <mergeCell ref="H508:H512"/>
    <mergeCell ref="I508:I512"/>
    <mergeCell ref="J508:J512"/>
    <mergeCell ref="K508:K512"/>
    <mergeCell ref="L508:L512"/>
    <mergeCell ref="M508:M512"/>
    <mergeCell ref="AF508:AF512"/>
    <mergeCell ref="AG508:AG512"/>
    <mergeCell ref="AH508:AH512"/>
    <mergeCell ref="AI508:AI512"/>
    <mergeCell ref="AJ508:AJ512"/>
    <mergeCell ref="AK508:AK512"/>
    <mergeCell ref="N509:N511"/>
    <mergeCell ref="O509:O511"/>
    <mergeCell ref="P509:P511"/>
    <mergeCell ref="Q509:Q511"/>
    <mergeCell ref="R509:R511"/>
    <mergeCell ref="S509:S511"/>
    <mergeCell ref="T509:T511"/>
    <mergeCell ref="U509:U511"/>
    <mergeCell ref="V509:V511"/>
    <mergeCell ref="W509:W511"/>
    <mergeCell ref="X509:X511"/>
    <mergeCell ref="Y509:Y511"/>
    <mergeCell ref="G513:G517"/>
    <mergeCell ref="H513:H517"/>
    <mergeCell ref="I513:I517"/>
    <mergeCell ref="J513:J517"/>
    <mergeCell ref="K513:K517"/>
    <mergeCell ref="L513:L517"/>
    <mergeCell ref="M513:M517"/>
    <mergeCell ref="AF513:AF517"/>
    <mergeCell ref="AG513:AG517"/>
    <mergeCell ref="AH513:AH517"/>
    <mergeCell ref="AI513:AI517"/>
    <mergeCell ref="AJ513:AJ517"/>
    <mergeCell ref="AK513:AK517"/>
    <mergeCell ref="N514:N516"/>
    <mergeCell ref="O514:O516"/>
    <mergeCell ref="P514:P516"/>
    <mergeCell ref="Q514:Q516"/>
    <mergeCell ref="R514:R516"/>
    <mergeCell ref="S514:S516"/>
    <mergeCell ref="T514:T516"/>
    <mergeCell ref="U514:U516"/>
    <mergeCell ref="V514:V516"/>
    <mergeCell ref="W514:W516"/>
    <mergeCell ref="X514:X516"/>
    <mergeCell ref="Y514:Y516"/>
    <mergeCell ref="G518:G522"/>
    <mergeCell ref="H518:H522"/>
    <mergeCell ref="I518:I522"/>
    <mergeCell ref="J518:J522"/>
    <mergeCell ref="K518:K522"/>
    <mergeCell ref="L518:L522"/>
    <mergeCell ref="M518:M522"/>
    <mergeCell ref="AF518:AF522"/>
    <mergeCell ref="AG518:AG522"/>
    <mergeCell ref="AH518:AH522"/>
    <mergeCell ref="AI518:AI522"/>
    <mergeCell ref="AJ518:AJ522"/>
    <mergeCell ref="AK518:AK522"/>
    <mergeCell ref="N519:N521"/>
    <mergeCell ref="O519:O521"/>
    <mergeCell ref="P519:P521"/>
    <mergeCell ref="Q519:Q521"/>
    <mergeCell ref="R519:R521"/>
    <mergeCell ref="S519:S521"/>
    <mergeCell ref="T519:T521"/>
    <mergeCell ref="U519:U521"/>
    <mergeCell ref="V519:V521"/>
    <mergeCell ref="W519:W521"/>
    <mergeCell ref="X519:X521"/>
    <mergeCell ref="Y519:Y521"/>
    <mergeCell ref="G523:G528"/>
    <mergeCell ref="H523:H528"/>
    <mergeCell ref="I523:I528"/>
    <mergeCell ref="J523:J528"/>
    <mergeCell ref="K523:K528"/>
    <mergeCell ref="L523:L528"/>
    <mergeCell ref="M523:M528"/>
    <mergeCell ref="AF523:AF528"/>
    <mergeCell ref="AG523:AG528"/>
    <mergeCell ref="AH523:AH528"/>
    <mergeCell ref="AI523:AI528"/>
    <mergeCell ref="AJ523:AJ528"/>
    <mergeCell ref="AK523:AK528"/>
    <mergeCell ref="N524:N527"/>
    <mergeCell ref="O524:O527"/>
    <mergeCell ref="P524:P527"/>
    <mergeCell ref="Q524:Q527"/>
    <mergeCell ref="R524:R527"/>
    <mergeCell ref="S524:S527"/>
    <mergeCell ref="T524:T527"/>
    <mergeCell ref="U524:U527"/>
    <mergeCell ref="V524:V527"/>
    <mergeCell ref="W524:W527"/>
    <mergeCell ref="X524:X527"/>
    <mergeCell ref="Y524:Y527"/>
    <mergeCell ref="G529:G533"/>
    <mergeCell ref="H529:H533"/>
    <mergeCell ref="I529:I533"/>
    <mergeCell ref="J529:J533"/>
    <mergeCell ref="K529:K533"/>
    <mergeCell ref="L529:L533"/>
    <mergeCell ref="M529:M533"/>
    <mergeCell ref="AF529:AF533"/>
    <mergeCell ref="AG529:AG533"/>
    <mergeCell ref="AH529:AH533"/>
    <mergeCell ref="AI529:AI533"/>
    <mergeCell ref="AJ529:AJ533"/>
    <mergeCell ref="AK529:AK533"/>
    <mergeCell ref="N530:N532"/>
    <mergeCell ref="O530:O532"/>
    <mergeCell ref="P530:P532"/>
    <mergeCell ref="Q530:Q532"/>
    <mergeCell ref="R530:R532"/>
    <mergeCell ref="S530:S532"/>
    <mergeCell ref="T530:T532"/>
    <mergeCell ref="U530:U532"/>
    <mergeCell ref="V530:V532"/>
    <mergeCell ref="W530:W532"/>
    <mergeCell ref="X530:X532"/>
    <mergeCell ref="Y530:Y532"/>
    <mergeCell ref="G534:G538"/>
    <mergeCell ref="H534:H538"/>
    <mergeCell ref="I534:I538"/>
    <mergeCell ref="J534:J538"/>
    <mergeCell ref="K534:K538"/>
    <mergeCell ref="L534:L538"/>
    <mergeCell ref="M534:M538"/>
    <mergeCell ref="AF534:AF538"/>
    <mergeCell ref="AG534:AG538"/>
    <mergeCell ref="AH534:AH538"/>
    <mergeCell ref="AI534:AI538"/>
    <mergeCell ref="AJ534:AJ538"/>
    <mergeCell ref="AK534:AK538"/>
    <mergeCell ref="N535:N537"/>
    <mergeCell ref="O535:O537"/>
    <mergeCell ref="P535:P537"/>
    <mergeCell ref="Q535:Q537"/>
    <mergeCell ref="R535:R537"/>
    <mergeCell ref="S535:S537"/>
    <mergeCell ref="T535:T537"/>
    <mergeCell ref="U535:U537"/>
    <mergeCell ref="V535:V537"/>
    <mergeCell ref="W535:W537"/>
    <mergeCell ref="X535:X537"/>
    <mergeCell ref="Y535:Y537"/>
    <mergeCell ref="G539:G543"/>
    <mergeCell ref="H539:H543"/>
    <mergeCell ref="I539:I543"/>
    <mergeCell ref="J539:J543"/>
    <mergeCell ref="K539:K543"/>
    <mergeCell ref="L539:L543"/>
    <mergeCell ref="M539:M543"/>
    <mergeCell ref="AF539:AF543"/>
    <mergeCell ref="AG539:AG543"/>
    <mergeCell ref="AH539:AH543"/>
    <mergeCell ref="AI539:AI543"/>
    <mergeCell ref="AJ539:AJ543"/>
    <mergeCell ref="AK539:AK543"/>
    <mergeCell ref="N540:N542"/>
    <mergeCell ref="O540:O542"/>
    <mergeCell ref="P540:P542"/>
    <mergeCell ref="Q540:Q542"/>
    <mergeCell ref="R540:R542"/>
    <mergeCell ref="S540:S542"/>
    <mergeCell ref="T540:T542"/>
    <mergeCell ref="U540:U542"/>
    <mergeCell ref="V540:V542"/>
    <mergeCell ref="W540:W542"/>
    <mergeCell ref="X540:X542"/>
    <mergeCell ref="Y540:Y542"/>
    <mergeCell ref="G544:G548"/>
    <mergeCell ref="H544:H548"/>
    <mergeCell ref="I544:I548"/>
    <mergeCell ref="J544:J548"/>
    <mergeCell ref="K544:K548"/>
    <mergeCell ref="L544:L548"/>
    <mergeCell ref="M544:M548"/>
    <mergeCell ref="AF544:AF548"/>
    <mergeCell ref="AG544:AG548"/>
    <mergeCell ref="AH544:AH548"/>
    <mergeCell ref="AI544:AI548"/>
    <mergeCell ref="AJ544:AJ548"/>
    <mergeCell ref="AK544:AK548"/>
    <mergeCell ref="N545:N547"/>
    <mergeCell ref="O545:O547"/>
    <mergeCell ref="P545:P547"/>
    <mergeCell ref="Q545:Q547"/>
    <mergeCell ref="R545:R547"/>
    <mergeCell ref="S545:S547"/>
    <mergeCell ref="T545:T547"/>
    <mergeCell ref="U545:U547"/>
    <mergeCell ref="V545:V547"/>
    <mergeCell ref="W545:W547"/>
    <mergeCell ref="X545:X547"/>
    <mergeCell ref="Y545:Y547"/>
    <mergeCell ref="G549:G553"/>
    <mergeCell ref="H549:H553"/>
    <mergeCell ref="I549:I553"/>
    <mergeCell ref="J549:J553"/>
    <mergeCell ref="K549:K553"/>
    <mergeCell ref="L549:L553"/>
    <mergeCell ref="M549:M553"/>
    <mergeCell ref="AF549:AF553"/>
    <mergeCell ref="AG549:AG553"/>
    <mergeCell ref="AH549:AH553"/>
    <mergeCell ref="AI549:AI553"/>
    <mergeCell ref="AJ549:AJ553"/>
    <mergeCell ref="AK549:AK553"/>
    <mergeCell ref="N550:N552"/>
    <mergeCell ref="O550:O552"/>
    <mergeCell ref="P550:P552"/>
    <mergeCell ref="Q550:Q552"/>
    <mergeCell ref="R550:R552"/>
    <mergeCell ref="S550:S552"/>
    <mergeCell ref="T550:T552"/>
    <mergeCell ref="U550:U552"/>
    <mergeCell ref="V550:V552"/>
    <mergeCell ref="W550:W552"/>
    <mergeCell ref="X550:X552"/>
    <mergeCell ref="Y550:Y552"/>
    <mergeCell ref="G554:G558"/>
    <mergeCell ref="H554:H558"/>
    <mergeCell ref="I554:I558"/>
    <mergeCell ref="J554:J558"/>
    <mergeCell ref="K554:K558"/>
    <mergeCell ref="L554:L558"/>
    <mergeCell ref="M554:M558"/>
    <mergeCell ref="AF554:AF558"/>
    <mergeCell ref="AG554:AG558"/>
    <mergeCell ref="AH554:AH558"/>
    <mergeCell ref="AI554:AI558"/>
    <mergeCell ref="AJ554:AJ558"/>
    <mergeCell ref="AK554:AK558"/>
    <mergeCell ref="N555:N557"/>
    <mergeCell ref="O555:O557"/>
    <mergeCell ref="P555:P557"/>
    <mergeCell ref="Q555:Q557"/>
    <mergeCell ref="R555:R557"/>
    <mergeCell ref="S555:S557"/>
    <mergeCell ref="T555:T557"/>
    <mergeCell ref="U555:U557"/>
    <mergeCell ref="V555:V557"/>
    <mergeCell ref="W555:W557"/>
    <mergeCell ref="X555:X557"/>
    <mergeCell ref="Y555:Y557"/>
    <mergeCell ref="G559:G563"/>
    <mergeCell ref="H559:H563"/>
    <mergeCell ref="I559:I563"/>
    <mergeCell ref="J559:J563"/>
    <mergeCell ref="K559:K563"/>
    <mergeCell ref="L559:L563"/>
    <mergeCell ref="M559:M563"/>
    <mergeCell ref="AF559:AF563"/>
    <mergeCell ref="AG559:AG563"/>
    <mergeCell ref="AH559:AH563"/>
    <mergeCell ref="AI559:AI563"/>
    <mergeCell ref="AJ559:AJ563"/>
    <mergeCell ref="AK559:AK563"/>
    <mergeCell ref="N560:N562"/>
    <mergeCell ref="O560:O562"/>
    <mergeCell ref="P560:P562"/>
    <mergeCell ref="Q560:Q562"/>
    <mergeCell ref="R560:R562"/>
    <mergeCell ref="S560:S562"/>
    <mergeCell ref="T560:T562"/>
    <mergeCell ref="U560:U562"/>
    <mergeCell ref="V560:V562"/>
    <mergeCell ref="W560:W562"/>
    <mergeCell ref="X560:X562"/>
    <mergeCell ref="Y560:Y562"/>
    <mergeCell ref="G564:G568"/>
    <mergeCell ref="H564:H568"/>
    <mergeCell ref="I564:I568"/>
    <mergeCell ref="J564:J568"/>
    <mergeCell ref="K564:K568"/>
    <mergeCell ref="L564:L568"/>
    <mergeCell ref="M564:M568"/>
    <mergeCell ref="AF564:AF568"/>
    <mergeCell ref="AG564:AG568"/>
    <mergeCell ref="AH564:AH568"/>
    <mergeCell ref="AI564:AI568"/>
    <mergeCell ref="AJ564:AJ568"/>
    <mergeCell ref="AK564:AK568"/>
    <mergeCell ref="N565:N567"/>
    <mergeCell ref="O565:O567"/>
    <mergeCell ref="P565:P567"/>
    <mergeCell ref="Q565:Q567"/>
    <mergeCell ref="R565:R567"/>
    <mergeCell ref="S565:S567"/>
    <mergeCell ref="T565:T567"/>
    <mergeCell ref="U565:U567"/>
    <mergeCell ref="V565:V567"/>
    <mergeCell ref="W565:W567"/>
    <mergeCell ref="X565:X567"/>
    <mergeCell ref="Y565:Y567"/>
    <mergeCell ref="G569:G574"/>
    <mergeCell ref="H569:H574"/>
    <mergeCell ref="I569:I574"/>
    <mergeCell ref="J569:J574"/>
    <mergeCell ref="K569:K574"/>
    <mergeCell ref="L569:L574"/>
    <mergeCell ref="M569:M574"/>
    <mergeCell ref="AF569:AF574"/>
    <mergeCell ref="AG569:AG574"/>
    <mergeCell ref="AH569:AH574"/>
    <mergeCell ref="AI569:AI574"/>
    <mergeCell ref="AJ569:AJ574"/>
    <mergeCell ref="AK569:AK574"/>
    <mergeCell ref="N570:N573"/>
    <mergeCell ref="O570:O573"/>
    <mergeCell ref="P570:P573"/>
    <mergeCell ref="Q570:Q573"/>
    <mergeCell ref="R570:R573"/>
    <mergeCell ref="S570:S573"/>
    <mergeCell ref="T570:T573"/>
    <mergeCell ref="U570:U573"/>
    <mergeCell ref="V570:V573"/>
    <mergeCell ref="W570:W573"/>
    <mergeCell ref="X570:X573"/>
    <mergeCell ref="Y570:Y573"/>
    <mergeCell ref="G575:G579"/>
    <mergeCell ref="H575:H579"/>
    <mergeCell ref="I575:I579"/>
    <mergeCell ref="J575:J579"/>
    <mergeCell ref="K575:K579"/>
    <mergeCell ref="L575:L579"/>
    <mergeCell ref="M575:M579"/>
    <mergeCell ref="AF575:AF579"/>
    <mergeCell ref="AG575:AG579"/>
    <mergeCell ref="AH575:AH579"/>
    <mergeCell ref="AI575:AI579"/>
    <mergeCell ref="AJ575:AJ579"/>
    <mergeCell ref="AK575:AK579"/>
    <mergeCell ref="N576:N578"/>
    <mergeCell ref="O576:O578"/>
    <mergeCell ref="P576:P578"/>
    <mergeCell ref="Q576:Q578"/>
    <mergeCell ref="R576:R578"/>
    <mergeCell ref="S576:S578"/>
    <mergeCell ref="T576:T578"/>
    <mergeCell ref="U576:U578"/>
    <mergeCell ref="V576:V578"/>
    <mergeCell ref="W576:W578"/>
    <mergeCell ref="X576:X578"/>
    <mergeCell ref="Y576:Y578"/>
    <mergeCell ref="G580:G584"/>
    <mergeCell ref="H580:H584"/>
    <mergeCell ref="I580:I584"/>
    <mergeCell ref="J580:J584"/>
    <mergeCell ref="K580:K584"/>
    <mergeCell ref="L580:L584"/>
    <mergeCell ref="M580:M584"/>
    <mergeCell ref="AF580:AF584"/>
    <mergeCell ref="AG580:AG584"/>
    <mergeCell ref="AH580:AH584"/>
    <mergeCell ref="AI580:AI584"/>
    <mergeCell ref="AJ580:AJ584"/>
    <mergeCell ref="AK580:AK584"/>
    <mergeCell ref="N581:N583"/>
    <mergeCell ref="O581:O583"/>
    <mergeCell ref="P581:P583"/>
    <mergeCell ref="Q581:Q583"/>
    <mergeCell ref="R581:R583"/>
    <mergeCell ref="S581:S583"/>
    <mergeCell ref="T581:T583"/>
    <mergeCell ref="U581:U583"/>
    <mergeCell ref="V581:V583"/>
    <mergeCell ref="W581:W583"/>
    <mergeCell ref="X581:X583"/>
    <mergeCell ref="Y581:Y583"/>
    <mergeCell ref="I585:K585"/>
    <mergeCell ref="F586:F669"/>
    <mergeCell ref="G586:G590"/>
    <mergeCell ref="H586:H590"/>
    <mergeCell ref="I586:I590"/>
    <mergeCell ref="J586:J590"/>
    <mergeCell ref="K586:K590"/>
    <mergeCell ref="L586:L590"/>
    <mergeCell ref="M586:M590"/>
    <mergeCell ref="AF586:AF590"/>
    <mergeCell ref="AG586:AG590"/>
    <mergeCell ref="AH586:AH590"/>
    <mergeCell ref="AI586:AI590"/>
    <mergeCell ref="AJ586:AJ590"/>
    <mergeCell ref="AK586:AK590"/>
    <mergeCell ref="N587:N589"/>
    <mergeCell ref="O587:O589"/>
    <mergeCell ref="P587:P589"/>
    <mergeCell ref="Q587:Q589"/>
    <mergeCell ref="R587:R589"/>
    <mergeCell ref="S587:S589"/>
    <mergeCell ref="T587:T589"/>
    <mergeCell ref="U587:U589"/>
    <mergeCell ref="V587:V589"/>
    <mergeCell ref="W587:W589"/>
    <mergeCell ref="X587:X589"/>
    <mergeCell ref="Y587:Y589"/>
    <mergeCell ref="G591:G595"/>
    <mergeCell ref="H591:H595"/>
    <mergeCell ref="I591:I595"/>
    <mergeCell ref="J591:J595"/>
    <mergeCell ref="K591:K595"/>
    <mergeCell ref="L591:L595"/>
    <mergeCell ref="M591:M595"/>
    <mergeCell ref="AF591:AF595"/>
    <mergeCell ref="AG591:AG595"/>
    <mergeCell ref="AH591:AH595"/>
    <mergeCell ref="AI591:AI595"/>
    <mergeCell ref="AJ591:AJ595"/>
    <mergeCell ref="AK591:AK595"/>
    <mergeCell ref="N592:N594"/>
    <mergeCell ref="O592:O594"/>
    <mergeCell ref="P592:P594"/>
    <mergeCell ref="Q592:Q594"/>
    <mergeCell ref="R592:R594"/>
    <mergeCell ref="S592:S594"/>
    <mergeCell ref="T592:T594"/>
    <mergeCell ref="U592:U594"/>
    <mergeCell ref="V592:V594"/>
    <mergeCell ref="W592:W594"/>
    <mergeCell ref="X592:X594"/>
    <mergeCell ref="Y592:Y594"/>
    <mergeCell ref="G596:G600"/>
    <mergeCell ref="H596:H600"/>
    <mergeCell ref="I596:I600"/>
    <mergeCell ref="J596:J600"/>
    <mergeCell ref="K596:K600"/>
    <mergeCell ref="L596:L600"/>
    <mergeCell ref="M596:M600"/>
    <mergeCell ref="AF596:AF600"/>
    <mergeCell ref="AG596:AG600"/>
    <mergeCell ref="AH596:AH600"/>
    <mergeCell ref="AI596:AI600"/>
    <mergeCell ref="AJ596:AJ600"/>
    <mergeCell ref="AK596:AK600"/>
    <mergeCell ref="N597:N599"/>
    <mergeCell ref="O597:O599"/>
    <mergeCell ref="P597:P599"/>
    <mergeCell ref="Q597:Q599"/>
    <mergeCell ref="R597:R599"/>
    <mergeCell ref="S597:S599"/>
    <mergeCell ref="T597:T599"/>
    <mergeCell ref="U597:U599"/>
    <mergeCell ref="V597:V599"/>
    <mergeCell ref="W597:W599"/>
    <mergeCell ref="X597:X599"/>
    <mergeCell ref="Y597:Y599"/>
    <mergeCell ref="G601:G606"/>
    <mergeCell ref="H601:H606"/>
    <mergeCell ref="I601:I606"/>
    <mergeCell ref="J601:J606"/>
    <mergeCell ref="K601:K606"/>
    <mergeCell ref="L601:L606"/>
    <mergeCell ref="M601:M606"/>
    <mergeCell ref="AF601:AF606"/>
    <mergeCell ref="AG601:AG606"/>
    <mergeCell ref="AH601:AH606"/>
    <mergeCell ref="AI601:AI606"/>
    <mergeCell ref="AJ601:AJ606"/>
    <mergeCell ref="AK601:AK606"/>
    <mergeCell ref="N602:N605"/>
    <mergeCell ref="O602:O605"/>
    <mergeCell ref="P602:P605"/>
    <mergeCell ref="Q602:Q605"/>
    <mergeCell ref="R602:R605"/>
    <mergeCell ref="S602:S605"/>
    <mergeCell ref="T602:T605"/>
    <mergeCell ref="U602:U605"/>
    <mergeCell ref="V602:V605"/>
    <mergeCell ref="W602:W605"/>
    <mergeCell ref="X602:X605"/>
    <mergeCell ref="Y602:Y605"/>
    <mergeCell ref="G607:G611"/>
    <mergeCell ref="H607:H611"/>
    <mergeCell ref="I607:I611"/>
    <mergeCell ref="J607:J611"/>
    <mergeCell ref="K607:K611"/>
    <mergeCell ref="L607:L611"/>
    <mergeCell ref="M607:M611"/>
    <mergeCell ref="AF607:AF611"/>
    <mergeCell ref="AG607:AG611"/>
    <mergeCell ref="AH607:AH611"/>
    <mergeCell ref="AI607:AI611"/>
    <mergeCell ref="AJ607:AJ611"/>
    <mergeCell ref="AK607:AK611"/>
    <mergeCell ref="N608:N610"/>
    <mergeCell ref="O608:O610"/>
    <mergeCell ref="P608:P610"/>
    <mergeCell ref="Q608:Q610"/>
    <mergeCell ref="R608:R610"/>
    <mergeCell ref="S608:S610"/>
    <mergeCell ref="T608:T610"/>
    <mergeCell ref="U608:U610"/>
    <mergeCell ref="V608:V610"/>
    <mergeCell ref="W608:W610"/>
    <mergeCell ref="X608:X610"/>
    <mergeCell ref="Y608:Y610"/>
    <mergeCell ref="G612:G616"/>
    <mergeCell ref="H612:H616"/>
    <mergeCell ref="I612:I616"/>
    <mergeCell ref="J612:J616"/>
    <mergeCell ref="K612:K616"/>
    <mergeCell ref="L612:L616"/>
    <mergeCell ref="M612:M616"/>
    <mergeCell ref="AF612:AF616"/>
    <mergeCell ref="AG612:AG616"/>
    <mergeCell ref="AH612:AH616"/>
    <mergeCell ref="AI612:AI616"/>
    <mergeCell ref="AJ612:AJ616"/>
    <mergeCell ref="AK612:AK616"/>
    <mergeCell ref="N613:N615"/>
    <mergeCell ref="O613:O615"/>
    <mergeCell ref="P613:P615"/>
    <mergeCell ref="Q613:Q615"/>
    <mergeCell ref="R613:R615"/>
    <mergeCell ref="S613:S615"/>
    <mergeCell ref="T613:T615"/>
    <mergeCell ref="U613:U615"/>
    <mergeCell ref="V613:V615"/>
    <mergeCell ref="W613:W615"/>
    <mergeCell ref="X613:X615"/>
    <mergeCell ref="Y613:Y615"/>
    <mergeCell ref="G617:G621"/>
    <mergeCell ref="H617:H621"/>
    <mergeCell ref="I617:I621"/>
    <mergeCell ref="J617:J621"/>
    <mergeCell ref="K617:K621"/>
    <mergeCell ref="L617:L621"/>
    <mergeCell ref="M617:M621"/>
    <mergeCell ref="AF617:AF621"/>
    <mergeCell ref="AG617:AG621"/>
    <mergeCell ref="AH617:AH621"/>
    <mergeCell ref="AI617:AI621"/>
    <mergeCell ref="AJ617:AJ621"/>
    <mergeCell ref="AK617:AK621"/>
    <mergeCell ref="N618:N620"/>
    <mergeCell ref="O618:O620"/>
    <mergeCell ref="P618:P620"/>
    <mergeCell ref="Q618:Q620"/>
    <mergeCell ref="R618:R620"/>
    <mergeCell ref="S618:S620"/>
    <mergeCell ref="T618:T620"/>
    <mergeCell ref="U618:U620"/>
    <mergeCell ref="V618:V620"/>
    <mergeCell ref="W618:W620"/>
    <mergeCell ref="X618:X620"/>
    <mergeCell ref="Y618:Y620"/>
    <mergeCell ref="G622:G626"/>
    <mergeCell ref="H622:H626"/>
    <mergeCell ref="I622:I626"/>
    <mergeCell ref="J622:J626"/>
    <mergeCell ref="K622:K626"/>
    <mergeCell ref="L622:L626"/>
    <mergeCell ref="M622:M626"/>
    <mergeCell ref="AF622:AF626"/>
    <mergeCell ref="AG622:AG626"/>
    <mergeCell ref="AH622:AH626"/>
    <mergeCell ref="AI622:AI626"/>
    <mergeCell ref="AJ622:AJ626"/>
    <mergeCell ref="AK622:AK626"/>
    <mergeCell ref="N623:N625"/>
    <mergeCell ref="O623:O625"/>
    <mergeCell ref="P623:P625"/>
    <mergeCell ref="Q623:Q625"/>
    <mergeCell ref="R623:R625"/>
    <mergeCell ref="S623:S625"/>
    <mergeCell ref="T623:T625"/>
    <mergeCell ref="U623:U625"/>
    <mergeCell ref="V623:V625"/>
    <mergeCell ref="W623:W625"/>
    <mergeCell ref="X623:X625"/>
    <mergeCell ref="Y623:Y625"/>
    <mergeCell ref="G627:G631"/>
    <mergeCell ref="H627:H631"/>
    <mergeCell ref="I627:I631"/>
    <mergeCell ref="J627:J631"/>
    <mergeCell ref="K627:K631"/>
    <mergeCell ref="L627:L631"/>
    <mergeCell ref="M627:M631"/>
    <mergeCell ref="AF627:AF631"/>
    <mergeCell ref="AG627:AG631"/>
    <mergeCell ref="AH627:AH631"/>
    <mergeCell ref="AI627:AI631"/>
    <mergeCell ref="AJ627:AJ631"/>
    <mergeCell ref="AK627:AK631"/>
    <mergeCell ref="N628:N630"/>
    <mergeCell ref="O628:O630"/>
    <mergeCell ref="P628:P630"/>
    <mergeCell ref="Q628:Q630"/>
    <mergeCell ref="R628:R630"/>
    <mergeCell ref="S628:S630"/>
    <mergeCell ref="T628:T630"/>
    <mergeCell ref="U628:U630"/>
    <mergeCell ref="V628:V630"/>
    <mergeCell ref="W628:W630"/>
    <mergeCell ref="X628:X630"/>
    <mergeCell ref="Y628:Y630"/>
    <mergeCell ref="G632:G636"/>
    <mergeCell ref="H632:H636"/>
    <mergeCell ref="I632:I636"/>
    <mergeCell ref="J632:J636"/>
    <mergeCell ref="K632:K636"/>
    <mergeCell ref="L632:L636"/>
    <mergeCell ref="M632:M636"/>
    <mergeCell ref="AF632:AF636"/>
    <mergeCell ref="AG632:AG636"/>
    <mergeCell ref="AH632:AH636"/>
    <mergeCell ref="AI632:AI636"/>
    <mergeCell ref="AJ632:AJ636"/>
    <mergeCell ref="AK632:AK636"/>
    <mergeCell ref="N633:N635"/>
    <mergeCell ref="O633:O635"/>
    <mergeCell ref="P633:P635"/>
    <mergeCell ref="Q633:Q635"/>
    <mergeCell ref="R633:R635"/>
    <mergeCell ref="S633:S635"/>
    <mergeCell ref="T633:T635"/>
    <mergeCell ref="U633:U635"/>
    <mergeCell ref="V633:V635"/>
    <mergeCell ref="W633:W635"/>
    <mergeCell ref="X633:X635"/>
    <mergeCell ref="Y633:Y635"/>
    <mergeCell ref="G637:G641"/>
    <mergeCell ref="H637:H641"/>
    <mergeCell ref="I637:I641"/>
    <mergeCell ref="J637:J641"/>
    <mergeCell ref="K637:K641"/>
    <mergeCell ref="L637:L641"/>
    <mergeCell ref="M637:M641"/>
    <mergeCell ref="AF637:AF641"/>
    <mergeCell ref="AG637:AG641"/>
    <mergeCell ref="AH637:AH641"/>
    <mergeCell ref="AI637:AI641"/>
    <mergeCell ref="AJ637:AJ641"/>
    <mergeCell ref="AK637:AK641"/>
    <mergeCell ref="N638:N640"/>
    <mergeCell ref="O638:O640"/>
    <mergeCell ref="P638:P640"/>
    <mergeCell ref="Q638:Q640"/>
    <mergeCell ref="R638:R640"/>
    <mergeCell ref="S638:S640"/>
    <mergeCell ref="T638:T640"/>
    <mergeCell ref="U638:U640"/>
    <mergeCell ref="V638:V640"/>
    <mergeCell ref="W638:W640"/>
    <mergeCell ref="X638:X640"/>
    <mergeCell ref="Y638:Y640"/>
    <mergeCell ref="G642:G647"/>
    <mergeCell ref="H642:H647"/>
    <mergeCell ref="I642:I647"/>
    <mergeCell ref="J642:J647"/>
    <mergeCell ref="K642:K647"/>
    <mergeCell ref="L642:L647"/>
    <mergeCell ref="M642:M647"/>
    <mergeCell ref="AF642:AF647"/>
    <mergeCell ref="AG642:AG647"/>
    <mergeCell ref="AH642:AH647"/>
    <mergeCell ref="AI642:AI647"/>
    <mergeCell ref="AJ642:AJ647"/>
    <mergeCell ref="AK642:AK647"/>
    <mergeCell ref="N643:N646"/>
    <mergeCell ref="O643:O646"/>
    <mergeCell ref="P643:P646"/>
    <mergeCell ref="Q643:Q646"/>
    <mergeCell ref="R643:R646"/>
    <mergeCell ref="S643:S646"/>
    <mergeCell ref="T643:T646"/>
    <mergeCell ref="U643:U646"/>
    <mergeCell ref="V643:V646"/>
    <mergeCell ref="W643:W646"/>
    <mergeCell ref="X643:X646"/>
    <mergeCell ref="Y643:Y646"/>
    <mergeCell ref="G648:G653"/>
    <mergeCell ref="H648:H653"/>
    <mergeCell ref="I648:I653"/>
    <mergeCell ref="J648:J653"/>
    <mergeCell ref="K648:K653"/>
    <mergeCell ref="L648:L653"/>
    <mergeCell ref="M648:M653"/>
    <mergeCell ref="AF648:AF653"/>
    <mergeCell ref="AG648:AG653"/>
    <mergeCell ref="AH648:AH653"/>
    <mergeCell ref="AI648:AI653"/>
    <mergeCell ref="AJ648:AJ653"/>
    <mergeCell ref="AK648:AK653"/>
    <mergeCell ref="N649:N652"/>
    <mergeCell ref="O649:O652"/>
    <mergeCell ref="P649:P652"/>
    <mergeCell ref="Q649:Q652"/>
    <mergeCell ref="R649:R652"/>
    <mergeCell ref="S649:S652"/>
    <mergeCell ref="T649:T652"/>
    <mergeCell ref="U649:U652"/>
    <mergeCell ref="V649:V652"/>
    <mergeCell ref="W649:W652"/>
    <mergeCell ref="X649:X652"/>
    <mergeCell ref="Y649:Y652"/>
    <mergeCell ref="G654:G658"/>
    <mergeCell ref="H654:H658"/>
    <mergeCell ref="I654:I658"/>
    <mergeCell ref="J654:J658"/>
    <mergeCell ref="K654:K658"/>
    <mergeCell ref="L654:L658"/>
    <mergeCell ref="M654:M658"/>
    <mergeCell ref="AF654:AF658"/>
    <mergeCell ref="AG654:AG658"/>
    <mergeCell ref="AH654:AH658"/>
    <mergeCell ref="AI654:AI658"/>
    <mergeCell ref="AJ654:AJ658"/>
    <mergeCell ref="AK654:AK658"/>
    <mergeCell ref="N655:N657"/>
    <mergeCell ref="O655:O657"/>
    <mergeCell ref="P655:P657"/>
    <mergeCell ref="Q655:Q657"/>
    <mergeCell ref="R655:R657"/>
    <mergeCell ref="S655:S657"/>
    <mergeCell ref="T655:T657"/>
    <mergeCell ref="U655:U657"/>
    <mergeCell ref="V655:V657"/>
    <mergeCell ref="W655:W657"/>
    <mergeCell ref="X655:X657"/>
    <mergeCell ref="Y655:Y657"/>
    <mergeCell ref="G659:G663"/>
    <mergeCell ref="H659:H663"/>
    <mergeCell ref="I659:I663"/>
    <mergeCell ref="J659:J663"/>
    <mergeCell ref="K659:K663"/>
    <mergeCell ref="L659:L663"/>
    <mergeCell ref="M659:M663"/>
    <mergeCell ref="AF659:AF663"/>
    <mergeCell ref="AG659:AG663"/>
    <mergeCell ref="AH659:AH663"/>
    <mergeCell ref="AI659:AI663"/>
    <mergeCell ref="AJ659:AJ663"/>
    <mergeCell ref="AK659:AK663"/>
    <mergeCell ref="N660:N662"/>
    <mergeCell ref="O660:O662"/>
    <mergeCell ref="P660:P662"/>
    <mergeCell ref="Q660:Q662"/>
    <mergeCell ref="R660:R662"/>
    <mergeCell ref="S660:S662"/>
    <mergeCell ref="T660:T662"/>
    <mergeCell ref="U660:U662"/>
    <mergeCell ref="V660:V662"/>
    <mergeCell ref="W660:W662"/>
    <mergeCell ref="X660:X662"/>
    <mergeCell ref="Y660:Y662"/>
    <mergeCell ref="G664:G668"/>
    <mergeCell ref="H664:H668"/>
    <mergeCell ref="I664:I668"/>
    <mergeCell ref="J664:J668"/>
    <mergeCell ref="K664:K668"/>
    <mergeCell ref="L664:L668"/>
    <mergeCell ref="M664:M668"/>
    <mergeCell ref="AF664:AF668"/>
    <mergeCell ref="AG664:AG668"/>
    <mergeCell ref="AH664:AH668"/>
    <mergeCell ref="AI664:AI668"/>
    <mergeCell ref="AJ664:AJ668"/>
    <mergeCell ref="AK664:AK668"/>
    <mergeCell ref="N665:N667"/>
    <mergeCell ref="O665:O667"/>
    <mergeCell ref="P665:P667"/>
    <mergeCell ref="Q665:Q667"/>
    <mergeCell ref="R665:R667"/>
    <mergeCell ref="S665:S667"/>
    <mergeCell ref="T665:T667"/>
    <mergeCell ref="U665:U667"/>
    <mergeCell ref="V665:V667"/>
    <mergeCell ref="W665:W667"/>
    <mergeCell ref="X665:X667"/>
    <mergeCell ref="Y665:Y667"/>
    <mergeCell ref="I669:K669"/>
    <mergeCell ref="F673:J673"/>
    <mergeCell ref="F674:J674"/>
    <mergeCell ref="F675:J675"/>
  </mergeCells>
  <dataValidations count="3270">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5"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15"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7"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17"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17"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8"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5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5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56"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15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5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5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5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5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5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5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5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5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5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58"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158"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158"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5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5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5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5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5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5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5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6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6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2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2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22"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32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2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2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2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2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23"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2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2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2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2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2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324"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324"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2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2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2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2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25"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2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2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2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2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3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3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33"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433"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3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3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3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3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3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3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3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3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3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35"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435"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435"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3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3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3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3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3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3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3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3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3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8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8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86"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58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8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8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8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8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8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8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8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8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8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88"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588"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588"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8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8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8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8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8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8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8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9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9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0"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2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2"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22"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22"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3"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5"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25"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7"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27"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27"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8"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0"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3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2"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32"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32"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3"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5"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35"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7"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37"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37"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8"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0"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4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2"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42"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42"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3"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5"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45"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7"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47"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47"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8"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0"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5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2"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52"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52"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3"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5"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55"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7"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57"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57"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8"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0"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6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2"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62"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62"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3"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5"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65"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7"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67"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67"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8"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7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7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70"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7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7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7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7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7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7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7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7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7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7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72"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72"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72"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7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7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7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7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73"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7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7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7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7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7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7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75"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75"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7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7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7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7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7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7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7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7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7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77"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77"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77"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7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7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7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7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78"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7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7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7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7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8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8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80"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8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8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8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8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8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8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8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8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8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8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82"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82"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82"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8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8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8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8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83"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8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8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8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8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8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8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85"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85"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8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8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8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8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8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8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8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8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8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87"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87"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87"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8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8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8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8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88"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8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8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8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8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9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9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90"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9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9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9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9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9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9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9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9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9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9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92"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92"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92"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9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9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9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9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93"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9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9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9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9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9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9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95"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95"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9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9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9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9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9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9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9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9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9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97"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97"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97"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9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9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9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9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98"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9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9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9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9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0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0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00"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10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0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0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0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0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0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0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0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0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0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02"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102"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102"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0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0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0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0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0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0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0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0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0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0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0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06"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10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0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0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0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0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0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0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0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0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0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08"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108"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108"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0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0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1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1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1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1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1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1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1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1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1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12"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11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1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1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1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1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13"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1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1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1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1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1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114"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114"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1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1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1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1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1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1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1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1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1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1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1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18"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118"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1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1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1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1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1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1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1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2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2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2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120"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120"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2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2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2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2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2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2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2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2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2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2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2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24"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12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2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2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2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2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25"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2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2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2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2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26"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126"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126"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2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2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2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2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2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2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2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2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2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2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2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29"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12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2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2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3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3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3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3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3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3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3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3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131"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13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3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3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3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3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3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3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3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3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3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3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3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34"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13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3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3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3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3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35"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3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3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3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3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36"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136"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136"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3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3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3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3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3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3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3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3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3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3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3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39"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13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3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3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4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4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4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4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4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4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4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4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141"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14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4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4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4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4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4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4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4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4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4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4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4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44"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14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4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4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4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4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45"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4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4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4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4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46"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146"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146"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4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4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4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4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4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4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4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4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4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0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0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0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103"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103"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0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0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0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0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09"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109"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109"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0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0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1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1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15"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115"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115"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1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1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2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2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2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121"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12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2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2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6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6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61"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16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6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6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6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6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6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6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6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6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6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6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163"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163"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6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6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6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6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6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6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6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6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6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6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6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66"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16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6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6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6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6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6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6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6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6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6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68"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168"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168"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6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6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6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6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6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6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6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7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7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7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7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71"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17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7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7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7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7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7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7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7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7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7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7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173"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173"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7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7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7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7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7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7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7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7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7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7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7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76"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17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7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7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7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7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7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7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7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7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7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78"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178"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178"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7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7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7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7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7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7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7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8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8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8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8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81"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18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8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8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8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8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8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8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8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8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8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8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183"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183"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8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8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8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8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8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8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8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8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8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8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8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86"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18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8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8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8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8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8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8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8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8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8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88"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188"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188"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8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8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8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8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8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8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8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9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9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9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9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91"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19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9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9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9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9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9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9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9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9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9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9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193"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193"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9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9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9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9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9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9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9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9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9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9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9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96"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19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9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9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9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9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9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9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9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9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9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98"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198"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198"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9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9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9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9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9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9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9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0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0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0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0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01"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20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0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0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0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0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0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0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0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0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0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0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203"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203"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0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0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0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0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0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0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0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0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0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0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0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06"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20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0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0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0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0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0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0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0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0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0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08"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208"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208"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0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0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0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0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0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0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0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1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1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1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1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11"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21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1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1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1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1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1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1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1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1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1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1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213"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213"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1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1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1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1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1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1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1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1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1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1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1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16"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21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1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1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1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1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1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1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1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1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1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18"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218"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218"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1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1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1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1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1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1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1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2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2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2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2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21"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2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2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2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2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2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2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2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2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2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2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2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223"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223"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2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2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2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2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2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2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2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2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2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2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2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26"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22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2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2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2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2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2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2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2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2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2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28"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228"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228"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2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2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2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2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2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2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2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3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3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3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3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31"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23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3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3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3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3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3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3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3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3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3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3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233"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233"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3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3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3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3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3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3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3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3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3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3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3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36"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23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3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3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3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3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3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3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3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3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3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38"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238"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238"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3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3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3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3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3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3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3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4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4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4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4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41"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24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4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4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4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4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4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4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4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4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4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4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243"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243"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4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4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4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4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4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4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4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4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4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4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4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46"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24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4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4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4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4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4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4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4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4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4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48"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248"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248"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4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4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4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4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4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4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4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5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5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5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5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51"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25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5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5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5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5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5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5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5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5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5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5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253"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253"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5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5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5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5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5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5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5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5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5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5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5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56"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25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5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5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5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5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5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5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5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5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5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58"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258"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258"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5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5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5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5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5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5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5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6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6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6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6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61"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26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6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6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6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6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6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6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6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6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6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6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263"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263"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6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6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6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6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6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6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6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6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6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6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6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66"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26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6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6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6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6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6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6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6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6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6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68"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268"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268"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6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6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6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6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6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6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6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7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7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7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7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71"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27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7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7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7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7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7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7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7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7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7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7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273"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273"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7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7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7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7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7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7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7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7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7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7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7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76"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27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7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7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7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7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7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7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7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7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7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78"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278"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278"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7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7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7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7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7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7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7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8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8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8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8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81"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28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8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8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8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8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8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8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8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8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8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8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283"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283"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8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8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8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8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8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8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8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8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8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8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8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86"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28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8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8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8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8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8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8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8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8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8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88"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288"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288"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8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8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8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8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8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8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8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9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9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9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9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91"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29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9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9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9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9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9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9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9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9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9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9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293"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293"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9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9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9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9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9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9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9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9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9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9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9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96"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29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9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9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9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9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9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9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9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9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9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98"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298"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298"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9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9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29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29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29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29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29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0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0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0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0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01"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30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0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0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0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0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0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0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0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0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0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0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303"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303"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0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0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0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0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0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0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0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0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0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0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0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06"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30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0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0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0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0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0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0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0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0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0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08"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308"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308"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0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0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0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0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0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0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0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1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1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1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1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11"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31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1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1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1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1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1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1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1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1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1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1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313"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313"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1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1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1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1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1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1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1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1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1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1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1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16"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31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1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1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1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1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1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1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1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1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1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18"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318"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318"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1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1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1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1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1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1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1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2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2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2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2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27"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32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2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2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2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2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28"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2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2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2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2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29"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329"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329"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2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2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3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3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3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3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3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3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3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3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3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32"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33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3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3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3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3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33"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3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3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3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3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3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334"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334"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3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3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3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3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35"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3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3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3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3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3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3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37"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33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3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3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3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3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38"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3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3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3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3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39"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339"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339"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3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3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4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4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4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4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4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4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4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4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4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42"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34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4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4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4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4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43"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4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4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4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4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4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344"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344"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4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4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4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4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45"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4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4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4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4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4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4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47"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34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4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4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4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4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48"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4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4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4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4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49"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349"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349"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4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4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5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5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5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5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5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5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5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5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5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52"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35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5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5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5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5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53"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5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5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5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5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5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354"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354"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5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5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5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5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55"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5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5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5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5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5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5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57"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35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5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5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5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5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58"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5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5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5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5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59"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359"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359"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5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5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6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6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6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6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6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6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6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6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6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62"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36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6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6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6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6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63"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6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6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6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6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6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364"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364"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6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6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6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6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65"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6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6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6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6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6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6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67"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36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6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6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6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6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68"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6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6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6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6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69"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369"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369"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6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6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7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7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7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7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7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7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7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7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7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72"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37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7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7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7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7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73"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7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7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7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7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7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374"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374"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7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7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7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7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75"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7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7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7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7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7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7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77"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37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7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7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7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7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78"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7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7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7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7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79"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379"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379"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7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7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8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8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8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8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8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8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8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8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8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82"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38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8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8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8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8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83"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8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8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8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8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8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384"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384"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8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8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8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8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85"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8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8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8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8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8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8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87"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38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8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8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8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8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88"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8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8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8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8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89"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389"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389"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8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8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9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9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9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9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9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9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9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9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9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92"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39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9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9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9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9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93"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9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9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9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9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9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394"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394"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9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9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9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9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95"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9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9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9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9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9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9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97"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39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9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9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9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9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98"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9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9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39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39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399"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399"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399"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39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39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0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0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0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0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0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0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0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0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0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02"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40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0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0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0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0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03"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0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0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0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0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0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404"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404"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0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0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0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0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05"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0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0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0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0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0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0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07"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40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0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0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0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0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08"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0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0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0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0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09"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409"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409"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0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0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1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1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1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1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1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1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1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1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1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12"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41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1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1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1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1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13"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1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1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1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1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1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414"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414"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1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1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1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1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15"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1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1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1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1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1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1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17"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41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1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1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1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1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18"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1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1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1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1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19"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419"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419"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1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1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2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2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2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2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2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2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2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2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2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22"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42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2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2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2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2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23"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2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2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2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2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2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424"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424"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2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2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2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2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25"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2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2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2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2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2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2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27"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42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2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2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2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2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28"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2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2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2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2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29"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429"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429"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2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2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3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3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3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3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3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3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3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3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3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38"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438"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3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3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3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3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3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3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3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4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4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4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440"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440"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4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4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4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4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4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4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4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4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4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4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4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43"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443"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4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4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4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4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4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4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4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4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4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45"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445"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445"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4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4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4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4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4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4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4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4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4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4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4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48"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448"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4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4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4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4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4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4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4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5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5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5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450"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450"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5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5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5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5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5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5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5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5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5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5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5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53"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453"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5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5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5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5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5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5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5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5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5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55"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455"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455"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5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5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5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5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5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5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5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5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5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5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5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58"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458"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5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5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5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5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5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5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5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6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6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6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460"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460"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6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6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6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6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6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6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6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6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6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6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6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63"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463"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6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6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6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6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6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6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6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6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6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65"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465"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465"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6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6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6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6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6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6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6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6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6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6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6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68"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468"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6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6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6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6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6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6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6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7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7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7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470"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470"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7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7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7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7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7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7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7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7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7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7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7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73"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473"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7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7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7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7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7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7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7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7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7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75"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475"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475"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7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7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7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7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7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7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7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7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7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7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7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78"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478"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7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7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7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7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7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7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7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8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8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8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480"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480"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8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8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8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8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8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8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8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8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8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8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8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83"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483"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8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8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8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8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8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8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8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8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8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85"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485"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485"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8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8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8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8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8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8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8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8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8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8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8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88"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488"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8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8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8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8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8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8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8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9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9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9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490"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490"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9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9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9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9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9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9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9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9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9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9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9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93"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493"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9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9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9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9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9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9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9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9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9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95"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495"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495"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9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9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9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9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9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9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9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9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9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9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9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98"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498"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9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9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49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49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49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49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49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0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0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0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500"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500"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0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0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0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0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0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0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0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0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0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0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0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03"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503"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0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0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0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0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0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0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0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0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0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05"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505"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505"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0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0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0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0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0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0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0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0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0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0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0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08"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508"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0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0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0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0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0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0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0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1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1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1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510"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510"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1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1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1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1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1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1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1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1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1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1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1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13"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513"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1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1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1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1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1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1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1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1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1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15"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515"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515"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1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1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1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1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1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1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1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1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1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1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1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18"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518"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1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1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1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1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1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1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1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2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2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2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520"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520"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2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2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2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2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2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2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2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2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2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2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23"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523"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2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2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2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2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2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2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2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2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2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25"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525"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525"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2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2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2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2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2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2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2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2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2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2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2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29"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52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2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2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3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3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3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3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3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3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3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3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531"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53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3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3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3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3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3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3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3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3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3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3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3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34"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53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3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3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3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3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35"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3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3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3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3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36"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536"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536"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3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3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3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3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3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3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3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3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3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3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3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39"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53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3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3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4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4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4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4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4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4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4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4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541"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54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4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4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4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4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4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4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4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4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4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4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4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44"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54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4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4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4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4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45"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4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4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4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4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46"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546"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546"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4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4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4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4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4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4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4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4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4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4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4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49"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54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4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4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5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5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5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5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5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5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5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5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551"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55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5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5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5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5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5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5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5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5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5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5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5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54"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55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5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5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5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5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55"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5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5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5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5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56"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556"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556"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5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5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5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5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5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5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5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5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5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5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5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59"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55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5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5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6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6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6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6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6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6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6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6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561"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56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6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6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6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6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6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6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6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6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6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6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6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64"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56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6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6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6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6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65"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6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6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6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6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66"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566"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566"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6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6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6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6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6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6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6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6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6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6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6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69"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56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6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6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7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7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7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7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7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7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7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7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571"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57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7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7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7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7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73"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7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7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7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7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7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7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75"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575"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7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7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7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7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7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7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7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7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7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77"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577"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577"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7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7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7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7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78"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7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7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7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7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2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2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26"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526"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526"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2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2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7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7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72"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572"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572"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7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7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8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8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80"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58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8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8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8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8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8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8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8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8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8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82"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582"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582"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8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8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8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8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83"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8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8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8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8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9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9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91"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59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9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9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9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9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9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9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9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9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9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9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593"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593"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9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9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9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9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9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9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9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9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9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9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9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96"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59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9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9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9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9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9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9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9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9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9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98"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598"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598"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9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9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59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59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59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59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59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0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0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0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0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01"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60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0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0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0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0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0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0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0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0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0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0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603"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603"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0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0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0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0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05"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0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0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0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0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0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0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07"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60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0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0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0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0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08"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0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0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0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0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09"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609"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609"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0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0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1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1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1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1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1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1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1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1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1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12"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61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1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1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1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1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13"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1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1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1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1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1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614"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614"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1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1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1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1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15"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1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1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1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1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1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1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17"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61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1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1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1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1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18"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1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1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1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1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19"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619"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619"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1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1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2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2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2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2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2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2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2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2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2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22"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62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2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2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2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2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23"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2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2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2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2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2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624"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624"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2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2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2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2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25"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2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2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2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2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2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2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27"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62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2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2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2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2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28"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2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2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2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2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29"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629"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629"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2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2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3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3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3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3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3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3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3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3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3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32"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63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3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3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3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3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33"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3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3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3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3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3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634"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634"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3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3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3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3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35"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3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3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3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3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3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3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37"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63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3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3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3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3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38"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3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3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3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3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39"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639"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639"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3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3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4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4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4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4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4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4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4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4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4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42"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64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4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42"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4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4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43"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4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4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4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4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4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644"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644"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4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4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4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4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46"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4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4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4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47"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48"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48"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48"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648"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4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4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4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4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4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4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4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5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5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5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650"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650"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5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5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5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5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5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5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5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5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5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5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5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54"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65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5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5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5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5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55"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5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5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5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5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56"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656"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656"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5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5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5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5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5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5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5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5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5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5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5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59"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65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5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5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6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6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6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6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6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6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6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6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661"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66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6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6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6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6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6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6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6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6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63"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6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6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64"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66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6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6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6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6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65"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6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6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66"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66"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66"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666"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666"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66"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66"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67"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67"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6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6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67"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68"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68"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04"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04"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0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604"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604"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0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0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45"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45"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45"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645"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645"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45"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45"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65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65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65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651"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65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65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65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49"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49"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49"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149"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49"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49"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50"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50"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5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50"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50"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51"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5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5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151"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15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51"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51"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53"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53"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53"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5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53"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54"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54" type="whole">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I152" type="list">
      <formula1>"a"</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J152"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K152"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AC152"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AE152"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F152" type="whole">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AI152" type="whole">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D59"/>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P1" activeCellId="0" sqref="P1"/>
    </sheetView>
  </sheetViews>
  <sheetFormatPr defaultColWidth="9.14453125" defaultRowHeight="10.5" zeroHeight="false" outlineLevelRow="0" outlineLevelCol="0"/>
  <cols>
    <col collapsed="false" customWidth="true" hidden="true" outlineLevel="0" max="3" min="1" style="113" width="4.14"/>
    <col collapsed="false" customWidth="true" hidden="true" outlineLevel="0" max="4" min="4" style="45" width="4.14"/>
    <col collapsed="false" customWidth="true" hidden="false" outlineLevel="0" max="5" min="5" style="42" width="3"/>
    <col collapsed="false" customWidth="true" hidden="false" outlineLevel="0" max="6" min="6" style="42" width="6"/>
    <col collapsed="false" customWidth="true" hidden="false" outlineLevel="0" max="7" min="7" style="42" width="60"/>
    <col collapsed="false" customWidth="true" hidden="true" outlineLevel="0" max="9" min="8" style="42" width="21.71"/>
    <col collapsed="false" customWidth="true" hidden="false" outlineLevel="0" max="10" min="10" style="42" width="0.14"/>
    <col collapsed="false" customWidth="true" hidden="true" outlineLevel="0" max="16" min="11" style="42" width="21.71"/>
    <col collapsed="false" customWidth="true" hidden="false" outlineLevel="0" max="17" min="17" style="42" width="0.14"/>
    <col collapsed="false" customWidth="true" hidden="false" outlineLevel="0" max="18" min="18" style="42" width="1"/>
    <col collapsed="false" customWidth="true" hidden="false" outlineLevel="0" max="29" min="19" style="42" width="8"/>
    <col collapsed="false" customWidth="false" hidden="true" outlineLevel="0" max="30" min="30" style="42" width="9.14"/>
  </cols>
  <sheetData>
    <row r="1" s="45" customFormat="true" ht="10.5" hidden="true" customHeight="true" outlineLevel="0" collapsed="false">
      <c r="A1" s="113"/>
      <c r="B1" s="113"/>
      <c r="C1" s="113"/>
      <c r="AD1" s="45" t="s">
        <v>14</v>
      </c>
    </row>
    <row r="2" customFormat="false" ht="10.5" hidden="true" customHeight="true" outlineLevel="0" collapsed="false">
      <c r="AD2" s="42" t="n">
        <v>0</v>
      </c>
    </row>
    <row r="3" s="45" customFormat="true" ht="10.5" hidden="true" customHeight="true" outlineLevel="0" collapsed="false">
      <c r="A3" s="113"/>
      <c r="B3" s="113"/>
      <c r="C3" s="113"/>
      <c r="AD3" s="45" t="n">
        <v>0</v>
      </c>
    </row>
    <row r="4" customFormat="false" ht="3" hidden="false" customHeight="true" outlineLevel="0" collapsed="false">
      <c r="AD4" s="42" t="n">
        <v>3</v>
      </c>
    </row>
    <row r="5" customFormat="false" ht="27" hidden="false" customHeight="true" outlineLevel="0" collapsed="false">
      <c r="F5" s="220" t="str">
        <f aca="false">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0"/>
      <c r="H5" s="220"/>
      <c r="I5" s="220"/>
      <c r="J5" s="220"/>
      <c r="K5" s="386"/>
      <c r="L5" s="386"/>
      <c r="M5" s="386"/>
      <c r="N5" s="386"/>
      <c r="O5" s="386"/>
      <c r="P5" s="386"/>
      <c r="Q5" s="386"/>
      <c r="AD5" s="42" t="n">
        <v>26</v>
      </c>
    </row>
    <row r="6" customFormat="false" ht="10.5" hidden="false" customHeight="true" outlineLevel="0" collapsed="false">
      <c r="F6" s="261" t="str">
        <f aca="false">IF(org=0,"Не определено",org)</f>
        <v>ООО "Газпром теплоэнерго Ярославль"</v>
      </c>
      <c r="G6" s="261"/>
      <c r="H6" s="261"/>
      <c r="I6" s="261"/>
      <c r="J6" s="261"/>
      <c r="K6" s="611"/>
      <c r="L6" s="611"/>
      <c r="M6" s="611"/>
      <c r="N6" s="611"/>
      <c r="O6" s="611"/>
      <c r="P6" s="611"/>
      <c r="Q6" s="611"/>
      <c r="AD6" s="42" t="n">
        <v>10</v>
      </c>
    </row>
    <row r="7" customFormat="false" ht="11.25" hidden="false" customHeight="true" outlineLevel="0" collapsed="false">
      <c r="E7" s="80"/>
      <c r="F7" s="854"/>
      <c r="G7" s="854"/>
      <c r="H7" s="854"/>
      <c r="I7" s="854"/>
      <c r="J7" s="854"/>
      <c r="K7" s="854"/>
      <c r="L7" s="854"/>
      <c r="M7" s="854"/>
      <c r="N7" s="854"/>
      <c r="O7" s="854"/>
      <c r="P7" s="854"/>
      <c r="Q7" s="854"/>
      <c r="R7" s="132"/>
      <c r="S7" s="132"/>
      <c r="T7" s="132"/>
      <c r="U7" s="132"/>
      <c r="V7" s="132"/>
      <c r="W7" s="132"/>
      <c r="X7" s="132"/>
      <c r="Y7" s="132"/>
      <c r="Z7" s="132"/>
      <c r="AA7" s="132"/>
      <c r="AB7" s="132"/>
      <c r="AC7" s="132"/>
      <c r="AD7" s="42" t="n">
        <v>11</v>
      </c>
    </row>
    <row r="8" s="47" customFormat="true" ht="3.75" hidden="false" customHeight="true" outlineLevel="0" collapsed="false">
      <c r="A8" s="456"/>
      <c r="B8" s="456"/>
      <c r="C8" s="456"/>
      <c r="E8" s="156"/>
      <c r="F8" s="855"/>
      <c r="G8" s="855"/>
      <c r="H8" s="855"/>
      <c r="I8" s="855"/>
      <c r="J8" s="855"/>
      <c r="K8" s="855" t="s">
        <v>1026</v>
      </c>
      <c r="L8" s="855"/>
      <c r="M8" s="855"/>
      <c r="N8" s="855"/>
      <c r="O8" s="855"/>
      <c r="P8" s="855"/>
      <c r="Q8" s="855"/>
      <c r="R8" s="156"/>
      <c r="S8" s="156"/>
      <c r="T8" s="156"/>
      <c r="U8" s="156"/>
      <c r="V8" s="156"/>
      <c r="W8" s="156"/>
      <c r="X8" s="156"/>
      <c r="Y8" s="156"/>
      <c r="Z8" s="156"/>
      <c r="AA8" s="156"/>
      <c r="AB8" s="156"/>
      <c r="AC8" s="156"/>
      <c r="AD8" s="47" t="n">
        <v>4</v>
      </c>
    </row>
    <row r="9" customFormat="false" ht="10.5" hidden="false" customHeight="true" outlineLevel="0" collapsed="false">
      <c r="E9" s="80"/>
      <c r="F9" s="856" t="s">
        <v>313</v>
      </c>
      <c r="G9" s="856"/>
      <c r="H9" s="856"/>
      <c r="I9" s="856"/>
      <c r="J9" s="856"/>
      <c r="K9" s="857"/>
      <c r="L9" s="857"/>
      <c r="M9" s="857"/>
      <c r="N9" s="857"/>
      <c r="O9" s="857"/>
      <c r="P9" s="857"/>
      <c r="Q9" s="857"/>
      <c r="R9" s="858"/>
      <c r="S9" s="132"/>
      <c r="T9" s="132"/>
      <c r="U9" s="132"/>
      <c r="V9" s="132"/>
      <c r="W9" s="132"/>
      <c r="X9" s="132"/>
      <c r="Y9" s="132"/>
      <c r="Z9" s="132"/>
      <c r="AA9" s="132"/>
      <c r="AB9" s="132"/>
      <c r="AC9" s="132"/>
      <c r="AD9" s="42" t="n">
        <v>10</v>
      </c>
    </row>
    <row r="10" customFormat="false" ht="24.75" hidden="false" customHeight="true" outlineLevel="0" collapsed="false">
      <c r="E10" s="132"/>
      <c r="F10" s="368" t="s">
        <v>87</v>
      </c>
      <c r="G10" s="228" t="s">
        <v>1185</v>
      </c>
      <c r="H10" s="368" t="s">
        <v>1186</v>
      </c>
      <c r="I10" s="368"/>
      <c r="J10" s="368"/>
      <c r="K10" s="368" t="s">
        <v>1186</v>
      </c>
      <c r="L10" s="368"/>
      <c r="M10" s="368"/>
      <c r="N10" s="368"/>
      <c r="O10" s="368"/>
      <c r="P10" s="368"/>
      <c r="Q10" s="368"/>
      <c r="R10" s="859"/>
      <c r="S10" s="132"/>
      <c r="T10" s="132"/>
      <c r="U10" s="132"/>
      <c r="V10" s="132"/>
      <c r="W10" s="132"/>
      <c r="X10" s="132"/>
      <c r="Y10" s="132"/>
      <c r="Z10" s="132"/>
      <c r="AA10" s="132"/>
      <c r="AB10" s="132"/>
      <c r="AC10" s="132"/>
      <c r="AD10" s="42" t="n">
        <v>24</v>
      </c>
    </row>
    <row r="11" customFormat="false" ht="25.5" hidden="false" customHeight="true" outlineLevel="0" collapsed="false">
      <c r="E11" s="132"/>
      <c r="F11" s="368"/>
      <c r="G11" s="228"/>
      <c r="H11" s="860" t="e">
        <f aca="false">INDEX(IP_MAIN_LIST_NAME_IP,MATCH(H8,IP_MAIN_LIST_IP_ID,0))&amp;" ("&amp;INDEX(IP_MAIN_START_DATE,MATCH(H8,IP_MAIN_LIST_IP_ID,0))&amp;"-"&amp;INDEX(IP_MAIN_END_DATE,MATCH(H8,IP_MAIN_LIST_IP_ID,0))&amp;")"</f>
        <v>#N/A</v>
      </c>
      <c r="I11" s="860"/>
      <c r="J11" s="860"/>
      <c r="K11" s="860" t="str">
        <f aca="false">INDEX(IP_MAIN_LIST_NAME_IP,MATCH(K8,IP_MAIN_LIST_IP_ID,0))&amp;" ("&amp;INDEX(IP_MAIN_START_DATE,MATCH(K8,IP_MAIN_LIST_IP_ID,0))&amp;"-"&amp;INDEX(IP_MAIN_END_DATE,MATCH(K8,IP_MAIN_LIST_IP_ID,0))&amp;")"</f>
        <v>Инвестиционная программа от 30.10.2018 ООО "Газпром теплоэнерго Ярославль" в сфере теплоснабжения по развитию, повышению надежности и энергетической эффективности объектов на 2019-2023 годы (01.01.2019-31.12.2023)</v>
      </c>
      <c r="L11" s="860"/>
      <c r="M11" s="860"/>
      <c r="N11" s="860"/>
      <c r="O11" s="860"/>
      <c r="P11" s="860"/>
      <c r="Q11" s="860"/>
      <c r="R11" s="859"/>
      <c r="S11" s="132"/>
      <c r="T11" s="132"/>
      <c r="U11" s="132"/>
      <c r="V11" s="132"/>
      <c r="W11" s="132"/>
      <c r="X11" s="132"/>
      <c r="Y11" s="132"/>
      <c r="Z11" s="132"/>
      <c r="AA11" s="132"/>
      <c r="AB11" s="132"/>
      <c r="AC11" s="132"/>
      <c r="AD11" s="42" t="n">
        <v>24</v>
      </c>
    </row>
    <row r="12" customFormat="false" ht="10.5" hidden="false" customHeight="true" outlineLevel="0" collapsed="false">
      <c r="F12" s="368"/>
      <c r="G12" s="228"/>
      <c r="H12" s="228" t="s">
        <v>1187</v>
      </c>
      <c r="I12" s="861"/>
      <c r="J12" s="228"/>
      <c r="K12" s="228" t="s">
        <v>1187</v>
      </c>
      <c r="L12" s="861" t="n">
        <v>2019</v>
      </c>
      <c r="M12" s="861" t="n">
        <v>2020</v>
      </c>
      <c r="N12" s="861" t="n">
        <v>2021</v>
      </c>
      <c r="O12" s="861" t="n">
        <v>2022</v>
      </c>
      <c r="P12" s="861" t="n">
        <v>2023</v>
      </c>
      <c r="Q12" s="228"/>
      <c r="R12" s="809"/>
      <c r="AD12" s="42" t="n">
        <v>10</v>
      </c>
    </row>
    <row r="13" customFormat="false" ht="10.5" hidden="true" customHeight="true" outlineLevel="0" collapsed="false">
      <c r="F13" s="228" t="n">
        <v>1</v>
      </c>
      <c r="G13" s="228" t="n">
        <v>2</v>
      </c>
      <c r="H13" s="228" t="n">
        <v>3</v>
      </c>
      <c r="I13" s="228" t="n">
        <v>4</v>
      </c>
      <c r="J13" s="228" t="n">
        <v>5</v>
      </c>
      <c r="K13" s="228" t="n">
        <v>3</v>
      </c>
      <c r="L13" s="228" t="n">
        <v>4</v>
      </c>
      <c r="M13" s="228" t="n">
        <v>4</v>
      </c>
      <c r="N13" s="228" t="n">
        <v>4</v>
      </c>
      <c r="O13" s="228" t="n">
        <v>4</v>
      </c>
      <c r="P13" s="228" t="n">
        <v>4</v>
      </c>
      <c r="Q13" s="228" t="n">
        <v>5</v>
      </c>
      <c r="R13" s="809"/>
      <c r="AD13" s="42" t="n">
        <v>0</v>
      </c>
    </row>
    <row r="14" customFormat="false" ht="11.25" hidden="false" customHeight="true" outlineLevel="0" collapsed="false">
      <c r="F14" s="368" t="s">
        <v>1188</v>
      </c>
      <c r="G14" s="737" t="s">
        <v>1189</v>
      </c>
      <c r="H14" s="737"/>
      <c r="I14" s="737"/>
      <c r="J14" s="737"/>
      <c r="K14" s="737"/>
      <c r="L14" s="737"/>
      <c r="M14" s="737"/>
      <c r="N14" s="737"/>
      <c r="O14" s="737"/>
      <c r="P14" s="737"/>
      <c r="Q14" s="737"/>
      <c r="R14" s="809"/>
      <c r="AD14" s="42" t="n">
        <v>11</v>
      </c>
    </row>
    <row r="15" customFormat="false" ht="11.25" hidden="false" customHeight="true" outlineLevel="0" collapsed="false">
      <c r="F15" s="228" t="n">
        <v>1</v>
      </c>
      <c r="G15" s="206" t="s">
        <v>1190</v>
      </c>
      <c r="H15" s="862" t="n">
        <f aca="false">SUM(I15:J15)</f>
        <v>0</v>
      </c>
      <c r="I15" s="862" t="n">
        <f aca="false">SUM(I16:I27)</f>
        <v>0</v>
      </c>
      <c r="J15" s="368"/>
      <c r="K15" s="862" t="n">
        <f aca="false">SUM(L15:Q15)</f>
        <v>0</v>
      </c>
      <c r="L15" s="862" t="n">
        <f aca="false">SUM(L16:L27)</f>
        <v>0</v>
      </c>
      <c r="M15" s="862" t="n">
        <f aca="false">SUM(M16:M27)</f>
        <v>0</v>
      </c>
      <c r="N15" s="862" t="n">
        <f aca="false">SUM(N16:N27)</f>
        <v>0</v>
      </c>
      <c r="O15" s="862" t="n">
        <f aca="false">SUM(O16:O27)</f>
        <v>0</v>
      </c>
      <c r="P15" s="862" t="n">
        <f aca="false">SUM(P16:P27)</f>
        <v>0</v>
      </c>
      <c r="Q15" s="368"/>
      <c r="R15" s="809"/>
      <c r="AD15" s="42" t="n">
        <v>11</v>
      </c>
    </row>
    <row r="16" customFormat="false" ht="24" hidden="false" customHeight="true" outlineLevel="0" collapsed="false">
      <c r="F16" s="228" t="s">
        <v>1191</v>
      </c>
      <c r="G16" s="735" t="s">
        <v>1192</v>
      </c>
      <c r="H16" s="862" t="n">
        <f aca="false">SUM(I16:J16)</f>
        <v>0</v>
      </c>
      <c r="I16" s="863"/>
      <c r="J16" s="368"/>
      <c r="K16" s="862" t="n">
        <f aca="false">SUM(L16:Q16)</f>
        <v>0</v>
      </c>
      <c r="L16" s="863"/>
      <c r="M16" s="863"/>
      <c r="N16" s="863"/>
      <c r="O16" s="863"/>
      <c r="P16" s="863"/>
      <c r="Q16" s="368"/>
      <c r="R16" s="809"/>
      <c r="AD16" s="42" t="n">
        <v>23</v>
      </c>
    </row>
    <row r="17" customFormat="false" ht="24" hidden="false" customHeight="true" outlineLevel="0" collapsed="false">
      <c r="F17" s="228" t="s">
        <v>1193</v>
      </c>
      <c r="G17" s="735" t="s">
        <v>1194</v>
      </c>
      <c r="H17" s="862" t="n">
        <f aca="false">SUM(I17:J17)</f>
        <v>0</v>
      </c>
      <c r="I17" s="863"/>
      <c r="J17" s="368"/>
      <c r="K17" s="862" t="n">
        <f aca="false">SUM(L17:Q17)</f>
        <v>0</v>
      </c>
      <c r="L17" s="863"/>
      <c r="M17" s="863"/>
      <c r="N17" s="863"/>
      <c r="O17" s="863"/>
      <c r="P17" s="863"/>
      <c r="Q17" s="368"/>
      <c r="R17" s="809"/>
      <c r="AD17" s="42" t="n">
        <v>23</v>
      </c>
    </row>
    <row r="18" customFormat="false" ht="35.25" hidden="false" customHeight="true" outlineLevel="0" collapsed="false">
      <c r="F18" s="228" t="s">
        <v>1195</v>
      </c>
      <c r="G18" s="735" t="s">
        <v>1196</v>
      </c>
      <c r="H18" s="862" t="n">
        <f aca="false">SUM(I18:J18)</f>
        <v>0</v>
      </c>
      <c r="I18" s="863"/>
      <c r="J18" s="368"/>
      <c r="K18" s="862" t="n">
        <f aca="false">SUM(L18:Q18)</f>
        <v>0</v>
      </c>
      <c r="L18" s="863"/>
      <c r="M18" s="863"/>
      <c r="N18" s="863"/>
      <c r="O18" s="863"/>
      <c r="P18" s="863"/>
      <c r="Q18" s="368"/>
      <c r="R18" s="809"/>
      <c r="AD18" s="42" t="n">
        <v>34</v>
      </c>
    </row>
    <row r="19" customFormat="false" ht="35.25" hidden="false" customHeight="true" outlineLevel="0" collapsed="false">
      <c r="F19" s="228" t="s">
        <v>1197</v>
      </c>
      <c r="G19" s="735" t="s">
        <v>1198</v>
      </c>
      <c r="H19" s="862" t="n">
        <f aca="false">SUM(I19:J19)</f>
        <v>0</v>
      </c>
      <c r="I19" s="863"/>
      <c r="J19" s="368"/>
      <c r="K19" s="862" t="n">
        <f aca="false">SUM(L19:Q19)</f>
        <v>0</v>
      </c>
      <c r="L19" s="863"/>
      <c r="M19" s="863"/>
      <c r="N19" s="863"/>
      <c r="O19" s="863"/>
      <c r="P19" s="863"/>
      <c r="Q19" s="368"/>
      <c r="R19" s="809"/>
      <c r="AD19" s="42" t="n">
        <v>34</v>
      </c>
    </row>
    <row r="20" customFormat="false" ht="48" hidden="false" customHeight="true" outlineLevel="0" collapsed="false">
      <c r="F20" s="228" t="s">
        <v>1199</v>
      </c>
      <c r="G20" s="735" t="s">
        <v>1200</v>
      </c>
      <c r="H20" s="862" t="n">
        <f aca="false">SUM(I20:J20)</f>
        <v>0</v>
      </c>
      <c r="I20" s="863"/>
      <c r="J20" s="368"/>
      <c r="K20" s="862" t="n">
        <f aca="false">SUM(L20:Q20)</f>
        <v>0</v>
      </c>
      <c r="L20" s="863"/>
      <c r="M20" s="863"/>
      <c r="N20" s="863"/>
      <c r="O20" s="863"/>
      <c r="P20" s="863"/>
      <c r="Q20" s="368"/>
      <c r="R20" s="809"/>
      <c r="AD20" s="42" t="n">
        <v>46</v>
      </c>
    </row>
    <row r="21" customFormat="false" ht="35.25" hidden="false" customHeight="true" outlineLevel="0" collapsed="false">
      <c r="F21" s="228" t="s">
        <v>1201</v>
      </c>
      <c r="G21" s="735" t="s">
        <v>1202</v>
      </c>
      <c r="H21" s="862" t="n">
        <f aca="false">SUM(I21:J21)</f>
        <v>0</v>
      </c>
      <c r="I21" s="863"/>
      <c r="J21" s="368"/>
      <c r="K21" s="862" t="n">
        <f aca="false">SUM(L21:Q21)</f>
        <v>0</v>
      </c>
      <c r="L21" s="863"/>
      <c r="M21" s="863"/>
      <c r="N21" s="863"/>
      <c r="O21" s="863"/>
      <c r="P21" s="863"/>
      <c r="Q21" s="368"/>
      <c r="R21" s="809"/>
      <c r="AD21" s="42" t="n">
        <v>34</v>
      </c>
    </row>
    <row r="22" customFormat="false" ht="35.25" hidden="false" customHeight="true" outlineLevel="0" collapsed="false">
      <c r="F22" s="228" t="s">
        <v>1203</v>
      </c>
      <c r="G22" s="735" t="s">
        <v>1204</v>
      </c>
      <c r="H22" s="862" t="n">
        <f aca="false">SUM(I22:J22)</f>
        <v>0</v>
      </c>
      <c r="I22" s="863"/>
      <c r="J22" s="368"/>
      <c r="K22" s="862" t="n">
        <f aca="false">SUM(L22:Q22)</f>
        <v>0</v>
      </c>
      <c r="L22" s="863"/>
      <c r="M22" s="863"/>
      <c r="N22" s="863"/>
      <c r="O22" s="863"/>
      <c r="P22" s="863"/>
      <c r="Q22" s="368"/>
      <c r="R22" s="809"/>
      <c r="AD22" s="42" t="n">
        <v>34</v>
      </c>
    </row>
    <row r="23" customFormat="false" ht="24" hidden="false" customHeight="true" outlineLevel="0" collapsed="false">
      <c r="F23" s="228" t="s">
        <v>1205</v>
      </c>
      <c r="G23" s="735" t="s">
        <v>1206</v>
      </c>
      <c r="H23" s="862" t="n">
        <f aca="false">SUM(I23:J23)</f>
        <v>0</v>
      </c>
      <c r="I23" s="863"/>
      <c r="J23" s="368"/>
      <c r="K23" s="862" t="n">
        <f aca="false">SUM(L23:Q23)</f>
        <v>0</v>
      </c>
      <c r="L23" s="863"/>
      <c r="M23" s="863"/>
      <c r="N23" s="863"/>
      <c r="O23" s="863"/>
      <c r="P23" s="863"/>
      <c r="Q23" s="368"/>
      <c r="R23" s="809"/>
      <c r="AD23" s="42" t="n">
        <v>23</v>
      </c>
    </row>
    <row r="24" customFormat="false" ht="24" hidden="false" customHeight="true" outlineLevel="0" collapsed="false">
      <c r="F24" s="228" t="s">
        <v>1207</v>
      </c>
      <c r="G24" s="735" t="s">
        <v>1208</v>
      </c>
      <c r="H24" s="862" t="n">
        <f aca="false">SUM(I24:J24)</f>
        <v>0</v>
      </c>
      <c r="I24" s="863"/>
      <c r="J24" s="368"/>
      <c r="K24" s="862" t="n">
        <f aca="false">SUM(L24:Q24)</f>
        <v>0</v>
      </c>
      <c r="L24" s="863"/>
      <c r="M24" s="863"/>
      <c r="N24" s="863"/>
      <c r="O24" s="863"/>
      <c r="P24" s="863"/>
      <c r="Q24" s="368"/>
      <c r="R24" s="809"/>
      <c r="AD24" s="42" t="n">
        <v>23</v>
      </c>
    </row>
    <row r="25" customFormat="false" ht="35.25" hidden="false" customHeight="true" outlineLevel="0" collapsed="false">
      <c r="F25" s="228" t="s">
        <v>1209</v>
      </c>
      <c r="G25" s="735" t="s">
        <v>1210</v>
      </c>
      <c r="H25" s="862" t="n">
        <f aca="false">SUM(I25:J25)</f>
        <v>0</v>
      </c>
      <c r="I25" s="863"/>
      <c r="J25" s="368"/>
      <c r="K25" s="862" t="n">
        <f aca="false">SUM(L25:Q25)</f>
        <v>0</v>
      </c>
      <c r="L25" s="863"/>
      <c r="M25" s="863"/>
      <c r="N25" s="863"/>
      <c r="O25" s="863"/>
      <c r="P25" s="863"/>
      <c r="Q25" s="368"/>
      <c r="R25" s="809"/>
      <c r="AD25" s="42" t="n">
        <v>34</v>
      </c>
    </row>
    <row r="26" customFormat="false" ht="35.25" hidden="false" customHeight="true" outlineLevel="0" collapsed="false">
      <c r="F26" s="228" t="s">
        <v>1211</v>
      </c>
      <c r="G26" s="735" t="s">
        <v>1212</v>
      </c>
      <c r="H26" s="862" t="n">
        <f aca="false">SUM(I26:J26)</f>
        <v>0</v>
      </c>
      <c r="I26" s="863"/>
      <c r="J26" s="368"/>
      <c r="K26" s="862" t="n">
        <f aca="false">SUM(L26:Q26)</f>
        <v>0</v>
      </c>
      <c r="L26" s="863"/>
      <c r="M26" s="863"/>
      <c r="N26" s="863"/>
      <c r="O26" s="863"/>
      <c r="P26" s="863"/>
      <c r="Q26" s="368"/>
      <c r="R26" s="809"/>
      <c r="AD26" s="42" t="n">
        <v>34</v>
      </c>
    </row>
    <row r="27" customFormat="false" ht="11.25" hidden="false" customHeight="true" outlineLevel="0" collapsed="false">
      <c r="F27" s="228" t="s">
        <v>1213</v>
      </c>
      <c r="G27" s="735" t="s">
        <v>1214</v>
      </c>
      <c r="H27" s="862" t="n">
        <f aca="false">SUM(I27:J27)</f>
        <v>0</v>
      </c>
      <c r="I27" s="863"/>
      <c r="J27" s="368"/>
      <c r="K27" s="862" t="n">
        <f aca="false">SUM(L27:Q27)</f>
        <v>0</v>
      </c>
      <c r="L27" s="863"/>
      <c r="M27" s="863"/>
      <c r="N27" s="863"/>
      <c r="O27" s="863"/>
      <c r="P27" s="863"/>
      <c r="Q27" s="368"/>
      <c r="R27" s="809"/>
      <c r="AD27" s="42" t="n">
        <v>11</v>
      </c>
    </row>
    <row r="28" customFormat="false" ht="11.25" hidden="false" customHeight="true" outlineLevel="0" collapsed="false">
      <c r="F28" s="228" t="n">
        <v>2</v>
      </c>
      <c r="G28" s="206" t="s">
        <v>1215</v>
      </c>
      <c r="H28" s="862" t="n">
        <f aca="false">SUM(I28:J28)</f>
        <v>0</v>
      </c>
      <c r="I28" s="862" t="n">
        <f aca="false">SUM(I29:I31)</f>
        <v>0</v>
      </c>
      <c r="J28" s="368"/>
      <c r="K28" s="862" t="n">
        <f aca="false">SUM(L28:Q28)</f>
        <v>0</v>
      </c>
      <c r="L28" s="862" t="n">
        <f aca="false">SUM(L29:L31)</f>
        <v>0</v>
      </c>
      <c r="M28" s="862" t="n">
        <f aca="false">SUM(M29:M31)</f>
        <v>0</v>
      </c>
      <c r="N28" s="862" t="n">
        <f aca="false">SUM(N29:N31)</f>
        <v>0</v>
      </c>
      <c r="O28" s="862" t="n">
        <f aca="false">SUM(O29:O31)</f>
        <v>0</v>
      </c>
      <c r="P28" s="862" t="n">
        <f aca="false">SUM(P29:P31)</f>
        <v>0</v>
      </c>
      <c r="Q28" s="368"/>
      <c r="R28" s="809"/>
      <c r="AD28" s="42" t="n">
        <v>11</v>
      </c>
    </row>
    <row r="29" customFormat="false" ht="11.25" hidden="false" customHeight="true" outlineLevel="0" collapsed="false">
      <c r="F29" s="228" t="s">
        <v>739</v>
      </c>
      <c r="G29" s="735" t="s">
        <v>1216</v>
      </c>
      <c r="H29" s="862" t="n">
        <f aca="false">SUM(I29:J29)</f>
        <v>0</v>
      </c>
      <c r="I29" s="863"/>
      <c r="J29" s="368"/>
      <c r="K29" s="862" t="n">
        <f aca="false">SUM(L29:Q29)</f>
        <v>0</v>
      </c>
      <c r="L29" s="863"/>
      <c r="M29" s="863"/>
      <c r="N29" s="863"/>
      <c r="O29" s="863"/>
      <c r="P29" s="863"/>
      <c r="Q29" s="368"/>
      <c r="R29" s="809"/>
      <c r="AD29" s="42" t="n">
        <v>11</v>
      </c>
    </row>
    <row r="30" customFormat="false" ht="11.25" hidden="false" customHeight="true" outlineLevel="0" collapsed="false">
      <c r="F30" s="228" t="s">
        <v>320</v>
      </c>
      <c r="G30" s="735" t="s">
        <v>1217</v>
      </c>
      <c r="H30" s="862" t="n">
        <f aca="false">SUM(I30:J30)</f>
        <v>0</v>
      </c>
      <c r="I30" s="863"/>
      <c r="J30" s="368"/>
      <c r="K30" s="862" t="n">
        <f aca="false">SUM(L30:Q30)</f>
        <v>0</v>
      </c>
      <c r="L30" s="863"/>
      <c r="M30" s="863"/>
      <c r="N30" s="863"/>
      <c r="O30" s="863"/>
      <c r="P30" s="863"/>
      <c r="Q30" s="368"/>
      <c r="R30" s="809"/>
      <c r="AD30" s="42" t="n">
        <v>11</v>
      </c>
    </row>
    <row r="31" customFormat="false" ht="11.25" hidden="false" customHeight="true" outlineLevel="0" collapsed="false">
      <c r="F31" s="228" t="s">
        <v>323</v>
      </c>
      <c r="G31" s="735" t="s">
        <v>1218</v>
      </c>
      <c r="H31" s="862" t="n">
        <f aca="false">SUM(I31:J31)</f>
        <v>0</v>
      </c>
      <c r="I31" s="863"/>
      <c r="J31" s="368"/>
      <c r="K31" s="862" t="n">
        <f aca="false">SUM(L31:Q31)</f>
        <v>0</v>
      </c>
      <c r="L31" s="863"/>
      <c r="M31" s="863"/>
      <c r="N31" s="863"/>
      <c r="O31" s="863"/>
      <c r="P31" s="863"/>
      <c r="Q31" s="368"/>
      <c r="R31" s="809"/>
      <c r="AD31" s="42" t="n">
        <v>11</v>
      </c>
    </row>
    <row r="32" customFormat="false" ht="11.25" hidden="false" customHeight="true" outlineLevel="0" collapsed="false">
      <c r="F32" s="228" t="n">
        <v>3</v>
      </c>
      <c r="G32" s="206" t="s">
        <v>1219</v>
      </c>
      <c r="H32" s="862" t="n">
        <f aca="false">SUM(I32:J32)</f>
        <v>0</v>
      </c>
      <c r="I32" s="862" t="n">
        <f aca="false">SUM(I33:I34)</f>
        <v>0</v>
      </c>
      <c r="J32" s="368"/>
      <c r="K32" s="862" t="n">
        <f aca="false">SUM(L32:Q32)</f>
        <v>0</v>
      </c>
      <c r="L32" s="862" t="n">
        <f aca="false">SUM(L33:L34)</f>
        <v>0</v>
      </c>
      <c r="M32" s="862" t="n">
        <f aca="false">SUM(M33:M34)</f>
        <v>0</v>
      </c>
      <c r="N32" s="862" t="n">
        <f aca="false">SUM(N33:N34)</f>
        <v>0</v>
      </c>
      <c r="O32" s="862" t="n">
        <f aca="false">SUM(O33:O34)</f>
        <v>0</v>
      </c>
      <c r="P32" s="862" t="n">
        <f aca="false">SUM(P33:P34)</f>
        <v>0</v>
      </c>
      <c r="Q32" s="368"/>
      <c r="R32" s="809"/>
      <c r="AD32" s="42" t="n">
        <v>11</v>
      </c>
    </row>
    <row r="33" customFormat="false" ht="48" hidden="false" customHeight="true" outlineLevel="0" collapsed="false">
      <c r="F33" s="228" t="s">
        <v>337</v>
      </c>
      <c r="G33" s="735" t="s">
        <v>1220</v>
      </c>
      <c r="H33" s="862" t="n">
        <f aca="false">SUM(I33:J33)</f>
        <v>0</v>
      </c>
      <c r="I33" s="863"/>
      <c r="J33" s="368"/>
      <c r="K33" s="862" t="n">
        <f aca="false">SUM(L33:Q33)</f>
        <v>0</v>
      </c>
      <c r="L33" s="863"/>
      <c r="M33" s="863"/>
      <c r="N33" s="863"/>
      <c r="O33" s="863"/>
      <c r="P33" s="863"/>
      <c r="Q33" s="368"/>
      <c r="R33" s="809"/>
      <c r="AD33" s="42" t="n">
        <v>46</v>
      </c>
    </row>
    <row r="34" customFormat="false" ht="11.25" hidden="false" customHeight="true" outlineLevel="0" collapsed="false">
      <c r="F34" s="228" t="s">
        <v>345</v>
      </c>
      <c r="G34" s="735" t="s">
        <v>1221</v>
      </c>
      <c r="H34" s="862" t="n">
        <f aca="false">SUM(I34:J34)</f>
        <v>0</v>
      </c>
      <c r="I34" s="863"/>
      <c r="J34" s="368"/>
      <c r="K34" s="862" t="n">
        <f aca="false">SUM(L34:Q34)</f>
        <v>0</v>
      </c>
      <c r="L34" s="863"/>
      <c r="M34" s="863"/>
      <c r="N34" s="863"/>
      <c r="O34" s="863"/>
      <c r="P34" s="863"/>
      <c r="Q34" s="368"/>
      <c r="R34" s="809"/>
      <c r="AD34" s="42" t="n">
        <v>11</v>
      </c>
    </row>
    <row r="35" customFormat="false" ht="11.25" hidden="false" customHeight="true" outlineLevel="0" collapsed="false">
      <c r="F35" s="228" t="n">
        <v>4</v>
      </c>
      <c r="G35" s="206" t="s">
        <v>1222</v>
      </c>
      <c r="H35" s="862" t="n">
        <f aca="false">SUM(I35:J35)</f>
        <v>0</v>
      </c>
      <c r="I35" s="863"/>
      <c r="J35" s="368"/>
      <c r="K35" s="862" t="n">
        <f aca="false">SUM(L35:Q35)</f>
        <v>0</v>
      </c>
      <c r="L35" s="863"/>
      <c r="M35" s="863"/>
      <c r="N35" s="863"/>
      <c r="O35" s="863"/>
      <c r="P35" s="863"/>
      <c r="Q35" s="368"/>
      <c r="R35" s="809"/>
      <c r="AD35" s="42" t="n">
        <v>11</v>
      </c>
    </row>
    <row r="36" customFormat="false" ht="11.25" hidden="false" customHeight="true" outlineLevel="0" collapsed="false">
      <c r="F36" s="228"/>
      <c r="G36" s="737" t="s">
        <v>1223</v>
      </c>
      <c r="H36" s="862" t="n">
        <f aca="false">SUM(I36:J36)</f>
        <v>0</v>
      </c>
      <c r="I36" s="862" t="n">
        <f aca="false">SUM(I15,I28,I32,I35)</f>
        <v>0</v>
      </c>
      <c r="J36" s="368"/>
      <c r="K36" s="862" t="n">
        <f aca="false">SUM(L36:Q36)</f>
        <v>0</v>
      </c>
      <c r="L36" s="862" t="n">
        <f aca="false">SUM(L15,L28,L32,L35)</f>
        <v>0</v>
      </c>
      <c r="M36" s="862" t="n">
        <f aca="false">SUM(M15,M28,M32,M35)</f>
        <v>0</v>
      </c>
      <c r="N36" s="862" t="n">
        <f aca="false">SUM(N15,N28,N32,N35)</f>
        <v>0</v>
      </c>
      <c r="O36" s="862" t="n">
        <f aca="false">SUM(O15,O28,O32,O35)</f>
        <v>0</v>
      </c>
      <c r="P36" s="862" t="n">
        <f aca="false">SUM(P15,P28,P32,P35)</f>
        <v>0</v>
      </c>
      <c r="Q36" s="368"/>
      <c r="R36" s="809"/>
      <c r="AD36" s="42" t="n">
        <v>11</v>
      </c>
    </row>
    <row r="37" customFormat="false" ht="29.25" hidden="false" customHeight="true" outlineLevel="0" collapsed="false">
      <c r="F37" s="368" t="s">
        <v>1224</v>
      </c>
      <c r="G37" s="314" t="s">
        <v>1225</v>
      </c>
      <c r="H37" s="314"/>
      <c r="I37" s="314"/>
      <c r="J37" s="314"/>
      <c r="K37" s="314"/>
      <c r="L37" s="314"/>
      <c r="M37" s="314"/>
      <c r="N37" s="314"/>
      <c r="O37" s="314"/>
      <c r="P37" s="314"/>
      <c r="Q37" s="314"/>
      <c r="R37" s="809"/>
      <c r="AD37" s="42" t="n">
        <v>28</v>
      </c>
    </row>
    <row r="38" customFormat="false" ht="24" hidden="false" customHeight="true" outlineLevel="0" collapsed="false">
      <c r="F38" s="228" t="s">
        <v>120</v>
      </c>
      <c r="G38" s="206" t="s">
        <v>1226</v>
      </c>
      <c r="H38" s="862" t="n">
        <f aca="false">SUM(I38:J38)</f>
        <v>0</v>
      </c>
      <c r="I38" s="862" t="n">
        <f aca="false">SUM(I39,I44,I47)</f>
        <v>0</v>
      </c>
      <c r="J38" s="368"/>
      <c r="K38" s="862" t="n">
        <f aca="false">SUM(L38:Q38)</f>
        <v>0</v>
      </c>
      <c r="L38" s="862" t="n">
        <f aca="false">SUM(L39,L44,L47)</f>
        <v>0</v>
      </c>
      <c r="M38" s="862" t="n">
        <f aca="false">SUM(M39,M44,M47)</f>
        <v>0</v>
      </c>
      <c r="N38" s="862" t="n">
        <f aca="false">SUM(N39,N44,N47)</f>
        <v>0</v>
      </c>
      <c r="O38" s="862" t="n">
        <f aca="false">SUM(O39,O44,O47)</f>
        <v>0</v>
      </c>
      <c r="P38" s="862" t="n">
        <f aca="false">SUM(P39,P44,P47)</f>
        <v>0</v>
      </c>
      <c r="Q38" s="368"/>
      <c r="R38" s="809"/>
      <c r="AD38" s="42" t="n">
        <v>23</v>
      </c>
    </row>
    <row r="39" customFormat="false" ht="11.25" hidden="false" customHeight="true" outlineLevel="0" collapsed="false">
      <c r="F39" s="228" t="s">
        <v>1191</v>
      </c>
      <c r="G39" s="735" t="s">
        <v>1190</v>
      </c>
      <c r="H39" s="862" t="n">
        <f aca="false">SUM(I39:J39)</f>
        <v>0</v>
      </c>
      <c r="I39" s="862" t="n">
        <f aca="false">SUM(I40:I43)</f>
        <v>0</v>
      </c>
      <c r="J39" s="368"/>
      <c r="K39" s="862" t="n">
        <f aca="false">SUM(L39:Q39)</f>
        <v>0</v>
      </c>
      <c r="L39" s="862" t="n">
        <f aca="false">SUM(L40:L43)</f>
        <v>0</v>
      </c>
      <c r="M39" s="862" t="n">
        <f aca="false">SUM(M40:M43)</f>
        <v>0</v>
      </c>
      <c r="N39" s="862" t="n">
        <f aca="false">SUM(N40:N43)</f>
        <v>0</v>
      </c>
      <c r="O39" s="862" t="n">
        <f aca="false">SUM(O40:O43)</f>
        <v>0</v>
      </c>
      <c r="P39" s="862" t="n">
        <f aca="false">SUM(P40:P43)</f>
        <v>0</v>
      </c>
      <c r="Q39" s="368"/>
      <c r="R39" s="809"/>
      <c r="AD39" s="42" t="n">
        <v>11</v>
      </c>
    </row>
    <row r="40" customFormat="false" ht="24" hidden="false" customHeight="true" outlineLevel="0" collapsed="false">
      <c r="F40" s="228" t="s">
        <v>1227</v>
      </c>
      <c r="G40" s="864" t="s">
        <v>1228</v>
      </c>
      <c r="H40" s="862" t="n">
        <f aca="false">SUM(I40:J40)</f>
        <v>0</v>
      </c>
      <c r="I40" s="863"/>
      <c r="J40" s="368"/>
      <c r="K40" s="862" t="n">
        <f aca="false">SUM(L40:Q40)</f>
        <v>0</v>
      </c>
      <c r="L40" s="863"/>
      <c r="M40" s="863"/>
      <c r="N40" s="863"/>
      <c r="O40" s="863"/>
      <c r="P40" s="863"/>
      <c r="Q40" s="368"/>
      <c r="R40" s="809"/>
      <c r="AD40" s="42" t="n">
        <v>23</v>
      </c>
    </row>
    <row r="41" customFormat="false" ht="11.25" hidden="false" customHeight="true" outlineLevel="0" collapsed="false">
      <c r="F41" s="228" t="s">
        <v>1229</v>
      </c>
      <c r="G41" s="864" t="s">
        <v>1230</v>
      </c>
      <c r="H41" s="862" t="n">
        <f aca="false">SUM(I41:J41)</f>
        <v>0</v>
      </c>
      <c r="I41" s="863"/>
      <c r="J41" s="368"/>
      <c r="K41" s="862" t="n">
        <f aca="false">SUM(L41:Q41)</f>
        <v>0</v>
      </c>
      <c r="L41" s="863"/>
      <c r="M41" s="863"/>
      <c r="N41" s="863"/>
      <c r="O41" s="863"/>
      <c r="P41" s="863"/>
      <c r="Q41" s="368"/>
      <c r="R41" s="809"/>
      <c r="AD41" s="42" t="n">
        <v>11</v>
      </c>
    </row>
    <row r="42" customFormat="false" ht="11.25" hidden="false" customHeight="true" outlineLevel="0" collapsed="false">
      <c r="F42" s="228" t="s">
        <v>1231</v>
      </c>
      <c r="G42" s="864" t="s">
        <v>1232</v>
      </c>
      <c r="H42" s="862" t="n">
        <f aca="false">SUM(I42:J42)</f>
        <v>0</v>
      </c>
      <c r="I42" s="863"/>
      <c r="J42" s="368"/>
      <c r="K42" s="862" t="n">
        <f aca="false">SUM(L42:Q42)</f>
        <v>0</v>
      </c>
      <c r="L42" s="863"/>
      <c r="M42" s="863"/>
      <c r="N42" s="863"/>
      <c r="O42" s="863"/>
      <c r="P42" s="863"/>
      <c r="Q42" s="368"/>
      <c r="R42" s="809"/>
      <c r="AD42" s="42" t="n">
        <v>11</v>
      </c>
    </row>
    <row r="43" customFormat="false" ht="35.25" hidden="false" customHeight="true" outlineLevel="0" collapsed="false">
      <c r="F43" s="228" t="s">
        <v>1233</v>
      </c>
      <c r="G43" s="864" t="s">
        <v>1234</v>
      </c>
      <c r="H43" s="862" t="n">
        <f aca="false">SUM(I43:J43)</f>
        <v>0</v>
      </c>
      <c r="I43" s="863"/>
      <c r="J43" s="368"/>
      <c r="K43" s="862" t="n">
        <f aca="false">SUM(L43:Q43)</f>
        <v>0</v>
      </c>
      <c r="L43" s="863"/>
      <c r="M43" s="863"/>
      <c r="N43" s="863"/>
      <c r="O43" s="863"/>
      <c r="P43" s="863"/>
      <c r="Q43" s="368"/>
      <c r="R43" s="809"/>
      <c r="AD43" s="42" t="n">
        <v>34</v>
      </c>
    </row>
    <row r="44" customFormat="false" ht="11.25" hidden="false" customHeight="true" outlineLevel="0" collapsed="false">
      <c r="F44" s="228" t="s">
        <v>1193</v>
      </c>
      <c r="G44" s="735" t="s">
        <v>1219</v>
      </c>
      <c r="H44" s="862" t="n">
        <f aca="false">SUM(I44:J44)</f>
        <v>0</v>
      </c>
      <c r="I44" s="862" t="n">
        <f aca="false">SUM(I45:I46)</f>
        <v>0</v>
      </c>
      <c r="J44" s="368"/>
      <c r="K44" s="862" t="n">
        <f aca="false">SUM(L44:Q44)</f>
        <v>0</v>
      </c>
      <c r="L44" s="862" t="n">
        <f aca="false">SUM(L45:L46)</f>
        <v>0</v>
      </c>
      <c r="M44" s="862" t="n">
        <f aca="false">SUM(M45:M46)</f>
        <v>0</v>
      </c>
      <c r="N44" s="862" t="n">
        <f aca="false">SUM(N45:N46)</f>
        <v>0</v>
      </c>
      <c r="O44" s="862" t="n">
        <f aca="false">SUM(O45:O46)</f>
        <v>0</v>
      </c>
      <c r="P44" s="862" t="n">
        <f aca="false">SUM(P45:P46)</f>
        <v>0</v>
      </c>
      <c r="Q44" s="368"/>
      <c r="R44" s="809"/>
      <c r="AD44" s="42" t="n">
        <v>11</v>
      </c>
    </row>
    <row r="45" customFormat="false" ht="48" hidden="false" customHeight="true" outlineLevel="0" collapsed="false">
      <c r="F45" s="228" t="s">
        <v>1235</v>
      </c>
      <c r="G45" s="864" t="s">
        <v>1220</v>
      </c>
      <c r="H45" s="862" t="n">
        <f aca="false">SUM(I45:J45)</f>
        <v>0</v>
      </c>
      <c r="I45" s="863"/>
      <c r="J45" s="368"/>
      <c r="K45" s="862" t="n">
        <f aca="false">SUM(L45:Q45)</f>
        <v>0</v>
      </c>
      <c r="L45" s="863"/>
      <c r="M45" s="863"/>
      <c r="N45" s="863"/>
      <c r="O45" s="863"/>
      <c r="P45" s="863"/>
      <c r="Q45" s="368"/>
      <c r="R45" s="809"/>
      <c r="AD45" s="42" t="n">
        <v>46</v>
      </c>
    </row>
    <row r="46" customFormat="false" ht="11.25" hidden="false" customHeight="true" outlineLevel="0" collapsed="false">
      <c r="F46" s="228" t="s">
        <v>1236</v>
      </c>
      <c r="G46" s="864" t="s">
        <v>1221</v>
      </c>
      <c r="H46" s="862" t="n">
        <f aca="false">SUM(I46:J46)</f>
        <v>0</v>
      </c>
      <c r="I46" s="863"/>
      <c r="J46" s="368"/>
      <c r="K46" s="862" t="n">
        <f aca="false">SUM(L46:Q46)</f>
        <v>0</v>
      </c>
      <c r="L46" s="863"/>
      <c r="M46" s="863"/>
      <c r="N46" s="863"/>
      <c r="O46" s="863"/>
      <c r="P46" s="863"/>
      <c r="Q46" s="368"/>
      <c r="R46" s="809"/>
      <c r="AD46" s="42" t="n">
        <v>11</v>
      </c>
    </row>
    <row r="47" customFormat="false" ht="11.25" hidden="false" customHeight="true" outlineLevel="0" collapsed="false">
      <c r="F47" s="228" t="s">
        <v>1195</v>
      </c>
      <c r="G47" s="735" t="s">
        <v>1237</v>
      </c>
      <c r="H47" s="862" t="n">
        <f aca="false">SUM(I47:J47)</f>
        <v>0</v>
      </c>
      <c r="I47" s="863"/>
      <c r="J47" s="368"/>
      <c r="K47" s="862" t="n">
        <f aca="false">SUM(L47:Q47)</f>
        <v>0</v>
      </c>
      <c r="L47" s="863"/>
      <c r="M47" s="863"/>
      <c r="N47" s="863"/>
      <c r="O47" s="863"/>
      <c r="P47" s="863"/>
      <c r="Q47" s="368"/>
      <c r="R47" s="809"/>
      <c r="AD47" s="42" t="n">
        <v>11</v>
      </c>
    </row>
    <row r="48" customFormat="false" ht="24" hidden="false" customHeight="true" outlineLevel="0" collapsed="false">
      <c r="F48" s="228" t="s">
        <v>102</v>
      </c>
      <c r="G48" s="206" t="s">
        <v>1238</v>
      </c>
      <c r="H48" s="862" t="n">
        <f aca="false">SUM(I48:J48)</f>
        <v>0</v>
      </c>
      <c r="I48" s="862" t="n">
        <f aca="false">SUM(I49,I54,I57)</f>
        <v>0</v>
      </c>
      <c r="J48" s="368"/>
      <c r="K48" s="862" t="n">
        <f aca="false">SUM(L48:Q48)</f>
        <v>0</v>
      </c>
      <c r="L48" s="862" t="n">
        <f aca="false">SUM(L49,L54,L57)</f>
        <v>0</v>
      </c>
      <c r="M48" s="862" t="n">
        <f aca="false">SUM(M49,M54,M57)</f>
        <v>0</v>
      </c>
      <c r="N48" s="862" t="n">
        <f aca="false">SUM(N49,N54,N57)</f>
        <v>0</v>
      </c>
      <c r="O48" s="862" t="n">
        <f aca="false">SUM(O49,O54,O57)</f>
        <v>0</v>
      </c>
      <c r="P48" s="862" t="n">
        <f aca="false">SUM(P49,P54,P57)</f>
        <v>0</v>
      </c>
      <c r="Q48" s="368"/>
      <c r="R48" s="809"/>
      <c r="AD48" s="42" t="n">
        <v>23</v>
      </c>
    </row>
    <row r="49" customFormat="false" ht="11.25" hidden="false" customHeight="true" outlineLevel="0" collapsed="false">
      <c r="F49" s="228" t="s">
        <v>739</v>
      </c>
      <c r="G49" s="735" t="s">
        <v>1190</v>
      </c>
      <c r="H49" s="862" t="n">
        <f aca="false">SUM(I49:J49)</f>
        <v>0</v>
      </c>
      <c r="I49" s="862" t="n">
        <f aca="false">SUM(I50:I53)</f>
        <v>0</v>
      </c>
      <c r="J49" s="368"/>
      <c r="K49" s="862" t="n">
        <f aca="false">SUM(L49:Q49)</f>
        <v>0</v>
      </c>
      <c r="L49" s="862" t="n">
        <f aca="false">SUM(L50:L53)</f>
        <v>0</v>
      </c>
      <c r="M49" s="862" t="n">
        <f aca="false">SUM(M50:M53)</f>
        <v>0</v>
      </c>
      <c r="N49" s="862" t="n">
        <f aca="false">SUM(N50:N53)</f>
        <v>0</v>
      </c>
      <c r="O49" s="862" t="n">
        <f aca="false">SUM(O50:O53)</f>
        <v>0</v>
      </c>
      <c r="P49" s="862" t="n">
        <f aca="false">SUM(P50:P53)</f>
        <v>0</v>
      </c>
      <c r="Q49" s="368"/>
      <c r="R49" s="809"/>
      <c r="AD49" s="42" t="n">
        <v>11</v>
      </c>
    </row>
    <row r="50" customFormat="false" ht="24" hidden="false" customHeight="true" outlineLevel="0" collapsed="false">
      <c r="F50" s="228" t="s">
        <v>742</v>
      </c>
      <c r="G50" s="864" t="s">
        <v>1228</v>
      </c>
      <c r="H50" s="862" t="n">
        <f aca="false">SUM(I50:J50)</f>
        <v>0</v>
      </c>
      <c r="I50" s="863"/>
      <c r="J50" s="368"/>
      <c r="K50" s="862" t="n">
        <f aca="false">SUM(L50:Q50)</f>
        <v>0</v>
      </c>
      <c r="L50" s="863"/>
      <c r="M50" s="863"/>
      <c r="N50" s="863"/>
      <c r="O50" s="863"/>
      <c r="P50" s="863"/>
      <c r="Q50" s="368"/>
      <c r="R50" s="809"/>
      <c r="AD50" s="42" t="n">
        <v>23</v>
      </c>
    </row>
    <row r="51" customFormat="false" ht="11.25" hidden="false" customHeight="true" outlineLevel="0" collapsed="false">
      <c r="F51" s="228" t="s">
        <v>745</v>
      </c>
      <c r="G51" s="864" t="s">
        <v>1230</v>
      </c>
      <c r="H51" s="862" t="n">
        <f aca="false">SUM(I51:J51)</f>
        <v>0</v>
      </c>
      <c r="I51" s="863"/>
      <c r="J51" s="368"/>
      <c r="K51" s="862" t="n">
        <f aca="false">SUM(L51:Q51)</f>
        <v>0</v>
      </c>
      <c r="L51" s="863"/>
      <c r="M51" s="863"/>
      <c r="N51" s="863"/>
      <c r="O51" s="863"/>
      <c r="P51" s="863"/>
      <c r="Q51" s="368"/>
      <c r="R51" s="809"/>
      <c r="AD51" s="42" t="n">
        <v>11</v>
      </c>
    </row>
    <row r="52" customFormat="false" ht="11.25" hidden="false" customHeight="true" outlineLevel="0" collapsed="false">
      <c r="F52" s="228" t="s">
        <v>1239</v>
      </c>
      <c r="G52" s="864" t="s">
        <v>1232</v>
      </c>
      <c r="H52" s="862" t="n">
        <f aca="false">SUM(I52:J52)</f>
        <v>0</v>
      </c>
      <c r="I52" s="863"/>
      <c r="J52" s="368"/>
      <c r="K52" s="862" t="n">
        <f aca="false">SUM(L52:Q52)</f>
        <v>0</v>
      </c>
      <c r="L52" s="863"/>
      <c r="M52" s="863"/>
      <c r="N52" s="863"/>
      <c r="O52" s="863"/>
      <c r="P52" s="863"/>
      <c r="Q52" s="368"/>
      <c r="R52" s="809"/>
      <c r="AD52" s="42" t="n">
        <v>11</v>
      </c>
    </row>
    <row r="53" customFormat="false" ht="35.25" hidden="false" customHeight="true" outlineLevel="0" collapsed="false">
      <c r="F53" s="228" t="s">
        <v>1240</v>
      </c>
      <c r="G53" s="864" t="s">
        <v>1234</v>
      </c>
      <c r="H53" s="862" t="n">
        <f aca="false">SUM(I53:J53)</f>
        <v>0</v>
      </c>
      <c r="I53" s="863"/>
      <c r="J53" s="368"/>
      <c r="K53" s="862" t="n">
        <f aca="false">SUM(L53:Q53)</f>
        <v>0</v>
      </c>
      <c r="L53" s="863"/>
      <c r="M53" s="863"/>
      <c r="N53" s="863"/>
      <c r="O53" s="863"/>
      <c r="P53" s="863"/>
      <c r="Q53" s="368"/>
      <c r="R53" s="809"/>
      <c r="AD53" s="42" t="n">
        <v>34</v>
      </c>
    </row>
    <row r="54" customFormat="false" ht="11.25" hidden="false" customHeight="true" outlineLevel="0" collapsed="false">
      <c r="F54" s="228" t="s">
        <v>320</v>
      </c>
      <c r="G54" s="735" t="s">
        <v>1219</v>
      </c>
      <c r="H54" s="862" t="n">
        <f aca="false">SUM(I54:J54)</f>
        <v>0</v>
      </c>
      <c r="I54" s="862" t="n">
        <f aca="false">SUM(I55:I56)</f>
        <v>0</v>
      </c>
      <c r="J54" s="368"/>
      <c r="K54" s="862" t="n">
        <f aca="false">SUM(L54:Q54)</f>
        <v>0</v>
      </c>
      <c r="L54" s="862" t="n">
        <f aca="false">SUM(L55:L56)</f>
        <v>0</v>
      </c>
      <c r="M54" s="862" t="n">
        <f aca="false">SUM(M55:M56)</f>
        <v>0</v>
      </c>
      <c r="N54" s="862" t="n">
        <f aca="false">SUM(N55:N56)</f>
        <v>0</v>
      </c>
      <c r="O54" s="862" t="n">
        <f aca="false">SUM(O55:O56)</f>
        <v>0</v>
      </c>
      <c r="P54" s="862" t="n">
        <f aca="false">SUM(P55:P56)</f>
        <v>0</v>
      </c>
      <c r="Q54" s="368"/>
      <c r="R54" s="809"/>
      <c r="AD54" s="42" t="n">
        <v>11</v>
      </c>
    </row>
    <row r="55" customFormat="false" ht="48" hidden="false" customHeight="true" outlineLevel="0" collapsed="false">
      <c r="F55" s="228" t="s">
        <v>749</v>
      </c>
      <c r="G55" s="864" t="s">
        <v>1220</v>
      </c>
      <c r="H55" s="862" t="n">
        <f aca="false">SUM(I55:J55)</f>
        <v>0</v>
      </c>
      <c r="I55" s="863"/>
      <c r="J55" s="368"/>
      <c r="K55" s="862" t="n">
        <f aca="false">SUM(L55:Q55)</f>
        <v>0</v>
      </c>
      <c r="L55" s="863"/>
      <c r="M55" s="863"/>
      <c r="N55" s="863"/>
      <c r="O55" s="863"/>
      <c r="P55" s="863"/>
      <c r="Q55" s="368"/>
      <c r="R55" s="809"/>
      <c r="AD55" s="42" t="n">
        <v>46</v>
      </c>
    </row>
    <row r="56" customFormat="false" ht="11.25" hidden="false" customHeight="true" outlineLevel="0" collapsed="false">
      <c r="F56" s="228" t="s">
        <v>751</v>
      </c>
      <c r="G56" s="864" t="s">
        <v>1221</v>
      </c>
      <c r="H56" s="862" t="n">
        <f aca="false">SUM(I56:J56)</f>
        <v>0</v>
      </c>
      <c r="I56" s="863"/>
      <c r="J56" s="368"/>
      <c r="K56" s="862" t="n">
        <f aca="false">SUM(L56:Q56)</f>
        <v>0</v>
      </c>
      <c r="L56" s="863"/>
      <c r="M56" s="863"/>
      <c r="N56" s="863"/>
      <c r="O56" s="863"/>
      <c r="P56" s="863"/>
      <c r="Q56" s="368"/>
      <c r="R56" s="809"/>
      <c r="AD56" s="42" t="n">
        <v>11</v>
      </c>
    </row>
    <row r="57" customFormat="false" ht="11.25" hidden="false" customHeight="true" outlineLevel="0" collapsed="false">
      <c r="F57" s="228" t="s">
        <v>323</v>
      </c>
      <c r="G57" s="735" t="s">
        <v>1237</v>
      </c>
      <c r="H57" s="862" t="n">
        <f aca="false">SUM(I57:J57)</f>
        <v>0</v>
      </c>
      <c r="I57" s="863"/>
      <c r="J57" s="368"/>
      <c r="K57" s="862" t="n">
        <f aca="false">SUM(L57:Q57)</f>
        <v>0</v>
      </c>
      <c r="L57" s="863"/>
      <c r="M57" s="863"/>
      <c r="N57" s="863"/>
      <c r="O57" s="863"/>
      <c r="P57" s="863"/>
      <c r="Q57" s="368"/>
      <c r="R57" s="809"/>
      <c r="AD57" s="42" t="n">
        <v>11</v>
      </c>
    </row>
    <row r="58" customFormat="false" ht="11.25" hidden="false" customHeight="true" outlineLevel="0" collapsed="false">
      <c r="F58" s="228"/>
      <c r="G58" s="314" t="s">
        <v>1223</v>
      </c>
      <c r="H58" s="862" t="n">
        <f aca="false">SUM(I58:J58)</f>
        <v>0</v>
      </c>
      <c r="I58" s="862" t="n">
        <f aca="false">SUM(I38,I48)</f>
        <v>0</v>
      </c>
      <c r="J58" s="368"/>
      <c r="K58" s="862" t="n">
        <f aca="false">SUM(L58:Q58)</f>
        <v>0</v>
      </c>
      <c r="L58" s="862" t="n">
        <f aca="false">SUM(L38,L48)</f>
        <v>0</v>
      </c>
      <c r="M58" s="862" t="n">
        <f aca="false">SUM(M38,M48)</f>
        <v>0</v>
      </c>
      <c r="N58" s="862" t="n">
        <f aca="false">SUM(N38,N48)</f>
        <v>0</v>
      </c>
      <c r="O58" s="862" t="n">
        <f aca="false">SUM(O38,O48)</f>
        <v>0</v>
      </c>
      <c r="P58" s="862" t="n">
        <f aca="false">SUM(P38,P48)</f>
        <v>0</v>
      </c>
      <c r="Q58" s="368"/>
      <c r="R58" s="809"/>
      <c r="AD58" s="42" t="n">
        <v>11</v>
      </c>
    </row>
    <row r="59" customFormat="false" ht="10.5" hidden="true" customHeight="true" outlineLevel="0" collapsed="false">
      <c r="A59" s="113" t="s">
        <v>81</v>
      </c>
      <c r="B59" s="113" t="n">
        <v>0</v>
      </c>
      <c r="C59" s="113" t="n">
        <v>0</v>
      </c>
      <c r="D59" s="45" t="n">
        <v>0</v>
      </c>
      <c r="E59" s="42" t="n">
        <v>3</v>
      </c>
      <c r="F59" s="42" t="n">
        <v>6</v>
      </c>
      <c r="G59" s="42" t="n">
        <v>60</v>
      </c>
      <c r="H59" s="42" t="n">
        <v>0</v>
      </c>
      <c r="I59" s="42" t="n">
        <v>0</v>
      </c>
      <c r="J59" s="42" t="n">
        <v>0</v>
      </c>
      <c r="K59" s="42" t="n">
        <v>0</v>
      </c>
      <c r="L59" s="42" t="n">
        <v>0</v>
      </c>
      <c r="M59" s="42" t="n">
        <v>0</v>
      </c>
      <c r="N59" s="42" t="n">
        <v>0</v>
      </c>
      <c r="O59" s="42" t="n">
        <v>0</v>
      </c>
      <c r="P59" s="42" t="n">
        <v>0</v>
      </c>
      <c r="Q59" s="42" t="n">
        <v>0</v>
      </c>
      <c r="R59" s="42" t="n">
        <v>1</v>
      </c>
      <c r="S59" s="42" t="n">
        <v>8</v>
      </c>
      <c r="T59" s="42" t="n">
        <v>8</v>
      </c>
      <c r="U59" s="42" t="n">
        <v>8</v>
      </c>
      <c r="V59" s="42" t="n">
        <v>8</v>
      </c>
      <c r="W59" s="42" t="n">
        <v>8</v>
      </c>
      <c r="X59" s="42" t="n">
        <v>8</v>
      </c>
      <c r="Y59" s="42" t="n">
        <v>8</v>
      </c>
      <c r="Z59" s="42" t="n">
        <v>8</v>
      </c>
      <c r="AA59" s="42" t="n">
        <v>8</v>
      </c>
      <c r="AB59" s="42" t="n">
        <v>8</v>
      </c>
      <c r="AC59" s="42" t="n">
        <v>8</v>
      </c>
      <c r="AD59" s="42" t="n">
        <v>10</v>
      </c>
    </row>
  </sheetData>
  <mergeCells count="11">
    <mergeCell ref="F5:J5"/>
    <mergeCell ref="F6:J6"/>
    <mergeCell ref="F9:J9"/>
    <mergeCell ref="F10:F12"/>
    <mergeCell ref="G10:G12"/>
    <mergeCell ref="H10:J10"/>
    <mergeCell ref="K10:Q10"/>
    <mergeCell ref="H11:J11"/>
    <mergeCell ref="K11:Q11"/>
    <mergeCell ref="G14:J14"/>
    <mergeCell ref="G37:J37"/>
  </mergeCells>
  <dataValidations count="1">
    <dataValidation allowBlank="true" error="Допускается ввод только неотрицательных чисел!" errorStyle="stop" errorTitle="Ошибка" operator="between" showDropDown="false" showErrorMessage="true" showInputMessage="false" sqref="I16:I27 L16:P27 I29:I31 L29:P31 I33:I35 L33:P35 I40:I43 L40:P43 I45:I47 L45:P47 I50:I53 L50:P53 I55:I57 L55:P57"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GC2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S22" activeCellId="0" sqref="S22"/>
    </sheetView>
  </sheetViews>
  <sheetFormatPr defaultColWidth="9.14453125" defaultRowHeight="12" zeroHeight="false" outlineLevelRow="0" outlineLevelCol="0"/>
  <cols>
    <col collapsed="false" customWidth="true" hidden="true" outlineLevel="0" max="1" min="1" style="865" width="4.71"/>
    <col collapsed="false" customWidth="true" hidden="true" outlineLevel="0" max="2" min="2" style="866" width="4.71"/>
    <col collapsed="false" customWidth="true" hidden="true" outlineLevel="0" max="4" min="3" style="865" width="4.71"/>
    <col collapsed="false" customWidth="true" hidden="false" outlineLevel="0" max="5" min="5" style="865" width="3"/>
    <col collapsed="false" customWidth="true" hidden="false" outlineLevel="0" max="6" min="6" style="865" width="6"/>
    <col collapsed="false" customWidth="true" hidden="false" outlineLevel="0" max="7" min="7" style="865" width="18"/>
    <col collapsed="false" customWidth="true" hidden="false" outlineLevel="0" max="8" min="8" style="865" width="27"/>
    <col collapsed="false" customWidth="true" hidden="false" outlineLevel="0" max="9" min="9" style="865" width="18"/>
    <col collapsed="false" customWidth="true" hidden="true" outlineLevel="0" max="14" min="10" style="865" width="0.85"/>
    <col collapsed="false" customWidth="true" hidden="false" outlineLevel="0" max="28" min="15" style="865" width="21.71"/>
    <col collapsed="false" customWidth="true" hidden="false" outlineLevel="0" max="71" min="29" style="865" width="0.85"/>
    <col collapsed="false" customWidth="true" hidden="true" outlineLevel="0" max="79" min="72" style="865" width="21.71"/>
    <col collapsed="false" customWidth="true" hidden="true" outlineLevel="0" max="81" min="80" style="865" width="29.14"/>
    <col collapsed="false" customWidth="true" hidden="true" outlineLevel="0" max="89" min="82" style="865" width="21.71"/>
    <col collapsed="false" customWidth="true" hidden="true" outlineLevel="0" max="102" min="90" style="865" width="0.71"/>
    <col collapsed="false" customWidth="true" hidden="true" outlineLevel="0" max="114" min="103" style="865" width="21.71"/>
    <col collapsed="false" customWidth="true" hidden="true" outlineLevel="0" max="178" min="115" style="865" width="0.71"/>
    <col collapsed="false" customWidth="true" hidden="false" outlineLevel="0" max="179" min="179" style="865" width="0.14"/>
    <col collapsed="false" customWidth="true" hidden="false" outlineLevel="0" max="184" min="180" style="865" width="8"/>
    <col collapsed="false" customWidth="false" hidden="true" outlineLevel="0" max="185" min="185" style="865" width="9.14"/>
  </cols>
  <sheetData>
    <row r="1" s="867" customFormat="true" ht="12" hidden="true" customHeight="true" outlineLevel="0" collapsed="false">
      <c r="B1" s="868"/>
      <c r="GC1" s="867" t="s">
        <v>14</v>
      </c>
    </row>
    <row r="2" s="867" customFormat="true" ht="12" hidden="true" customHeight="true" outlineLevel="0" collapsed="false">
      <c r="B2" s="868"/>
      <c r="GC2" s="867" t="n">
        <v>0</v>
      </c>
    </row>
    <row r="3" s="867" customFormat="true" ht="12" hidden="true" customHeight="true" outlineLevel="0" collapsed="false">
      <c r="B3" s="868"/>
      <c r="GC3" s="867" t="n">
        <v>0</v>
      </c>
    </row>
    <row r="4" customFormat="false" ht="10.5" hidden="false" customHeight="true" outlineLevel="0" collapsed="false">
      <c r="H4" s="869"/>
      <c r="I4" s="869"/>
      <c r="J4" s="869"/>
      <c r="K4" s="869"/>
      <c r="L4" s="869"/>
      <c r="GC4" s="865" t="n">
        <v>10</v>
      </c>
    </row>
    <row r="5" s="607" customFormat="true" ht="27" hidden="false" customHeight="true" outlineLevel="0" collapsed="false">
      <c r="B5" s="870"/>
      <c r="E5" s="871"/>
      <c r="F5" s="872" t="str">
        <f aca="false">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872"/>
      <c r="H5" s="872"/>
      <c r="I5" s="872"/>
      <c r="J5" s="872"/>
      <c r="K5" s="872"/>
      <c r="L5" s="872"/>
      <c r="M5" s="872"/>
      <c r="N5" s="872"/>
      <c r="O5" s="872"/>
      <c r="P5" s="872"/>
      <c r="Q5" s="872"/>
      <c r="R5" s="872"/>
      <c r="S5" s="872"/>
      <c r="T5" s="872"/>
      <c r="U5" s="872"/>
      <c r="V5" s="872"/>
      <c r="W5" s="872"/>
      <c r="X5" s="872"/>
      <c r="Y5" s="872"/>
      <c r="Z5" s="872"/>
      <c r="AA5" s="872"/>
      <c r="AB5" s="872"/>
      <c r="AC5" s="872"/>
      <c r="AD5" s="872"/>
      <c r="AE5" s="872"/>
      <c r="AF5" s="872"/>
      <c r="AG5" s="872"/>
      <c r="AH5" s="872"/>
      <c r="AI5" s="872"/>
      <c r="AJ5" s="872"/>
      <c r="AK5" s="872"/>
      <c r="AL5" s="872"/>
      <c r="AM5" s="872"/>
      <c r="AN5" s="872"/>
      <c r="AO5" s="872"/>
      <c r="AP5" s="872"/>
      <c r="AQ5" s="872"/>
      <c r="AR5" s="872"/>
      <c r="AS5" s="872"/>
      <c r="AT5" s="872"/>
      <c r="AU5" s="872"/>
      <c r="AV5" s="872"/>
      <c r="AW5" s="872"/>
      <c r="AX5" s="872"/>
      <c r="AY5" s="872"/>
      <c r="AZ5" s="872"/>
      <c r="BA5" s="872"/>
      <c r="BB5" s="872"/>
      <c r="BC5" s="872"/>
      <c r="BD5" s="872"/>
      <c r="BE5" s="872"/>
      <c r="BF5" s="872"/>
      <c r="BG5" s="872"/>
      <c r="BH5" s="872"/>
      <c r="BI5" s="872"/>
      <c r="BJ5" s="872"/>
      <c r="BK5" s="872"/>
      <c r="BL5" s="872"/>
      <c r="BM5" s="872"/>
      <c r="BN5" s="872"/>
      <c r="BO5" s="872"/>
      <c r="BP5" s="872"/>
      <c r="BQ5" s="872"/>
      <c r="BR5" s="872"/>
      <c r="BS5" s="872"/>
      <c r="GC5" s="607" t="n">
        <v>26</v>
      </c>
    </row>
    <row r="6" s="114" customFormat="true" ht="18.75" hidden="false" customHeight="true" outlineLevel="0" collapsed="false">
      <c r="B6" s="113"/>
      <c r="E6" s="309"/>
      <c r="F6" s="873" t="str">
        <f aca="false">IF(org=0,"Не определено",org)</f>
        <v>ООО "Газпром теплоэнерго Ярославль"</v>
      </c>
      <c r="G6" s="873"/>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3"/>
      <c r="AY6" s="873"/>
      <c r="AZ6" s="873"/>
      <c r="BA6" s="873"/>
      <c r="BB6" s="873"/>
      <c r="BC6" s="873"/>
      <c r="BD6" s="873"/>
      <c r="BE6" s="873"/>
      <c r="BF6" s="873"/>
      <c r="BG6" s="873"/>
      <c r="BH6" s="873"/>
      <c r="BI6" s="873"/>
      <c r="BJ6" s="873"/>
      <c r="BK6" s="873"/>
      <c r="BL6" s="873"/>
      <c r="BM6" s="873"/>
      <c r="BN6" s="873"/>
      <c r="BO6" s="873"/>
      <c r="BP6" s="873"/>
      <c r="BQ6" s="873"/>
      <c r="BR6" s="873"/>
      <c r="BS6" s="873"/>
      <c r="GC6" s="114" t="n">
        <v>18</v>
      </c>
    </row>
    <row r="7" s="874" customFormat="true" ht="10.5" hidden="false" customHeight="true" outlineLevel="0" collapsed="false">
      <c r="B7" s="875"/>
      <c r="G7" s="876"/>
      <c r="H7" s="869"/>
      <c r="I7" s="869"/>
      <c r="J7" s="869"/>
      <c r="K7" s="869"/>
      <c r="L7" s="869"/>
      <c r="GC7" s="874" t="n">
        <v>10</v>
      </c>
    </row>
    <row r="8" s="874" customFormat="true" ht="11.25" hidden="true" customHeight="true" outlineLevel="0" collapsed="false">
      <c r="B8" s="875"/>
      <c r="F8" s="114"/>
      <c r="G8" s="43"/>
      <c r="H8" s="132"/>
      <c r="I8" s="132"/>
      <c r="J8" s="132"/>
      <c r="K8" s="132"/>
      <c r="L8" s="132"/>
      <c r="M8" s="114"/>
      <c r="N8" s="114"/>
      <c r="O8" s="877" t="s">
        <v>1241</v>
      </c>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7"/>
      <c r="AY8" s="877"/>
      <c r="AZ8" s="877"/>
      <c r="BA8" s="877"/>
      <c r="BB8" s="877"/>
      <c r="BC8" s="877"/>
      <c r="BD8" s="877"/>
      <c r="BE8" s="877"/>
      <c r="BF8" s="877"/>
      <c r="BG8" s="877"/>
      <c r="BH8" s="877"/>
      <c r="BI8" s="877"/>
      <c r="BJ8" s="877"/>
      <c r="BK8" s="877"/>
      <c r="BL8" s="877"/>
      <c r="BM8" s="877"/>
      <c r="BN8" s="877"/>
      <c r="BO8" s="877"/>
      <c r="BP8" s="877"/>
      <c r="BQ8" s="877"/>
      <c r="BR8" s="877"/>
      <c r="BS8" s="877"/>
      <c r="BT8" s="878"/>
      <c r="BU8" s="878"/>
      <c r="BV8" s="878"/>
      <c r="BW8" s="878"/>
      <c r="BX8" s="878"/>
      <c r="BY8" s="878"/>
      <c r="BZ8" s="878"/>
      <c r="CA8" s="878"/>
      <c r="CB8" s="878"/>
      <c r="CC8" s="878"/>
      <c r="CD8" s="878"/>
      <c r="CE8" s="878"/>
      <c r="CF8" s="878"/>
      <c r="CG8" s="878"/>
      <c r="CH8" s="878"/>
      <c r="CI8" s="878"/>
      <c r="CJ8" s="878"/>
      <c r="CK8" s="878"/>
      <c r="CL8" s="878"/>
      <c r="CM8" s="878"/>
      <c r="CN8" s="878"/>
      <c r="CO8" s="878"/>
      <c r="CP8" s="878"/>
      <c r="CQ8" s="878"/>
      <c r="CR8" s="878"/>
      <c r="CS8" s="878"/>
      <c r="CT8" s="878"/>
      <c r="CU8" s="878"/>
      <c r="CV8" s="878"/>
      <c r="CW8" s="878"/>
      <c r="CX8" s="878"/>
      <c r="CY8" s="879"/>
      <c r="CZ8" s="879"/>
      <c r="DA8" s="879"/>
      <c r="DB8" s="879"/>
      <c r="DC8" s="879"/>
      <c r="DD8" s="879"/>
      <c r="DE8" s="879"/>
      <c r="DF8" s="879"/>
      <c r="DG8" s="879"/>
      <c r="DH8" s="879"/>
      <c r="DI8" s="879"/>
      <c r="DJ8" s="879"/>
      <c r="DK8" s="879"/>
      <c r="DL8" s="879"/>
      <c r="DM8" s="879"/>
      <c r="DN8" s="879"/>
      <c r="DO8" s="879"/>
      <c r="DP8" s="879"/>
      <c r="DQ8" s="879"/>
      <c r="DR8" s="879"/>
      <c r="DS8" s="879"/>
      <c r="DT8" s="879"/>
      <c r="DU8" s="879"/>
      <c r="DV8" s="879"/>
      <c r="DW8" s="879"/>
      <c r="DX8" s="879"/>
      <c r="DY8" s="880" t="s">
        <v>1242</v>
      </c>
      <c r="DZ8" s="880"/>
      <c r="EA8" s="880"/>
      <c r="EB8" s="880"/>
      <c r="EC8" s="880"/>
      <c r="ED8" s="880"/>
      <c r="EE8" s="880"/>
      <c r="EF8" s="880"/>
      <c r="EG8" s="880"/>
      <c r="EH8" s="880"/>
      <c r="EI8" s="880"/>
      <c r="EJ8" s="880"/>
      <c r="EK8" s="880"/>
      <c r="EL8" s="880"/>
      <c r="EM8" s="880"/>
      <c r="EN8" s="880"/>
      <c r="EO8" s="880"/>
      <c r="EP8" s="880"/>
      <c r="EQ8" s="880"/>
      <c r="ER8" s="880"/>
      <c r="ES8" s="880"/>
      <c r="ET8" s="880"/>
      <c r="EU8" s="880"/>
      <c r="EV8" s="880"/>
      <c r="EW8" s="880"/>
      <c r="EX8" s="880"/>
      <c r="EY8" s="880"/>
      <c r="EZ8" s="880"/>
      <c r="FA8" s="880"/>
      <c r="FB8" s="880"/>
      <c r="FC8" s="880"/>
      <c r="FD8" s="880"/>
      <c r="FE8" s="880"/>
      <c r="FF8" s="880"/>
      <c r="FG8" s="880"/>
      <c r="FH8" s="880"/>
      <c r="FI8" s="880"/>
      <c r="FJ8" s="880"/>
      <c r="FK8" s="880"/>
      <c r="FL8" s="880"/>
      <c r="FM8" s="880"/>
      <c r="FN8" s="880"/>
      <c r="FO8" s="880"/>
      <c r="FP8" s="880"/>
      <c r="FQ8" s="880"/>
      <c r="FR8" s="880"/>
      <c r="FS8" s="880"/>
      <c r="FT8" s="880"/>
      <c r="FU8" s="880"/>
      <c r="FV8" s="880"/>
      <c r="FW8" s="881"/>
      <c r="FX8" s="114"/>
      <c r="GC8" s="874" t="n">
        <v>0</v>
      </c>
    </row>
    <row r="9" s="874" customFormat="true" ht="11.25" hidden="true" customHeight="true" outlineLevel="0" collapsed="false">
      <c r="B9" s="875"/>
      <c r="F9" s="114"/>
      <c r="G9" s="43"/>
      <c r="H9" s="132"/>
      <c r="I9" s="132"/>
      <c r="J9" s="132"/>
      <c r="K9" s="132"/>
      <c r="L9" s="132"/>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4"/>
      <c r="DU9" s="114"/>
      <c r="DV9" s="114"/>
      <c r="DW9" s="114"/>
      <c r="DX9" s="114"/>
      <c r="DY9" s="114"/>
      <c r="DZ9" s="114"/>
      <c r="EA9" s="114"/>
      <c r="EB9" s="114"/>
      <c r="EC9" s="114"/>
      <c r="ED9" s="114"/>
      <c r="EE9" s="114"/>
      <c r="EF9" s="114"/>
      <c r="EG9" s="114"/>
      <c r="EH9" s="114"/>
      <c r="EI9" s="114"/>
      <c r="EJ9" s="114"/>
      <c r="EK9" s="114"/>
      <c r="EL9" s="114"/>
      <c r="EM9" s="114"/>
      <c r="EN9" s="114"/>
      <c r="EO9" s="114"/>
      <c r="EP9" s="114"/>
      <c r="EQ9" s="114"/>
      <c r="ER9" s="114"/>
      <c r="ES9" s="114"/>
      <c r="ET9" s="114"/>
      <c r="EU9" s="114"/>
      <c r="EV9" s="114"/>
      <c r="EW9" s="114"/>
      <c r="EX9" s="114"/>
      <c r="EY9" s="114"/>
      <c r="EZ9" s="114"/>
      <c r="FA9" s="114"/>
      <c r="FB9" s="114"/>
      <c r="FC9" s="114"/>
      <c r="FD9" s="114"/>
      <c r="FE9" s="114"/>
      <c r="FF9" s="114"/>
      <c r="FG9" s="114"/>
      <c r="FH9" s="114"/>
      <c r="FI9" s="114"/>
      <c r="FJ9" s="114"/>
      <c r="FK9" s="114"/>
      <c r="FL9" s="114"/>
      <c r="FM9" s="114"/>
      <c r="FN9" s="114"/>
      <c r="FO9" s="114"/>
      <c r="FP9" s="114"/>
      <c r="FQ9" s="114"/>
      <c r="FR9" s="114"/>
      <c r="FS9" s="114"/>
      <c r="FT9" s="114"/>
      <c r="FU9" s="114"/>
      <c r="FV9" s="114"/>
      <c r="FW9" s="881"/>
      <c r="FX9" s="114"/>
      <c r="GC9" s="874" t="n">
        <v>0</v>
      </c>
    </row>
    <row r="10" s="874" customFormat="true" ht="11.25" hidden="false" customHeight="true" outlineLevel="0" collapsed="false">
      <c r="B10" s="875"/>
      <c r="F10" s="198" t="s">
        <v>313</v>
      </c>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E10" s="198"/>
      <c r="DF10" s="198"/>
      <c r="DG10" s="198"/>
      <c r="DH10" s="198"/>
      <c r="DI10" s="198"/>
      <c r="DJ10" s="198"/>
      <c r="DK10" s="198"/>
      <c r="DL10" s="198"/>
      <c r="DM10" s="198"/>
      <c r="DN10" s="198"/>
      <c r="DO10" s="198"/>
      <c r="DP10" s="198"/>
      <c r="DQ10" s="198"/>
      <c r="DR10" s="198"/>
      <c r="DS10" s="198"/>
      <c r="DT10" s="198"/>
      <c r="DU10" s="198"/>
      <c r="DV10" s="198"/>
      <c r="DW10" s="198"/>
      <c r="DX10" s="198"/>
      <c r="DY10" s="198"/>
      <c r="DZ10" s="198"/>
      <c r="EA10" s="198"/>
      <c r="EB10" s="198"/>
      <c r="EC10" s="198"/>
      <c r="ED10" s="198"/>
      <c r="EE10" s="198"/>
      <c r="EF10" s="198"/>
      <c r="EG10" s="198"/>
      <c r="EH10" s="198"/>
      <c r="EI10" s="198"/>
      <c r="EJ10" s="198"/>
      <c r="EK10" s="198"/>
      <c r="EL10" s="198"/>
      <c r="EM10" s="198"/>
      <c r="EN10" s="198"/>
      <c r="EO10" s="198"/>
      <c r="EP10" s="198"/>
      <c r="EQ10" s="198"/>
      <c r="ER10" s="198"/>
      <c r="ES10" s="198"/>
      <c r="ET10" s="198"/>
      <c r="EU10" s="198"/>
      <c r="EV10" s="198"/>
      <c r="EW10" s="198"/>
      <c r="EX10" s="198"/>
      <c r="EY10" s="198"/>
      <c r="EZ10" s="198"/>
      <c r="FA10" s="198"/>
      <c r="FB10" s="198"/>
      <c r="FC10" s="198"/>
      <c r="FD10" s="198"/>
      <c r="FE10" s="198"/>
      <c r="FF10" s="198"/>
      <c r="FG10" s="198"/>
      <c r="FH10" s="198"/>
      <c r="FI10" s="198"/>
      <c r="FJ10" s="198"/>
      <c r="FK10" s="198"/>
      <c r="FL10" s="198"/>
      <c r="FM10" s="198"/>
      <c r="FN10" s="198"/>
      <c r="FO10" s="198"/>
      <c r="FP10" s="198"/>
      <c r="FQ10" s="198"/>
      <c r="FR10" s="198"/>
      <c r="FS10" s="198"/>
      <c r="FT10" s="198"/>
      <c r="FU10" s="198"/>
      <c r="FV10" s="198"/>
      <c r="FW10" s="881"/>
      <c r="FX10" s="114"/>
      <c r="GC10" s="874" t="n">
        <v>11</v>
      </c>
    </row>
    <row r="11" customFormat="false" ht="12.75" hidden="false" customHeight="true" outlineLevel="0" collapsed="false">
      <c r="E11" s="882"/>
      <c r="F11" s="297" t="s">
        <v>87</v>
      </c>
      <c r="G11" s="297" t="s">
        <v>1243</v>
      </c>
      <c r="H11" s="297" t="s">
        <v>1244</v>
      </c>
      <c r="I11" s="297" t="s">
        <v>1245</v>
      </c>
      <c r="J11" s="883"/>
      <c r="K11" s="883"/>
      <c r="L11" s="883"/>
      <c r="M11" s="883"/>
      <c r="N11" s="883"/>
      <c r="O11" s="391" t="s">
        <v>1246</v>
      </c>
      <c r="P11" s="391"/>
      <c r="Q11" s="391"/>
      <c r="R11" s="391"/>
      <c r="S11" s="391"/>
      <c r="T11" s="391"/>
      <c r="U11" s="391"/>
      <c r="V11" s="391"/>
      <c r="W11" s="391"/>
      <c r="X11" s="391"/>
      <c r="Y11" s="391"/>
      <c r="Z11" s="391"/>
      <c r="AA11" s="391"/>
      <c r="AB11" s="391"/>
      <c r="AC11" s="884"/>
      <c r="AD11" s="884"/>
      <c r="AE11" s="884"/>
      <c r="AF11" s="884"/>
      <c r="AG11" s="884"/>
      <c r="AH11" s="884"/>
      <c r="AI11" s="884"/>
      <c r="AJ11" s="884"/>
      <c r="AK11" s="884"/>
      <c r="AL11" s="884"/>
      <c r="AM11" s="884"/>
      <c r="AN11" s="884"/>
      <c r="AO11" s="884"/>
      <c r="AP11" s="884"/>
      <c r="AQ11" s="884"/>
      <c r="AR11" s="884"/>
      <c r="AS11" s="884"/>
      <c r="AT11" s="884"/>
      <c r="AU11" s="884"/>
      <c r="AV11" s="884"/>
      <c r="AW11" s="884"/>
      <c r="AX11" s="884"/>
      <c r="AY11" s="884"/>
      <c r="AZ11" s="884"/>
      <c r="BA11" s="884"/>
      <c r="BB11" s="884"/>
      <c r="BC11" s="884"/>
      <c r="BD11" s="884"/>
      <c r="BE11" s="884"/>
      <c r="BF11" s="884"/>
      <c r="BG11" s="884"/>
      <c r="BH11" s="884"/>
      <c r="BI11" s="884"/>
      <c r="BJ11" s="884"/>
      <c r="BK11" s="884"/>
      <c r="BL11" s="884"/>
      <c r="BM11" s="884"/>
      <c r="BN11" s="884"/>
      <c r="BO11" s="884"/>
      <c r="BP11" s="884"/>
      <c r="BQ11" s="884"/>
      <c r="BR11" s="884"/>
      <c r="BS11" s="885"/>
      <c r="BT11" s="391" t="s">
        <v>1246</v>
      </c>
      <c r="BU11" s="391"/>
      <c r="BV11" s="391"/>
      <c r="BW11" s="391"/>
      <c r="BX11" s="391"/>
      <c r="BY11" s="391"/>
      <c r="BZ11" s="391"/>
      <c r="CA11" s="391"/>
      <c r="CB11" s="391"/>
      <c r="CC11" s="391"/>
      <c r="CD11" s="391"/>
      <c r="CE11" s="391"/>
      <c r="CF11" s="391"/>
      <c r="CG11" s="391"/>
      <c r="CH11" s="391"/>
      <c r="CI11" s="391"/>
      <c r="CJ11" s="391"/>
      <c r="CK11" s="391"/>
      <c r="CL11" s="886"/>
      <c r="CM11" s="884"/>
      <c r="CN11" s="884"/>
      <c r="CO11" s="884"/>
      <c r="CP11" s="884"/>
      <c r="CQ11" s="884"/>
      <c r="CR11" s="884"/>
      <c r="CS11" s="884"/>
      <c r="CT11" s="884"/>
      <c r="CU11" s="884"/>
      <c r="CV11" s="884"/>
      <c r="CW11" s="884"/>
      <c r="CX11" s="885"/>
      <c r="CY11" s="391" t="s">
        <v>1246</v>
      </c>
      <c r="CZ11" s="391"/>
      <c r="DA11" s="391"/>
      <c r="DB11" s="391"/>
      <c r="DC11" s="391"/>
      <c r="DD11" s="391"/>
      <c r="DE11" s="391"/>
      <c r="DF11" s="391"/>
      <c r="DG11" s="391"/>
      <c r="DH11" s="391"/>
      <c r="DI11" s="391"/>
      <c r="DJ11" s="391"/>
      <c r="DK11" s="886"/>
      <c r="DL11" s="884"/>
      <c r="DM11" s="884"/>
      <c r="DN11" s="884"/>
      <c r="DO11" s="884"/>
      <c r="DP11" s="884"/>
      <c r="DQ11" s="884"/>
      <c r="DR11" s="884"/>
      <c r="DS11" s="884"/>
      <c r="DT11" s="884"/>
      <c r="DU11" s="884"/>
      <c r="DV11" s="884"/>
      <c r="DW11" s="884"/>
      <c r="DX11" s="884"/>
      <c r="DY11" s="884"/>
      <c r="DZ11" s="884"/>
      <c r="EA11" s="884"/>
      <c r="EB11" s="884"/>
      <c r="EC11" s="884"/>
      <c r="ED11" s="884"/>
      <c r="EE11" s="884"/>
      <c r="EF11" s="884"/>
      <c r="EG11" s="884"/>
      <c r="EH11" s="884"/>
      <c r="EI11" s="884"/>
      <c r="EJ11" s="884"/>
      <c r="EK11" s="884"/>
      <c r="EL11" s="884"/>
      <c r="EM11" s="884"/>
      <c r="EN11" s="884"/>
      <c r="EO11" s="884"/>
      <c r="EP11" s="884"/>
      <c r="EQ11" s="884"/>
      <c r="ER11" s="884"/>
      <c r="ES11" s="884"/>
      <c r="ET11" s="884"/>
      <c r="EU11" s="884"/>
      <c r="EV11" s="884"/>
      <c r="EW11" s="884"/>
      <c r="EX11" s="884"/>
      <c r="EY11" s="884"/>
      <c r="EZ11" s="884"/>
      <c r="FA11" s="884"/>
      <c r="FB11" s="884"/>
      <c r="FC11" s="884"/>
      <c r="FD11" s="884"/>
      <c r="FE11" s="884"/>
      <c r="FF11" s="884"/>
      <c r="FG11" s="884"/>
      <c r="FH11" s="884"/>
      <c r="FI11" s="884"/>
      <c r="FJ11" s="884"/>
      <c r="FK11" s="884"/>
      <c r="FL11" s="884"/>
      <c r="FM11" s="884"/>
      <c r="FN11" s="884"/>
      <c r="FO11" s="884"/>
      <c r="FP11" s="884"/>
      <c r="FQ11" s="884"/>
      <c r="FR11" s="884"/>
      <c r="FS11" s="884"/>
      <c r="FT11" s="884"/>
      <c r="FU11" s="884"/>
      <c r="FV11" s="884"/>
      <c r="FW11" s="881"/>
      <c r="FX11" s="50"/>
      <c r="GC11" s="865" t="n">
        <v>12</v>
      </c>
    </row>
    <row r="12" customFormat="false" ht="12.75" hidden="false" customHeight="true" outlineLevel="0" collapsed="false">
      <c r="D12" s="869"/>
      <c r="E12" s="882"/>
      <c r="F12" s="297"/>
      <c r="G12" s="297"/>
      <c r="H12" s="297"/>
      <c r="I12" s="297"/>
      <c r="J12" s="883"/>
      <c r="K12" s="883"/>
      <c r="L12" s="883"/>
      <c r="M12" s="883"/>
      <c r="N12" s="883"/>
      <c r="O12" s="391" t="s">
        <v>1247</v>
      </c>
      <c r="P12" s="391"/>
      <c r="Q12" s="391"/>
      <c r="R12" s="391"/>
      <c r="S12" s="391" t="s">
        <v>1248</v>
      </c>
      <c r="T12" s="391"/>
      <c r="U12" s="391"/>
      <c r="V12" s="391"/>
      <c r="W12" s="391"/>
      <c r="X12" s="391"/>
      <c r="Y12" s="391"/>
      <c r="Z12" s="391"/>
      <c r="AA12" s="391"/>
      <c r="AB12" s="391"/>
      <c r="AC12" s="884"/>
      <c r="AD12" s="884"/>
      <c r="AE12" s="884"/>
      <c r="AF12" s="884"/>
      <c r="AG12" s="884"/>
      <c r="AH12" s="884"/>
      <c r="AI12" s="884"/>
      <c r="AJ12" s="884"/>
      <c r="AK12" s="884"/>
      <c r="AL12" s="884"/>
      <c r="AM12" s="884"/>
      <c r="AN12" s="884"/>
      <c r="AO12" s="884"/>
      <c r="AP12" s="884"/>
      <c r="AQ12" s="884"/>
      <c r="AR12" s="884"/>
      <c r="AS12" s="884"/>
      <c r="AT12" s="884"/>
      <c r="AU12" s="884"/>
      <c r="AV12" s="884"/>
      <c r="AW12" s="884"/>
      <c r="AX12" s="884"/>
      <c r="AY12" s="884"/>
      <c r="AZ12" s="884"/>
      <c r="BA12" s="884"/>
      <c r="BB12" s="884"/>
      <c r="BC12" s="884"/>
      <c r="BD12" s="884"/>
      <c r="BE12" s="884"/>
      <c r="BF12" s="884"/>
      <c r="BG12" s="884"/>
      <c r="BH12" s="884"/>
      <c r="BI12" s="884"/>
      <c r="BJ12" s="884"/>
      <c r="BK12" s="884"/>
      <c r="BL12" s="884"/>
      <c r="BM12" s="884"/>
      <c r="BN12" s="884"/>
      <c r="BO12" s="884"/>
      <c r="BP12" s="884"/>
      <c r="BQ12" s="884"/>
      <c r="BR12" s="884"/>
      <c r="BS12" s="885"/>
      <c r="BT12" s="391" t="s">
        <v>1249</v>
      </c>
      <c r="BU12" s="391"/>
      <c r="BV12" s="391"/>
      <c r="BW12" s="391"/>
      <c r="BX12" s="391" t="s">
        <v>1250</v>
      </c>
      <c r="BY12" s="391"/>
      <c r="BZ12" s="391"/>
      <c r="CA12" s="391"/>
      <c r="CB12" s="391" t="s">
        <v>1251</v>
      </c>
      <c r="CC12" s="391"/>
      <c r="CD12" s="391" t="s">
        <v>1252</v>
      </c>
      <c r="CE12" s="391"/>
      <c r="CF12" s="391"/>
      <c r="CG12" s="391"/>
      <c r="CH12" s="391"/>
      <c r="CI12" s="391"/>
      <c r="CJ12" s="391"/>
      <c r="CK12" s="391"/>
      <c r="CL12" s="886"/>
      <c r="CM12" s="884"/>
      <c r="CN12" s="884"/>
      <c r="CO12" s="884"/>
      <c r="CP12" s="884"/>
      <c r="CQ12" s="884"/>
      <c r="CR12" s="884"/>
      <c r="CS12" s="884"/>
      <c r="CT12" s="884"/>
      <c r="CU12" s="884"/>
      <c r="CV12" s="884"/>
      <c r="CW12" s="884"/>
      <c r="CX12" s="885"/>
      <c r="CY12" s="391" t="s">
        <v>1253</v>
      </c>
      <c r="CZ12" s="391"/>
      <c r="DA12" s="391"/>
      <c r="DB12" s="391"/>
      <c r="DC12" s="391"/>
      <c r="DD12" s="391"/>
      <c r="DE12" s="391" t="s">
        <v>1254</v>
      </c>
      <c r="DF12" s="391"/>
      <c r="DG12" s="391" t="s">
        <v>1252</v>
      </c>
      <c r="DH12" s="391"/>
      <c r="DI12" s="391"/>
      <c r="DJ12" s="391"/>
      <c r="DK12" s="886"/>
      <c r="DL12" s="884"/>
      <c r="DM12" s="884"/>
      <c r="DN12" s="884"/>
      <c r="DO12" s="884"/>
      <c r="DP12" s="884"/>
      <c r="DQ12" s="884"/>
      <c r="DR12" s="884"/>
      <c r="DS12" s="884"/>
      <c r="DT12" s="884"/>
      <c r="DU12" s="884"/>
      <c r="DV12" s="884"/>
      <c r="DW12" s="884"/>
      <c r="DX12" s="884"/>
      <c r="DY12" s="884"/>
      <c r="DZ12" s="884"/>
      <c r="EA12" s="884"/>
      <c r="EB12" s="884"/>
      <c r="EC12" s="884"/>
      <c r="ED12" s="884"/>
      <c r="EE12" s="884"/>
      <c r="EF12" s="884"/>
      <c r="EG12" s="884"/>
      <c r="EH12" s="884"/>
      <c r="EI12" s="884"/>
      <c r="EJ12" s="884"/>
      <c r="EK12" s="884"/>
      <c r="EL12" s="884"/>
      <c r="EM12" s="884"/>
      <c r="EN12" s="884"/>
      <c r="EO12" s="884"/>
      <c r="EP12" s="884"/>
      <c r="EQ12" s="884"/>
      <c r="ER12" s="884"/>
      <c r="ES12" s="884"/>
      <c r="ET12" s="884"/>
      <c r="EU12" s="884"/>
      <c r="EV12" s="884"/>
      <c r="EW12" s="884"/>
      <c r="EX12" s="884"/>
      <c r="EY12" s="884"/>
      <c r="EZ12" s="884"/>
      <c r="FA12" s="884"/>
      <c r="FB12" s="884"/>
      <c r="FC12" s="884"/>
      <c r="FD12" s="884"/>
      <c r="FE12" s="884"/>
      <c r="FF12" s="884"/>
      <c r="FG12" s="884"/>
      <c r="FH12" s="884"/>
      <c r="FI12" s="884"/>
      <c r="FJ12" s="884"/>
      <c r="FK12" s="884"/>
      <c r="FL12" s="884"/>
      <c r="FM12" s="884"/>
      <c r="FN12" s="884"/>
      <c r="FO12" s="884"/>
      <c r="FP12" s="884"/>
      <c r="FQ12" s="884"/>
      <c r="FR12" s="884"/>
      <c r="FS12" s="884"/>
      <c r="FT12" s="884"/>
      <c r="FU12" s="884"/>
      <c r="FV12" s="884"/>
      <c r="FW12" s="881"/>
      <c r="FX12" s="50"/>
      <c r="GC12" s="865" t="n">
        <v>12</v>
      </c>
    </row>
    <row r="13" customFormat="false" ht="37.5" hidden="false" customHeight="true" outlineLevel="0" collapsed="false">
      <c r="D13" s="869"/>
      <c r="E13" s="882"/>
      <c r="F13" s="297"/>
      <c r="G13" s="297"/>
      <c r="H13" s="297"/>
      <c r="I13" s="297"/>
      <c r="J13" s="883"/>
      <c r="K13" s="883"/>
      <c r="L13" s="883"/>
      <c r="M13" s="883"/>
      <c r="N13" s="883"/>
      <c r="O13" s="391" t="s">
        <v>1255</v>
      </c>
      <c r="P13" s="391"/>
      <c r="Q13" s="391"/>
      <c r="R13" s="391"/>
      <c r="S13" s="391" t="s">
        <v>1256</v>
      </c>
      <c r="T13" s="391"/>
      <c r="U13" s="134" t="s">
        <v>1257</v>
      </c>
      <c r="V13" s="134"/>
      <c r="W13" s="134"/>
      <c r="X13" s="134"/>
      <c r="Y13" s="134" t="s">
        <v>1258</v>
      </c>
      <c r="Z13" s="134"/>
      <c r="AA13" s="134"/>
      <c r="AB13" s="134"/>
      <c r="AC13" s="884"/>
      <c r="AD13" s="884"/>
      <c r="AE13" s="884"/>
      <c r="AF13" s="884"/>
      <c r="AG13" s="884"/>
      <c r="AH13" s="884"/>
      <c r="AI13" s="884"/>
      <c r="AJ13" s="884"/>
      <c r="AK13" s="884"/>
      <c r="AL13" s="884"/>
      <c r="AM13" s="884"/>
      <c r="AN13" s="884"/>
      <c r="AO13" s="884"/>
      <c r="AP13" s="884"/>
      <c r="AQ13" s="884"/>
      <c r="AR13" s="884"/>
      <c r="AS13" s="884"/>
      <c r="AT13" s="884"/>
      <c r="AU13" s="884"/>
      <c r="AV13" s="884"/>
      <c r="AW13" s="884"/>
      <c r="AX13" s="884"/>
      <c r="AY13" s="884"/>
      <c r="AZ13" s="884"/>
      <c r="BA13" s="884"/>
      <c r="BB13" s="884"/>
      <c r="BC13" s="884"/>
      <c r="BD13" s="884"/>
      <c r="BE13" s="884"/>
      <c r="BF13" s="884"/>
      <c r="BG13" s="884"/>
      <c r="BH13" s="884"/>
      <c r="BI13" s="884"/>
      <c r="BJ13" s="884"/>
      <c r="BK13" s="884"/>
      <c r="BL13" s="884"/>
      <c r="BM13" s="884"/>
      <c r="BN13" s="884"/>
      <c r="BO13" s="884"/>
      <c r="BP13" s="884"/>
      <c r="BQ13" s="884"/>
      <c r="BR13" s="884"/>
      <c r="BS13" s="885"/>
      <c r="BT13" s="391" t="s">
        <v>1259</v>
      </c>
      <c r="BU13" s="391"/>
      <c r="BV13" s="391" t="s">
        <v>1260</v>
      </c>
      <c r="BW13" s="391"/>
      <c r="BX13" s="391" t="s">
        <v>1261</v>
      </c>
      <c r="BY13" s="391"/>
      <c r="BZ13" s="391" t="s">
        <v>1262</v>
      </c>
      <c r="CA13" s="391"/>
      <c r="CB13" s="391" t="s">
        <v>1263</v>
      </c>
      <c r="CC13" s="391"/>
      <c r="CD13" s="391" t="s">
        <v>1264</v>
      </c>
      <c r="CE13" s="391"/>
      <c r="CF13" s="391" t="s">
        <v>1265</v>
      </c>
      <c r="CG13" s="391"/>
      <c r="CH13" s="391" t="s">
        <v>1266</v>
      </c>
      <c r="CI13" s="391"/>
      <c r="CJ13" s="391"/>
      <c r="CK13" s="391"/>
      <c r="CL13" s="886"/>
      <c r="CM13" s="884"/>
      <c r="CN13" s="884"/>
      <c r="CO13" s="884"/>
      <c r="CP13" s="884"/>
      <c r="CQ13" s="884"/>
      <c r="CR13" s="884"/>
      <c r="CS13" s="884"/>
      <c r="CT13" s="884"/>
      <c r="CU13" s="884"/>
      <c r="CV13" s="884"/>
      <c r="CW13" s="884"/>
      <c r="CX13" s="885"/>
      <c r="CY13" s="391" t="s">
        <v>1267</v>
      </c>
      <c r="CZ13" s="391"/>
      <c r="DA13" s="391" t="s">
        <v>1268</v>
      </c>
      <c r="DB13" s="391"/>
      <c r="DC13" s="391" t="s">
        <v>1269</v>
      </c>
      <c r="DD13" s="391"/>
      <c r="DE13" s="391" t="s">
        <v>1270</v>
      </c>
      <c r="DF13" s="391"/>
      <c r="DG13" s="391" t="s">
        <v>1271</v>
      </c>
      <c r="DH13" s="391"/>
      <c r="DI13" s="391"/>
      <c r="DJ13" s="391"/>
      <c r="DK13" s="886"/>
      <c r="DL13" s="884"/>
      <c r="DM13" s="884"/>
      <c r="DN13" s="884"/>
      <c r="DO13" s="884"/>
      <c r="DP13" s="884"/>
      <c r="DQ13" s="884"/>
      <c r="DR13" s="884"/>
      <c r="DS13" s="884"/>
      <c r="DT13" s="884"/>
      <c r="DU13" s="884"/>
      <c r="DV13" s="884"/>
      <c r="DW13" s="884"/>
      <c r="DX13" s="884"/>
      <c r="DY13" s="884"/>
      <c r="DZ13" s="884"/>
      <c r="EA13" s="884"/>
      <c r="EB13" s="884"/>
      <c r="EC13" s="884"/>
      <c r="ED13" s="884"/>
      <c r="EE13" s="884"/>
      <c r="EF13" s="884"/>
      <c r="EG13" s="884"/>
      <c r="EH13" s="884"/>
      <c r="EI13" s="884"/>
      <c r="EJ13" s="884"/>
      <c r="EK13" s="884"/>
      <c r="EL13" s="884"/>
      <c r="EM13" s="884"/>
      <c r="EN13" s="884"/>
      <c r="EO13" s="884"/>
      <c r="EP13" s="884"/>
      <c r="EQ13" s="884"/>
      <c r="ER13" s="884"/>
      <c r="ES13" s="884"/>
      <c r="ET13" s="884"/>
      <c r="EU13" s="884"/>
      <c r="EV13" s="884"/>
      <c r="EW13" s="884"/>
      <c r="EX13" s="884"/>
      <c r="EY13" s="884"/>
      <c r="EZ13" s="884"/>
      <c r="FA13" s="884"/>
      <c r="FB13" s="884"/>
      <c r="FC13" s="884"/>
      <c r="FD13" s="884"/>
      <c r="FE13" s="884"/>
      <c r="FF13" s="884"/>
      <c r="FG13" s="884"/>
      <c r="FH13" s="884"/>
      <c r="FI13" s="884"/>
      <c r="FJ13" s="884"/>
      <c r="FK13" s="884"/>
      <c r="FL13" s="884"/>
      <c r="FM13" s="884"/>
      <c r="FN13" s="884"/>
      <c r="FO13" s="884"/>
      <c r="FP13" s="884"/>
      <c r="FQ13" s="884"/>
      <c r="FR13" s="884"/>
      <c r="FS13" s="884"/>
      <c r="FT13" s="884"/>
      <c r="FU13" s="884"/>
      <c r="FV13" s="884"/>
      <c r="FW13" s="881"/>
      <c r="FX13" s="50"/>
      <c r="GC13" s="865" t="n">
        <v>36</v>
      </c>
    </row>
    <row r="14" customFormat="false" ht="37.5" hidden="false" customHeight="true" outlineLevel="0" collapsed="false">
      <c r="D14" s="869"/>
      <c r="E14" s="882"/>
      <c r="F14" s="297"/>
      <c r="G14" s="297"/>
      <c r="H14" s="297"/>
      <c r="I14" s="297"/>
      <c r="J14" s="883"/>
      <c r="K14" s="883"/>
      <c r="L14" s="883"/>
      <c r="M14" s="883"/>
      <c r="N14" s="883"/>
      <c r="O14" s="391" t="s">
        <v>1272</v>
      </c>
      <c r="P14" s="391"/>
      <c r="Q14" s="391" t="s">
        <v>1273</v>
      </c>
      <c r="R14" s="391"/>
      <c r="S14" s="391"/>
      <c r="T14" s="391"/>
      <c r="U14" s="391" t="s">
        <v>867</v>
      </c>
      <c r="V14" s="391"/>
      <c r="W14" s="391" t="s">
        <v>870</v>
      </c>
      <c r="X14" s="391"/>
      <c r="Y14" s="391" t="s">
        <v>867</v>
      </c>
      <c r="Z14" s="391"/>
      <c r="AA14" s="391" t="s">
        <v>877</v>
      </c>
      <c r="AB14" s="391"/>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4"/>
      <c r="AY14" s="884"/>
      <c r="AZ14" s="884"/>
      <c r="BA14" s="884"/>
      <c r="BB14" s="884"/>
      <c r="BC14" s="884"/>
      <c r="BD14" s="884"/>
      <c r="BE14" s="884"/>
      <c r="BF14" s="884"/>
      <c r="BG14" s="884"/>
      <c r="BH14" s="884"/>
      <c r="BI14" s="884"/>
      <c r="BJ14" s="884"/>
      <c r="BK14" s="884"/>
      <c r="BL14" s="884"/>
      <c r="BM14" s="884"/>
      <c r="BN14" s="884"/>
      <c r="BO14" s="884"/>
      <c r="BP14" s="884"/>
      <c r="BQ14" s="884"/>
      <c r="BR14" s="884"/>
      <c r="BS14" s="885"/>
      <c r="BT14" s="391"/>
      <c r="BU14" s="391"/>
      <c r="BV14" s="391"/>
      <c r="BW14" s="391"/>
      <c r="BX14" s="391"/>
      <c r="BY14" s="391"/>
      <c r="BZ14" s="391"/>
      <c r="CA14" s="391"/>
      <c r="CB14" s="391"/>
      <c r="CC14" s="391"/>
      <c r="CD14" s="391"/>
      <c r="CE14" s="391"/>
      <c r="CF14" s="391"/>
      <c r="CG14" s="391"/>
      <c r="CH14" s="391" t="s">
        <v>1274</v>
      </c>
      <c r="CI14" s="391"/>
      <c r="CJ14" s="391" t="s">
        <v>1275</v>
      </c>
      <c r="CK14" s="391"/>
      <c r="CL14" s="886"/>
      <c r="CM14" s="884"/>
      <c r="CN14" s="884"/>
      <c r="CO14" s="884"/>
      <c r="CP14" s="884"/>
      <c r="CQ14" s="884"/>
      <c r="CR14" s="884"/>
      <c r="CS14" s="884"/>
      <c r="CT14" s="884"/>
      <c r="CU14" s="884"/>
      <c r="CV14" s="884"/>
      <c r="CW14" s="884"/>
      <c r="CX14" s="885"/>
      <c r="CY14" s="391"/>
      <c r="CZ14" s="391"/>
      <c r="DA14" s="391"/>
      <c r="DB14" s="391"/>
      <c r="DC14" s="391"/>
      <c r="DD14" s="391"/>
      <c r="DE14" s="391"/>
      <c r="DF14" s="391"/>
      <c r="DG14" s="391" t="s">
        <v>1276</v>
      </c>
      <c r="DH14" s="391"/>
      <c r="DI14" s="391" t="s">
        <v>1277</v>
      </c>
      <c r="DJ14" s="391"/>
      <c r="DK14" s="886"/>
      <c r="DL14" s="884"/>
      <c r="DM14" s="884"/>
      <c r="DN14" s="884"/>
      <c r="DO14" s="884"/>
      <c r="DP14" s="884"/>
      <c r="DQ14" s="884"/>
      <c r="DR14" s="884"/>
      <c r="DS14" s="884"/>
      <c r="DT14" s="884"/>
      <c r="DU14" s="884"/>
      <c r="DV14" s="884"/>
      <c r="DW14" s="884"/>
      <c r="DX14" s="884"/>
      <c r="DY14" s="884"/>
      <c r="DZ14" s="884"/>
      <c r="EA14" s="884"/>
      <c r="EB14" s="884"/>
      <c r="EC14" s="884"/>
      <c r="ED14" s="884"/>
      <c r="EE14" s="884"/>
      <c r="EF14" s="884"/>
      <c r="EG14" s="884"/>
      <c r="EH14" s="884"/>
      <c r="EI14" s="884"/>
      <c r="EJ14" s="884"/>
      <c r="EK14" s="884"/>
      <c r="EL14" s="884"/>
      <c r="EM14" s="884"/>
      <c r="EN14" s="884"/>
      <c r="EO14" s="884"/>
      <c r="EP14" s="884"/>
      <c r="EQ14" s="884"/>
      <c r="ER14" s="884"/>
      <c r="ES14" s="884"/>
      <c r="ET14" s="884"/>
      <c r="EU14" s="884"/>
      <c r="EV14" s="884"/>
      <c r="EW14" s="884"/>
      <c r="EX14" s="884"/>
      <c r="EY14" s="884"/>
      <c r="EZ14" s="884"/>
      <c r="FA14" s="884"/>
      <c r="FB14" s="884"/>
      <c r="FC14" s="884"/>
      <c r="FD14" s="884"/>
      <c r="FE14" s="884"/>
      <c r="FF14" s="884"/>
      <c r="FG14" s="884"/>
      <c r="FH14" s="884"/>
      <c r="FI14" s="884"/>
      <c r="FJ14" s="884"/>
      <c r="FK14" s="884"/>
      <c r="FL14" s="884"/>
      <c r="FM14" s="884"/>
      <c r="FN14" s="884"/>
      <c r="FO14" s="884"/>
      <c r="FP14" s="884"/>
      <c r="FQ14" s="884"/>
      <c r="FR14" s="884"/>
      <c r="FS14" s="884"/>
      <c r="FT14" s="884"/>
      <c r="FU14" s="884"/>
      <c r="FV14" s="884"/>
      <c r="FW14" s="881"/>
      <c r="FX14" s="50"/>
      <c r="GC14" s="865" t="n">
        <v>36</v>
      </c>
    </row>
    <row r="15" customFormat="false" ht="37.5" hidden="false" customHeight="true" outlineLevel="0" collapsed="false">
      <c r="D15" s="869"/>
      <c r="E15" s="882"/>
      <c r="F15" s="297"/>
      <c r="G15" s="297"/>
      <c r="H15" s="297"/>
      <c r="I15" s="297"/>
      <c r="J15" s="883"/>
      <c r="K15" s="883"/>
      <c r="L15" s="883"/>
      <c r="M15" s="883"/>
      <c r="N15" s="883"/>
      <c r="O15" s="391"/>
      <c r="P15" s="391"/>
      <c r="Q15" s="391"/>
      <c r="R15" s="391"/>
      <c r="S15" s="391"/>
      <c r="T15" s="391"/>
      <c r="U15" s="391"/>
      <c r="V15" s="391"/>
      <c r="W15" s="391"/>
      <c r="X15" s="391"/>
      <c r="Y15" s="391"/>
      <c r="Z15" s="391"/>
      <c r="AA15" s="391"/>
      <c r="AB15" s="391"/>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4"/>
      <c r="AY15" s="884"/>
      <c r="AZ15" s="884"/>
      <c r="BA15" s="884"/>
      <c r="BB15" s="884"/>
      <c r="BC15" s="884"/>
      <c r="BD15" s="884"/>
      <c r="BE15" s="884"/>
      <c r="BF15" s="884"/>
      <c r="BG15" s="884"/>
      <c r="BH15" s="884"/>
      <c r="BI15" s="884"/>
      <c r="BJ15" s="884"/>
      <c r="BK15" s="884"/>
      <c r="BL15" s="884"/>
      <c r="BM15" s="884"/>
      <c r="BN15" s="884"/>
      <c r="BO15" s="884"/>
      <c r="BP15" s="884"/>
      <c r="BQ15" s="884"/>
      <c r="BR15" s="884"/>
      <c r="BS15" s="885"/>
      <c r="BT15" s="391"/>
      <c r="BU15" s="391"/>
      <c r="BV15" s="391"/>
      <c r="BW15" s="391"/>
      <c r="BX15" s="391"/>
      <c r="BY15" s="391"/>
      <c r="BZ15" s="391"/>
      <c r="CA15" s="391"/>
      <c r="CB15" s="391"/>
      <c r="CC15" s="391"/>
      <c r="CD15" s="391"/>
      <c r="CE15" s="391"/>
      <c r="CF15" s="391"/>
      <c r="CG15" s="391"/>
      <c r="CH15" s="391"/>
      <c r="CI15" s="391"/>
      <c r="CJ15" s="391"/>
      <c r="CK15" s="391"/>
      <c r="CL15" s="886"/>
      <c r="CM15" s="884"/>
      <c r="CN15" s="884"/>
      <c r="CO15" s="884"/>
      <c r="CP15" s="884"/>
      <c r="CQ15" s="884"/>
      <c r="CR15" s="884"/>
      <c r="CS15" s="884"/>
      <c r="CT15" s="884"/>
      <c r="CU15" s="884"/>
      <c r="CV15" s="884"/>
      <c r="CW15" s="884"/>
      <c r="CX15" s="885"/>
      <c r="CY15" s="391"/>
      <c r="CZ15" s="391"/>
      <c r="DA15" s="391"/>
      <c r="DB15" s="391"/>
      <c r="DC15" s="391"/>
      <c r="DD15" s="391"/>
      <c r="DE15" s="391"/>
      <c r="DF15" s="391"/>
      <c r="DG15" s="391"/>
      <c r="DH15" s="391"/>
      <c r="DI15" s="391"/>
      <c r="DJ15" s="391"/>
      <c r="DK15" s="886"/>
      <c r="DL15" s="884"/>
      <c r="DM15" s="884"/>
      <c r="DN15" s="884"/>
      <c r="DO15" s="884"/>
      <c r="DP15" s="884"/>
      <c r="DQ15" s="884"/>
      <c r="DR15" s="884"/>
      <c r="DS15" s="884"/>
      <c r="DT15" s="884"/>
      <c r="DU15" s="884"/>
      <c r="DV15" s="884"/>
      <c r="DW15" s="884"/>
      <c r="DX15" s="884"/>
      <c r="DY15" s="884"/>
      <c r="DZ15" s="884"/>
      <c r="EA15" s="884"/>
      <c r="EB15" s="884"/>
      <c r="EC15" s="884"/>
      <c r="ED15" s="884"/>
      <c r="EE15" s="884"/>
      <c r="EF15" s="884"/>
      <c r="EG15" s="884"/>
      <c r="EH15" s="884"/>
      <c r="EI15" s="884"/>
      <c r="EJ15" s="884"/>
      <c r="EK15" s="884"/>
      <c r="EL15" s="884"/>
      <c r="EM15" s="884"/>
      <c r="EN15" s="884"/>
      <c r="EO15" s="884"/>
      <c r="EP15" s="884"/>
      <c r="EQ15" s="884"/>
      <c r="ER15" s="884"/>
      <c r="ES15" s="884"/>
      <c r="ET15" s="884"/>
      <c r="EU15" s="884"/>
      <c r="EV15" s="884"/>
      <c r="EW15" s="884"/>
      <c r="EX15" s="884"/>
      <c r="EY15" s="884"/>
      <c r="EZ15" s="884"/>
      <c r="FA15" s="884"/>
      <c r="FB15" s="884"/>
      <c r="FC15" s="884"/>
      <c r="FD15" s="884"/>
      <c r="FE15" s="884"/>
      <c r="FF15" s="884"/>
      <c r="FG15" s="884"/>
      <c r="FH15" s="884"/>
      <c r="FI15" s="884"/>
      <c r="FJ15" s="884"/>
      <c r="FK15" s="884"/>
      <c r="FL15" s="884"/>
      <c r="FM15" s="884"/>
      <c r="FN15" s="884"/>
      <c r="FO15" s="884"/>
      <c r="FP15" s="884"/>
      <c r="FQ15" s="884"/>
      <c r="FR15" s="884"/>
      <c r="FS15" s="884"/>
      <c r="FT15" s="884"/>
      <c r="FU15" s="884"/>
      <c r="FV15" s="884"/>
      <c r="FW15" s="881"/>
      <c r="FX15" s="50"/>
      <c r="GC15" s="865" t="n">
        <v>36</v>
      </c>
    </row>
    <row r="16" customFormat="false" ht="12.75" hidden="false" customHeight="true" outlineLevel="0" collapsed="false">
      <c r="D16" s="869"/>
      <c r="E16" s="882"/>
      <c r="F16" s="297"/>
      <c r="G16" s="297"/>
      <c r="H16" s="297"/>
      <c r="I16" s="297"/>
      <c r="J16" s="883"/>
      <c r="K16" s="883"/>
      <c r="L16" s="883"/>
      <c r="M16" s="883"/>
      <c r="N16" s="883"/>
      <c r="O16" s="391" t="s">
        <v>857</v>
      </c>
      <c r="P16" s="391"/>
      <c r="Q16" s="391" t="s">
        <v>859</v>
      </c>
      <c r="R16" s="391"/>
      <c r="S16" s="391" t="s">
        <v>863</v>
      </c>
      <c r="T16" s="391"/>
      <c r="U16" s="391" t="s">
        <v>868</v>
      </c>
      <c r="V16" s="391"/>
      <c r="W16" s="391" t="s">
        <v>871</v>
      </c>
      <c r="X16" s="391"/>
      <c r="Y16" s="391" t="s">
        <v>875</v>
      </c>
      <c r="Z16" s="391"/>
      <c r="AA16" s="391" t="s">
        <v>878</v>
      </c>
      <c r="AB16" s="391"/>
      <c r="AC16" s="884"/>
      <c r="AD16" s="884"/>
      <c r="AE16" s="884"/>
      <c r="AF16" s="884"/>
      <c r="AG16" s="884"/>
      <c r="AH16" s="884"/>
      <c r="AI16" s="884"/>
      <c r="AJ16" s="884"/>
      <c r="AK16" s="884"/>
      <c r="AL16" s="884"/>
      <c r="AM16" s="884"/>
      <c r="AN16" s="884"/>
      <c r="AO16" s="884"/>
      <c r="AP16" s="884"/>
      <c r="AQ16" s="884"/>
      <c r="AR16" s="884"/>
      <c r="AS16" s="884"/>
      <c r="AT16" s="884"/>
      <c r="AU16" s="884"/>
      <c r="AV16" s="884"/>
      <c r="AW16" s="884"/>
      <c r="AX16" s="884"/>
      <c r="AY16" s="884"/>
      <c r="AZ16" s="884"/>
      <c r="BA16" s="884"/>
      <c r="BB16" s="884"/>
      <c r="BC16" s="884"/>
      <c r="BD16" s="884"/>
      <c r="BE16" s="884"/>
      <c r="BF16" s="884"/>
      <c r="BG16" s="884"/>
      <c r="BH16" s="884"/>
      <c r="BI16" s="884"/>
      <c r="BJ16" s="884"/>
      <c r="BK16" s="884"/>
      <c r="BL16" s="884"/>
      <c r="BM16" s="884"/>
      <c r="BN16" s="884"/>
      <c r="BO16" s="884"/>
      <c r="BP16" s="884"/>
      <c r="BQ16" s="884"/>
      <c r="BR16" s="884"/>
      <c r="BS16" s="885"/>
      <c r="BT16" s="391" t="s">
        <v>571</v>
      </c>
      <c r="BU16" s="391"/>
      <c r="BV16" s="391" t="s">
        <v>571</v>
      </c>
      <c r="BW16" s="391"/>
      <c r="BX16" s="391" t="s">
        <v>571</v>
      </c>
      <c r="BY16" s="391"/>
      <c r="BZ16" s="391" t="s">
        <v>571</v>
      </c>
      <c r="CA16" s="391"/>
      <c r="CB16" s="391" t="s">
        <v>1278</v>
      </c>
      <c r="CC16" s="391"/>
      <c r="CD16" s="391" t="s">
        <v>571</v>
      </c>
      <c r="CE16" s="391"/>
      <c r="CF16" s="391" t="s">
        <v>1279</v>
      </c>
      <c r="CG16" s="391"/>
      <c r="CH16" s="391" t="s">
        <v>1280</v>
      </c>
      <c r="CI16" s="391"/>
      <c r="CJ16" s="391" t="s">
        <v>1280</v>
      </c>
      <c r="CK16" s="391"/>
      <c r="CL16" s="886"/>
      <c r="CM16" s="884"/>
      <c r="CN16" s="884"/>
      <c r="CO16" s="884"/>
      <c r="CP16" s="884"/>
      <c r="CQ16" s="884"/>
      <c r="CR16" s="884"/>
      <c r="CS16" s="884"/>
      <c r="CT16" s="884"/>
      <c r="CU16" s="884"/>
      <c r="CV16" s="884"/>
      <c r="CW16" s="884"/>
      <c r="CX16" s="885"/>
      <c r="CY16" s="783" t="s">
        <v>571</v>
      </c>
      <c r="CZ16" s="783"/>
      <c r="DA16" s="783" t="s">
        <v>571</v>
      </c>
      <c r="DB16" s="783"/>
      <c r="DC16" s="783" t="s">
        <v>571</v>
      </c>
      <c r="DD16" s="783"/>
      <c r="DE16" s="391" t="s">
        <v>1278</v>
      </c>
      <c r="DF16" s="391"/>
      <c r="DG16" s="391" t="s">
        <v>1281</v>
      </c>
      <c r="DH16" s="391"/>
      <c r="DI16" s="391" t="s">
        <v>1281</v>
      </c>
      <c r="DJ16" s="391"/>
      <c r="DK16" s="886"/>
      <c r="DL16" s="884"/>
      <c r="DM16" s="884"/>
      <c r="DN16" s="884"/>
      <c r="DO16" s="884"/>
      <c r="DP16" s="884"/>
      <c r="DQ16" s="884"/>
      <c r="DR16" s="884"/>
      <c r="DS16" s="884"/>
      <c r="DT16" s="884"/>
      <c r="DU16" s="884"/>
      <c r="DV16" s="884"/>
      <c r="DW16" s="884"/>
      <c r="DX16" s="884"/>
      <c r="DY16" s="884"/>
      <c r="DZ16" s="884"/>
      <c r="EA16" s="884"/>
      <c r="EB16" s="884"/>
      <c r="EC16" s="884"/>
      <c r="ED16" s="884"/>
      <c r="EE16" s="884"/>
      <c r="EF16" s="884"/>
      <c r="EG16" s="884"/>
      <c r="EH16" s="884"/>
      <c r="EI16" s="884"/>
      <c r="EJ16" s="884"/>
      <c r="EK16" s="884"/>
      <c r="EL16" s="884"/>
      <c r="EM16" s="884"/>
      <c r="EN16" s="884"/>
      <c r="EO16" s="884"/>
      <c r="EP16" s="884"/>
      <c r="EQ16" s="884"/>
      <c r="ER16" s="884"/>
      <c r="ES16" s="884"/>
      <c r="ET16" s="884"/>
      <c r="EU16" s="884"/>
      <c r="EV16" s="884"/>
      <c r="EW16" s="884"/>
      <c r="EX16" s="884"/>
      <c r="EY16" s="884"/>
      <c r="EZ16" s="884"/>
      <c r="FA16" s="884"/>
      <c r="FB16" s="884"/>
      <c r="FC16" s="884"/>
      <c r="FD16" s="884"/>
      <c r="FE16" s="884"/>
      <c r="FF16" s="884"/>
      <c r="FG16" s="884"/>
      <c r="FH16" s="884"/>
      <c r="FI16" s="884"/>
      <c r="FJ16" s="884"/>
      <c r="FK16" s="884"/>
      <c r="FL16" s="884"/>
      <c r="FM16" s="884"/>
      <c r="FN16" s="884"/>
      <c r="FO16" s="884"/>
      <c r="FP16" s="884"/>
      <c r="FQ16" s="884"/>
      <c r="FR16" s="884"/>
      <c r="FS16" s="884"/>
      <c r="FT16" s="884"/>
      <c r="FU16" s="884"/>
      <c r="FV16" s="884"/>
      <c r="FW16" s="881"/>
      <c r="FX16" s="50"/>
      <c r="GC16" s="865" t="n">
        <v>12</v>
      </c>
    </row>
    <row r="17" customFormat="false" ht="15.75" hidden="false" customHeight="true" outlineLevel="0" collapsed="false">
      <c r="E17" s="882"/>
      <c r="F17" s="297"/>
      <c r="G17" s="297"/>
      <c r="H17" s="297"/>
      <c r="I17" s="297"/>
      <c r="J17" s="883"/>
      <c r="K17" s="883"/>
      <c r="L17" s="883"/>
      <c r="M17" s="883"/>
      <c r="N17" s="883"/>
      <c r="O17" s="391" t="s">
        <v>1282</v>
      </c>
      <c r="P17" s="391" t="s">
        <v>1283</v>
      </c>
      <c r="Q17" s="391" t="s">
        <v>1282</v>
      </c>
      <c r="R17" s="391" t="s">
        <v>1283</v>
      </c>
      <c r="S17" s="391" t="s">
        <v>1282</v>
      </c>
      <c r="T17" s="391" t="s">
        <v>1283</v>
      </c>
      <c r="U17" s="391" t="s">
        <v>1282</v>
      </c>
      <c r="V17" s="391" t="s">
        <v>1283</v>
      </c>
      <c r="W17" s="391" t="s">
        <v>1282</v>
      </c>
      <c r="X17" s="391" t="s">
        <v>1283</v>
      </c>
      <c r="Y17" s="391" t="s">
        <v>1282</v>
      </c>
      <c r="Z17" s="391" t="s">
        <v>1283</v>
      </c>
      <c r="AA17" s="391" t="s">
        <v>1282</v>
      </c>
      <c r="AB17" s="391" t="s">
        <v>1283</v>
      </c>
      <c r="AC17" s="884"/>
      <c r="AD17" s="884"/>
      <c r="AE17" s="884"/>
      <c r="AF17" s="884"/>
      <c r="AG17" s="884"/>
      <c r="AH17" s="884"/>
      <c r="AI17" s="884"/>
      <c r="AJ17" s="884"/>
      <c r="AK17" s="884"/>
      <c r="AL17" s="884"/>
      <c r="AM17" s="884"/>
      <c r="AN17" s="884"/>
      <c r="AO17" s="884"/>
      <c r="AP17" s="884"/>
      <c r="AQ17" s="884"/>
      <c r="AR17" s="884"/>
      <c r="AS17" s="884"/>
      <c r="AT17" s="884"/>
      <c r="AU17" s="884"/>
      <c r="AV17" s="884"/>
      <c r="AW17" s="884"/>
      <c r="AX17" s="884"/>
      <c r="AY17" s="884"/>
      <c r="AZ17" s="884"/>
      <c r="BA17" s="884"/>
      <c r="BB17" s="884"/>
      <c r="BC17" s="884"/>
      <c r="BD17" s="884"/>
      <c r="BE17" s="884"/>
      <c r="BF17" s="884"/>
      <c r="BG17" s="884"/>
      <c r="BH17" s="884"/>
      <c r="BI17" s="884"/>
      <c r="BJ17" s="884"/>
      <c r="BK17" s="884"/>
      <c r="BL17" s="884"/>
      <c r="BM17" s="884"/>
      <c r="BN17" s="884"/>
      <c r="BO17" s="884"/>
      <c r="BP17" s="884"/>
      <c r="BQ17" s="884"/>
      <c r="BR17" s="884"/>
      <c r="BS17" s="885"/>
      <c r="BT17" s="391" t="s">
        <v>1282</v>
      </c>
      <c r="BU17" s="391" t="s">
        <v>1283</v>
      </c>
      <c r="BV17" s="391" t="s">
        <v>1282</v>
      </c>
      <c r="BW17" s="391" t="s">
        <v>1283</v>
      </c>
      <c r="BX17" s="391" t="s">
        <v>1282</v>
      </c>
      <c r="BY17" s="391" t="s">
        <v>1283</v>
      </c>
      <c r="BZ17" s="391" t="s">
        <v>1282</v>
      </c>
      <c r="CA17" s="391" t="s">
        <v>1283</v>
      </c>
      <c r="CB17" s="391" t="s">
        <v>1282</v>
      </c>
      <c r="CC17" s="391" t="s">
        <v>1283</v>
      </c>
      <c r="CD17" s="391" t="s">
        <v>1282</v>
      </c>
      <c r="CE17" s="391" t="s">
        <v>1283</v>
      </c>
      <c r="CF17" s="391" t="s">
        <v>1282</v>
      </c>
      <c r="CG17" s="391" t="s">
        <v>1283</v>
      </c>
      <c r="CH17" s="391" t="s">
        <v>1282</v>
      </c>
      <c r="CI17" s="391" t="s">
        <v>1283</v>
      </c>
      <c r="CJ17" s="391" t="s">
        <v>1282</v>
      </c>
      <c r="CK17" s="391" t="s">
        <v>1283</v>
      </c>
      <c r="CL17" s="886"/>
      <c r="CM17" s="884"/>
      <c r="CN17" s="884"/>
      <c r="CO17" s="884"/>
      <c r="CP17" s="884"/>
      <c r="CQ17" s="884"/>
      <c r="CR17" s="884"/>
      <c r="CS17" s="884"/>
      <c r="CT17" s="884"/>
      <c r="CU17" s="884"/>
      <c r="CV17" s="884"/>
      <c r="CW17" s="884"/>
      <c r="CX17" s="885"/>
      <c r="CY17" s="391" t="s">
        <v>1282</v>
      </c>
      <c r="CZ17" s="391" t="s">
        <v>1283</v>
      </c>
      <c r="DA17" s="391" t="s">
        <v>1282</v>
      </c>
      <c r="DB17" s="391" t="s">
        <v>1283</v>
      </c>
      <c r="DC17" s="391" t="s">
        <v>1282</v>
      </c>
      <c r="DD17" s="391" t="s">
        <v>1283</v>
      </c>
      <c r="DE17" s="391" t="s">
        <v>1282</v>
      </c>
      <c r="DF17" s="391" t="s">
        <v>1283</v>
      </c>
      <c r="DG17" s="391" t="s">
        <v>1282</v>
      </c>
      <c r="DH17" s="391" t="s">
        <v>1283</v>
      </c>
      <c r="DI17" s="391" t="s">
        <v>1282</v>
      </c>
      <c r="DJ17" s="391" t="s">
        <v>1283</v>
      </c>
      <c r="DK17" s="886"/>
      <c r="DL17" s="884"/>
      <c r="DM17" s="884"/>
      <c r="DN17" s="884"/>
      <c r="DO17" s="884"/>
      <c r="DP17" s="884"/>
      <c r="DQ17" s="884"/>
      <c r="DR17" s="884"/>
      <c r="DS17" s="884"/>
      <c r="DT17" s="884"/>
      <c r="DU17" s="884"/>
      <c r="DV17" s="884"/>
      <c r="DW17" s="884"/>
      <c r="DX17" s="884"/>
      <c r="DY17" s="884"/>
      <c r="DZ17" s="884"/>
      <c r="EA17" s="884"/>
      <c r="EB17" s="884"/>
      <c r="EC17" s="884"/>
      <c r="ED17" s="884"/>
      <c r="EE17" s="884"/>
      <c r="EF17" s="884"/>
      <c r="EG17" s="884"/>
      <c r="EH17" s="884"/>
      <c r="EI17" s="884"/>
      <c r="EJ17" s="884"/>
      <c r="EK17" s="884"/>
      <c r="EL17" s="884"/>
      <c r="EM17" s="884"/>
      <c r="EN17" s="884"/>
      <c r="EO17" s="884"/>
      <c r="EP17" s="884"/>
      <c r="EQ17" s="884"/>
      <c r="ER17" s="884"/>
      <c r="ES17" s="884"/>
      <c r="ET17" s="884"/>
      <c r="EU17" s="884"/>
      <c r="EV17" s="884"/>
      <c r="EW17" s="884"/>
      <c r="EX17" s="884"/>
      <c r="EY17" s="884"/>
      <c r="EZ17" s="884"/>
      <c r="FA17" s="884"/>
      <c r="FB17" s="884"/>
      <c r="FC17" s="884"/>
      <c r="FD17" s="884"/>
      <c r="FE17" s="884"/>
      <c r="FF17" s="884"/>
      <c r="FG17" s="884"/>
      <c r="FH17" s="884"/>
      <c r="FI17" s="884"/>
      <c r="FJ17" s="884"/>
      <c r="FK17" s="884"/>
      <c r="FL17" s="884"/>
      <c r="FM17" s="884"/>
      <c r="FN17" s="884"/>
      <c r="FO17" s="884"/>
      <c r="FP17" s="884"/>
      <c r="FQ17" s="884"/>
      <c r="FR17" s="884"/>
      <c r="FS17" s="884"/>
      <c r="FT17" s="884"/>
      <c r="FU17" s="884"/>
      <c r="FV17" s="884"/>
      <c r="FW17" s="881"/>
      <c r="FX17" s="50"/>
      <c r="GC17" s="865" t="n">
        <v>15</v>
      </c>
    </row>
    <row r="18" s="867" customFormat="true" ht="12" hidden="true" customHeight="true" outlineLevel="0" collapsed="false">
      <c r="B18" s="868"/>
      <c r="E18" s="887"/>
      <c r="F18" s="888"/>
      <c r="G18" s="888"/>
      <c r="H18" s="888"/>
      <c r="I18" s="888"/>
      <c r="J18" s="889"/>
      <c r="K18" s="889"/>
      <c r="L18" s="889"/>
      <c r="M18" s="889"/>
      <c r="N18" s="889"/>
      <c r="O18" s="888"/>
      <c r="P18" s="888"/>
      <c r="Q18" s="888"/>
      <c r="R18" s="888"/>
      <c r="S18" s="888"/>
      <c r="T18" s="888"/>
      <c r="U18" s="890"/>
      <c r="V18" s="890"/>
      <c r="W18" s="890"/>
      <c r="X18" s="890"/>
      <c r="Y18" s="890"/>
      <c r="Z18" s="890"/>
      <c r="AA18" s="890"/>
      <c r="AB18" s="888"/>
      <c r="AC18" s="889"/>
      <c r="AD18" s="889"/>
      <c r="AE18" s="889"/>
      <c r="AF18" s="889"/>
      <c r="AG18" s="889"/>
      <c r="AH18" s="889"/>
      <c r="AI18" s="889"/>
      <c r="AJ18" s="889"/>
      <c r="AK18" s="889"/>
      <c r="AL18" s="889"/>
      <c r="AM18" s="889"/>
      <c r="AN18" s="889"/>
      <c r="AO18" s="889"/>
      <c r="AP18" s="889"/>
      <c r="AQ18" s="889"/>
      <c r="AR18" s="889"/>
      <c r="AS18" s="889"/>
      <c r="AT18" s="889"/>
      <c r="AU18" s="889"/>
      <c r="AV18" s="889"/>
      <c r="AW18" s="889"/>
      <c r="AX18" s="889"/>
      <c r="AY18" s="889"/>
      <c r="AZ18" s="889"/>
      <c r="BA18" s="889"/>
      <c r="BB18" s="889"/>
      <c r="BC18" s="889"/>
      <c r="BD18" s="889"/>
      <c r="BE18" s="889"/>
      <c r="BF18" s="889"/>
      <c r="BG18" s="889"/>
      <c r="BH18" s="889"/>
      <c r="BI18" s="889"/>
      <c r="BJ18" s="889"/>
      <c r="BK18" s="889"/>
      <c r="BL18" s="889"/>
      <c r="BM18" s="889"/>
      <c r="BN18" s="889"/>
      <c r="BO18" s="889"/>
      <c r="BP18" s="889"/>
      <c r="BQ18" s="889"/>
      <c r="BR18" s="889"/>
      <c r="BS18" s="889"/>
      <c r="BT18" s="891"/>
      <c r="BU18" s="891"/>
      <c r="BV18" s="891"/>
      <c r="BW18" s="891"/>
      <c r="BX18" s="891"/>
      <c r="BY18" s="891"/>
      <c r="BZ18" s="891"/>
      <c r="CA18" s="891"/>
      <c r="CB18" s="891"/>
      <c r="CC18" s="891"/>
      <c r="CD18" s="891"/>
      <c r="CE18" s="891"/>
      <c r="CF18" s="891"/>
      <c r="CG18" s="891"/>
      <c r="CH18" s="891"/>
      <c r="CI18" s="891"/>
      <c r="CJ18" s="891"/>
      <c r="CK18" s="891"/>
      <c r="CL18" s="889"/>
      <c r="CM18" s="889"/>
      <c r="CN18" s="889"/>
      <c r="CO18" s="889"/>
      <c r="CP18" s="889"/>
      <c r="CQ18" s="889"/>
      <c r="CR18" s="889"/>
      <c r="CS18" s="889"/>
      <c r="CT18" s="889"/>
      <c r="CU18" s="889"/>
      <c r="CV18" s="889"/>
      <c r="CW18" s="889"/>
      <c r="CX18" s="889"/>
      <c r="CY18" s="891"/>
      <c r="CZ18" s="891"/>
      <c r="DA18" s="891"/>
      <c r="DB18" s="891"/>
      <c r="DC18" s="891"/>
      <c r="DD18" s="891"/>
      <c r="DE18" s="891"/>
      <c r="DF18" s="891"/>
      <c r="DG18" s="891"/>
      <c r="DH18" s="891"/>
      <c r="DI18" s="891"/>
      <c r="DJ18" s="891"/>
      <c r="DK18" s="889"/>
      <c r="DL18" s="889"/>
      <c r="DM18" s="889"/>
      <c r="DN18" s="889"/>
      <c r="DO18" s="889"/>
      <c r="DP18" s="889"/>
      <c r="DQ18" s="889"/>
      <c r="DR18" s="889"/>
      <c r="DS18" s="889"/>
      <c r="DT18" s="889"/>
      <c r="DU18" s="889"/>
      <c r="DV18" s="889"/>
      <c r="DW18" s="889"/>
      <c r="DX18" s="889"/>
      <c r="DY18" s="889"/>
      <c r="DZ18" s="889"/>
      <c r="EA18" s="889"/>
      <c r="EB18" s="889"/>
      <c r="EC18" s="889"/>
      <c r="ED18" s="889"/>
      <c r="EE18" s="889"/>
      <c r="EF18" s="889"/>
      <c r="EG18" s="889"/>
      <c r="EH18" s="889"/>
      <c r="EI18" s="889"/>
      <c r="EJ18" s="889"/>
      <c r="EK18" s="889"/>
      <c r="EL18" s="889"/>
      <c r="EM18" s="889"/>
      <c r="EN18" s="889"/>
      <c r="EO18" s="889"/>
      <c r="EP18" s="889"/>
      <c r="EQ18" s="889"/>
      <c r="ER18" s="889"/>
      <c r="ES18" s="889"/>
      <c r="ET18" s="889"/>
      <c r="EU18" s="889"/>
      <c r="EV18" s="889"/>
      <c r="EW18" s="889"/>
      <c r="EX18" s="889"/>
      <c r="EY18" s="889"/>
      <c r="EZ18" s="889"/>
      <c r="FA18" s="889"/>
      <c r="FB18" s="889"/>
      <c r="FC18" s="889"/>
      <c r="FD18" s="889"/>
      <c r="FE18" s="889"/>
      <c r="FF18" s="889"/>
      <c r="FG18" s="889"/>
      <c r="FH18" s="889"/>
      <c r="FI18" s="889"/>
      <c r="FJ18" s="889"/>
      <c r="FK18" s="889"/>
      <c r="FL18" s="889"/>
      <c r="FM18" s="889"/>
      <c r="FN18" s="889"/>
      <c r="FO18" s="889"/>
      <c r="FP18" s="889"/>
      <c r="FQ18" s="889"/>
      <c r="FR18" s="889"/>
      <c r="FS18" s="889"/>
      <c r="FT18" s="889"/>
      <c r="FU18" s="889"/>
      <c r="FV18" s="889"/>
      <c r="FW18" s="888"/>
      <c r="FX18" s="892"/>
      <c r="GC18" s="867" t="n">
        <v>0</v>
      </c>
    </row>
    <row r="19" s="867" customFormat="true" ht="11.25" hidden="true" customHeight="true" outlineLevel="0" collapsed="false">
      <c r="B19" s="868"/>
      <c r="E19" s="887"/>
      <c r="F19" s="888"/>
      <c r="G19" s="888"/>
      <c r="H19" s="888"/>
      <c r="I19" s="888"/>
      <c r="J19" s="888"/>
      <c r="K19" s="888"/>
      <c r="L19" s="888"/>
      <c r="M19" s="888"/>
      <c r="N19" s="888"/>
      <c r="O19" s="888"/>
      <c r="P19" s="888"/>
      <c r="Q19" s="888"/>
      <c r="R19" s="888"/>
      <c r="S19" s="888"/>
      <c r="T19" s="888"/>
      <c r="U19" s="890"/>
      <c r="V19" s="890"/>
      <c r="W19" s="890"/>
      <c r="X19" s="890"/>
      <c r="Y19" s="890"/>
      <c r="Z19" s="890"/>
      <c r="AA19" s="890"/>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92"/>
      <c r="GC19" s="867" t="n">
        <v>0</v>
      </c>
    </row>
    <row r="20" s="867" customFormat="true" ht="11.25" hidden="true" customHeight="true" outlineLevel="0" collapsed="false">
      <c r="B20" s="868"/>
      <c r="E20" s="887"/>
      <c r="F20" s="893" t="s">
        <v>389</v>
      </c>
      <c r="G20" s="267"/>
      <c r="H20" s="894"/>
      <c r="I20" s="894"/>
      <c r="J20" s="894"/>
      <c r="K20" s="894"/>
      <c r="L20" s="894"/>
      <c r="M20" s="894"/>
      <c r="N20" s="894"/>
      <c r="O20" s="267"/>
      <c r="P20" s="267"/>
      <c r="Q20" s="267"/>
      <c r="R20" s="267"/>
      <c r="S20" s="267"/>
      <c r="T20" s="267"/>
      <c r="U20" s="895"/>
      <c r="V20" s="895"/>
      <c r="W20" s="895"/>
      <c r="X20" s="895"/>
      <c r="Y20" s="895"/>
      <c r="Z20" s="895"/>
      <c r="AA20" s="895"/>
      <c r="AB20" s="267"/>
      <c r="AC20" s="894"/>
      <c r="AD20" s="894"/>
      <c r="AE20" s="894"/>
      <c r="AF20" s="894"/>
      <c r="AG20" s="894"/>
      <c r="AH20" s="894"/>
      <c r="AI20" s="894"/>
      <c r="AJ20" s="894"/>
      <c r="AK20" s="894"/>
      <c r="AL20" s="894"/>
      <c r="AM20" s="894"/>
      <c r="AN20" s="894"/>
      <c r="AO20" s="894"/>
      <c r="AP20" s="894"/>
      <c r="AQ20" s="894"/>
      <c r="AR20" s="894"/>
      <c r="AS20" s="894"/>
      <c r="AT20" s="894"/>
      <c r="AU20" s="894"/>
      <c r="AV20" s="894"/>
      <c r="AW20" s="894"/>
      <c r="AX20" s="894"/>
      <c r="AY20" s="894"/>
      <c r="AZ20" s="894"/>
      <c r="BA20" s="894"/>
      <c r="BB20" s="894"/>
      <c r="BC20" s="894"/>
      <c r="BD20" s="894"/>
      <c r="BE20" s="894"/>
      <c r="BF20" s="894"/>
      <c r="BG20" s="894"/>
      <c r="BH20" s="894"/>
      <c r="BI20" s="894"/>
      <c r="BJ20" s="894"/>
      <c r="BK20" s="894"/>
      <c r="BL20" s="894"/>
      <c r="BM20" s="894"/>
      <c r="BN20" s="894"/>
      <c r="BO20" s="894"/>
      <c r="BP20" s="894"/>
      <c r="BQ20" s="894"/>
      <c r="BR20" s="894"/>
      <c r="BS20" s="894"/>
      <c r="BT20" s="894"/>
      <c r="BU20" s="894"/>
      <c r="BV20" s="894"/>
      <c r="BW20" s="894"/>
      <c r="BX20" s="894"/>
      <c r="BY20" s="894"/>
      <c r="BZ20" s="894"/>
      <c r="CA20" s="894"/>
      <c r="CB20" s="894"/>
      <c r="CC20" s="894"/>
      <c r="CD20" s="894"/>
      <c r="CE20" s="894"/>
      <c r="CF20" s="894"/>
      <c r="CG20" s="894"/>
      <c r="CH20" s="894"/>
      <c r="CI20" s="894"/>
      <c r="CJ20" s="894"/>
      <c r="CK20" s="894"/>
      <c r="CL20" s="896"/>
      <c r="CM20" s="896"/>
      <c r="CN20" s="896"/>
      <c r="CO20" s="896"/>
      <c r="CP20" s="896"/>
      <c r="CQ20" s="896"/>
      <c r="CR20" s="896"/>
      <c r="CS20" s="896"/>
      <c r="CT20" s="896"/>
      <c r="CU20" s="896"/>
      <c r="CV20" s="896"/>
      <c r="CW20" s="896"/>
      <c r="CX20" s="896"/>
      <c r="CY20" s="896"/>
      <c r="CZ20" s="896"/>
      <c r="DA20" s="896"/>
      <c r="DB20" s="896"/>
      <c r="DC20" s="896"/>
      <c r="DD20" s="896"/>
      <c r="DE20" s="896"/>
      <c r="DF20" s="896"/>
      <c r="DG20" s="896"/>
      <c r="DH20" s="896"/>
      <c r="DI20" s="896"/>
      <c r="DJ20" s="896"/>
      <c r="DK20" s="896"/>
      <c r="DL20" s="896"/>
      <c r="DM20" s="896"/>
      <c r="DN20" s="896"/>
      <c r="DO20" s="896"/>
      <c r="DP20" s="896"/>
      <c r="DQ20" s="896"/>
      <c r="DR20" s="896"/>
      <c r="DS20" s="896"/>
      <c r="DT20" s="896"/>
      <c r="DU20" s="896"/>
      <c r="DV20" s="896"/>
      <c r="DW20" s="896"/>
      <c r="DX20" s="896"/>
      <c r="DY20" s="896"/>
      <c r="DZ20" s="896"/>
      <c r="EA20" s="896"/>
      <c r="EB20" s="896"/>
      <c r="EC20" s="896"/>
      <c r="ED20" s="896"/>
      <c r="EE20" s="896"/>
      <c r="EF20" s="896"/>
      <c r="EG20" s="896"/>
      <c r="EH20" s="896"/>
      <c r="EI20" s="896"/>
      <c r="EJ20" s="896"/>
      <c r="EK20" s="896"/>
      <c r="EL20" s="896"/>
      <c r="EM20" s="896"/>
      <c r="EN20" s="896"/>
      <c r="EO20" s="896"/>
      <c r="EP20" s="896"/>
      <c r="EQ20" s="896"/>
      <c r="ER20" s="896"/>
      <c r="ES20" s="896"/>
      <c r="ET20" s="896"/>
      <c r="EU20" s="896"/>
      <c r="EV20" s="896"/>
      <c r="EW20" s="896"/>
      <c r="EX20" s="896"/>
      <c r="EY20" s="896"/>
      <c r="EZ20" s="896"/>
      <c r="FA20" s="896"/>
      <c r="FB20" s="896"/>
      <c r="FC20" s="896"/>
      <c r="FD20" s="896"/>
      <c r="FE20" s="896"/>
      <c r="FF20" s="896"/>
      <c r="FG20" s="896"/>
      <c r="FH20" s="896"/>
      <c r="FI20" s="896"/>
      <c r="FJ20" s="896"/>
      <c r="FK20" s="896"/>
      <c r="FL20" s="896"/>
      <c r="FM20" s="896"/>
      <c r="FN20" s="896"/>
      <c r="FO20" s="896"/>
      <c r="FP20" s="896"/>
      <c r="FQ20" s="896"/>
      <c r="FR20" s="896"/>
      <c r="FS20" s="896"/>
      <c r="FT20" s="896"/>
      <c r="FU20" s="896"/>
      <c r="FV20" s="896"/>
      <c r="FW20" s="896"/>
      <c r="FX20" s="892"/>
      <c r="GC20" s="867" t="n">
        <v>0</v>
      </c>
    </row>
    <row r="21" s="867" customFormat="true" ht="21" hidden="false" customHeight="true" outlineLevel="0" collapsed="false">
      <c r="A21" s="456" t="s">
        <v>1026</v>
      </c>
      <c r="B21" s="868"/>
      <c r="E21" s="887"/>
      <c r="F21" s="897" t="str">
        <f aca="false">INDEX(IP_MAIN_LIST_NAME_IP,MATCH(A21,IP_MAIN_LIST_IP_ID,0))&amp;" ("&amp;INDEX(IP_MAIN_START_DATE,MATCH(A21,IP_MAIN_LIST_IP_ID,0))&amp;"-"&amp;INDEX(IP_MAIN_END_DATE,MATCH(A21,IP_MAIN_LIST_IP_ID,0))&amp;")"</f>
        <v>Инвестиционная программа от 30.10.2018 ООО "Газпром теплоэнерго Ярославль" в сфере теплоснабжения по развитию, повышению надежности и энергетической эффективности объектов на 2019-2023 годы (01.01.2019-31.12.2023)</v>
      </c>
      <c r="G21" s="898"/>
      <c r="H21" s="899"/>
      <c r="I21" s="899"/>
      <c r="J21" s="899"/>
      <c r="K21" s="899"/>
      <c r="L21" s="899"/>
      <c r="M21" s="899"/>
      <c r="N21" s="899"/>
      <c r="O21" s="898"/>
      <c r="P21" s="898"/>
      <c r="Q21" s="898"/>
      <c r="R21" s="898"/>
      <c r="S21" s="898"/>
      <c r="T21" s="898"/>
      <c r="U21" s="900"/>
      <c r="V21" s="900"/>
      <c r="W21" s="900"/>
      <c r="X21" s="900"/>
      <c r="Y21" s="900"/>
      <c r="Z21" s="900"/>
      <c r="AA21" s="900"/>
      <c r="AB21" s="898"/>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899"/>
      <c r="AY21" s="899"/>
      <c r="AZ21" s="899"/>
      <c r="BA21" s="899"/>
      <c r="BB21" s="899"/>
      <c r="BC21" s="899"/>
      <c r="BD21" s="899"/>
      <c r="BE21" s="899"/>
      <c r="BF21" s="899"/>
      <c r="BG21" s="899"/>
      <c r="BH21" s="899"/>
      <c r="BI21" s="899"/>
      <c r="BJ21" s="899"/>
      <c r="BK21" s="899"/>
      <c r="BL21" s="899"/>
      <c r="BM21" s="899"/>
      <c r="BN21" s="899"/>
      <c r="BO21" s="899"/>
      <c r="BP21" s="899"/>
      <c r="BQ21" s="899"/>
      <c r="BR21" s="899"/>
      <c r="BS21" s="899"/>
      <c r="BT21" s="899"/>
      <c r="BU21" s="899"/>
      <c r="BV21" s="899"/>
      <c r="BW21" s="899"/>
      <c r="BX21" s="899"/>
      <c r="BY21" s="899"/>
      <c r="BZ21" s="899"/>
      <c r="CA21" s="899"/>
      <c r="CB21" s="899"/>
      <c r="CC21" s="899"/>
      <c r="CD21" s="899"/>
      <c r="CE21" s="899"/>
      <c r="CF21" s="899"/>
      <c r="CG21" s="899"/>
      <c r="CH21" s="899"/>
      <c r="CI21" s="899"/>
      <c r="CJ21" s="899"/>
      <c r="CK21" s="899"/>
      <c r="CL21" s="901"/>
      <c r="CM21" s="901"/>
      <c r="CN21" s="901"/>
      <c r="CO21" s="901"/>
      <c r="CP21" s="901"/>
      <c r="CQ21" s="901"/>
      <c r="CR21" s="901"/>
      <c r="CS21" s="901"/>
      <c r="CT21" s="901"/>
      <c r="CU21" s="901"/>
      <c r="CV21" s="901"/>
      <c r="CW21" s="901"/>
      <c r="CX21" s="901"/>
      <c r="CY21" s="901"/>
      <c r="CZ21" s="901"/>
      <c r="DA21" s="901"/>
      <c r="DB21" s="901"/>
      <c r="DC21" s="901"/>
      <c r="DD21" s="901"/>
      <c r="DE21" s="901"/>
      <c r="DF21" s="901"/>
      <c r="DG21" s="901"/>
      <c r="DH21" s="901"/>
      <c r="DI21" s="901"/>
      <c r="DJ21" s="901"/>
      <c r="DK21" s="901"/>
      <c r="DL21" s="901"/>
      <c r="DM21" s="901"/>
      <c r="DN21" s="901"/>
      <c r="DO21" s="901"/>
      <c r="DP21" s="901"/>
      <c r="DQ21" s="901"/>
      <c r="DR21" s="901"/>
      <c r="DS21" s="901"/>
      <c r="DT21" s="901"/>
      <c r="DU21" s="901"/>
      <c r="DV21" s="901"/>
      <c r="DW21" s="901"/>
      <c r="DX21" s="901"/>
      <c r="DY21" s="901"/>
      <c r="DZ21" s="901"/>
      <c r="EA21" s="901"/>
      <c r="EB21" s="901"/>
      <c r="EC21" s="901"/>
      <c r="ED21" s="901"/>
      <c r="EE21" s="901"/>
      <c r="EF21" s="901"/>
      <c r="EG21" s="901"/>
      <c r="EH21" s="901"/>
      <c r="EI21" s="901"/>
      <c r="EJ21" s="901"/>
      <c r="EK21" s="901"/>
      <c r="EL21" s="901"/>
      <c r="EM21" s="901"/>
      <c r="EN21" s="901"/>
      <c r="EO21" s="901"/>
      <c r="EP21" s="901"/>
      <c r="EQ21" s="901"/>
      <c r="ER21" s="901"/>
      <c r="ES21" s="901"/>
      <c r="ET21" s="901"/>
      <c r="EU21" s="901"/>
      <c r="EV21" s="901"/>
      <c r="EW21" s="901"/>
      <c r="EX21" s="901"/>
      <c r="EY21" s="901"/>
      <c r="EZ21" s="901"/>
      <c r="FA21" s="901"/>
      <c r="FB21" s="901"/>
      <c r="FC21" s="901"/>
      <c r="FD21" s="901"/>
      <c r="FE21" s="901"/>
      <c r="FF21" s="901"/>
      <c r="FG21" s="901"/>
      <c r="FH21" s="901"/>
      <c r="FI21" s="901"/>
      <c r="FJ21" s="901"/>
      <c r="FK21" s="901"/>
      <c r="FL21" s="901"/>
      <c r="FM21" s="901"/>
      <c r="FN21" s="901"/>
      <c r="FO21" s="901"/>
      <c r="FP21" s="901"/>
      <c r="FQ21" s="901"/>
      <c r="FR21" s="901"/>
      <c r="FS21" s="901"/>
      <c r="FT21" s="901"/>
      <c r="FU21" s="901"/>
      <c r="FV21" s="902"/>
      <c r="FW21" s="896"/>
      <c r="FX21" s="892"/>
    </row>
    <row r="22" s="867" customFormat="true" ht="24.75" hidden="false" customHeight="true" outlineLevel="0" collapsed="false">
      <c r="A22" s="867" t="s">
        <v>1026</v>
      </c>
      <c r="B22" s="868"/>
      <c r="E22" s="53"/>
      <c r="F22" s="725" t="n">
        <v>1</v>
      </c>
      <c r="G22" s="104" t="s">
        <v>1017</v>
      </c>
      <c r="H22" s="98" t="s">
        <v>1284</v>
      </c>
      <c r="I22" s="903"/>
      <c r="J22" s="904"/>
      <c r="K22" s="904"/>
      <c r="L22" s="904"/>
      <c r="M22" s="904"/>
      <c r="N22" s="904"/>
      <c r="O22" s="905" t="n">
        <v>0</v>
      </c>
      <c r="P22" s="905" t="n">
        <v>0</v>
      </c>
      <c r="Q22" s="905" t="n">
        <v>0</v>
      </c>
      <c r="R22" s="905" t="n">
        <v>0</v>
      </c>
      <c r="S22" s="905"/>
      <c r="T22" s="905"/>
      <c r="U22" s="905"/>
      <c r="V22" s="905"/>
      <c r="W22" s="905"/>
      <c r="X22" s="905"/>
      <c r="Y22" s="905"/>
      <c r="Z22" s="905"/>
      <c r="AA22" s="905"/>
      <c r="AB22" s="905"/>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4"/>
      <c r="AY22" s="904"/>
      <c r="AZ22" s="904"/>
      <c r="BA22" s="904"/>
      <c r="BB22" s="904"/>
      <c r="BC22" s="904"/>
      <c r="BD22" s="904"/>
      <c r="BE22" s="904"/>
      <c r="BF22" s="904"/>
      <c r="BG22" s="904"/>
      <c r="BH22" s="904"/>
      <c r="BI22" s="904"/>
      <c r="BJ22" s="904"/>
      <c r="BK22" s="904"/>
      <c r="BL22" s="904"/>
      <c r="BM22" s="904"/>
      <c r="BN22" s="904"/>
      <c r="BO22" s="904"/>
      <c r="BP22" s="904"/>
      <c r="BQ22" s="904"/>
      <c r="BR22" s="904"/>
      <c r="BS22" s="904"/>
      <c r="BT22" s="905"/>
      <c r="BU22" s="905"/>
      <c r="BV22" s="905"/>
      <c r="BW22" s="905"/>
      <c r="BX22" s="905"/>
      <c r="BY22" s="905"/>
      <c r="BZ22" s="905"/>
      <c r="CA22" s="905"/>
      <c r="CB22" s="905"/>
      <c r="CC22" s="905"/>
      <c r="CD22" s="905"/>
      <c r="CE22" s="905"/>
      <c r="CF22" s="905"/>
      <c r="CG22" s="905"/>
      <c r="CH22" s="905"/>
      <c r="CI22" s="905"/>
      <c r="CJ22" s="905"/>
      <c r="CK22" s="905"/>
      <c r="CL22" s="904"/>
      <c r="CM22" s="904"/>
      <c r="CN22" s="904"/>
      <c r="CO22" s="904"/>
      <c r="CP22" s="904"/>
      <c r="CQ22" s="904"/>
      <c r="CR22" s="904"/>
      <c r="CS22" s="904"/>
      <c r="CT22" s="904"/>
      <c r="CU22" s="904"/>
      <c r="CV22" s="904"/>
      <c r="CW22" s="904"/>
      <c r="CX22" s="904"/>
      <c r="CY22" s="905"/>
      <c r="CZ22" s="905"/>
      <c r="DA22" s="905"/>
      <c r="DB22" s="905"/>
      <c r="DC22" s="905"/>
      <c r="DD22" s="905"/>
      <c r="DE22" s="905"/>
      <c r="DF22" s="905"/>
      <c r="DG22" s="905"/>
      <c r="DH22" s="905"/>
      <c r="DI22" s="905"/>
      <c r="DJ22" s="905"/>
      <c r="DK22" s="904"/>
      <c r="DL22" s="904"/>
      <c r="DM22" s="904"/>
      <c r="DN22" s="904"/>
      <c r="DO22" s="904"/>
      <c r="DP22" s="904"/>
      <c r="DQ22" s="904"/>
      <c r="DR22" s="904"/>
      <c r="DS22" s="904"/>
      <c r="DT22" s="904"/>
      <c r="DU22" s="904"/>
      <c r="DV22" s="904"/>
      <c r="DW22" s="904"/>
      <c r="DX22" s="904"/>
      <c r="DY22" s="904"/>
      <c r="DZ22" s="904"/>
      <c r="EA22" s="904"/>
      <c r="EB22" s="904"/>
      <c r="EC22" s="904"/>
      <c r="ED22" s="904"/>
      <c r="EE22" s="904"/>
      <c r="EF22" s="904"/>
      <c r="EG22" s="904"/>
      <c r="EH22" s="904"/>
      <c r="EI22" s="904"/>
      <c r="EJ22" s="904"/>
      <c r="EK22" s="904"/>
      <c r="EL22" s="904"/>
      <c r="EM22" s="904"/>
      <c r="EN22" s="904"/>
      <c r="EO22" s="904"/>
      <c r="EP22" s="904"/>
      <c r="EQ22" s="904"/>
      <c r="ER22" s="904"/>
      <c r="ES22" s="904"/>
      <c r="ET22" s="904"/>
      <c r="EU22" s="904"/>
      <c r="EV22" s="904"/>
      <c r="EW22" s="904"/>
      <c r="EX22" s="904"/>
      <c r="EY22" s="904"/>
      <c r="EZ22" s="904"/>
      <c r="FA22" s="904"/>
      <c r="FB22" s="904"/>
      <c r="FC22" s="904"/>
      <c r="FD22" s="904"/>
      <c r="FE22" s="904"/>
      <c r="FF22" s="904"/>
      <c r="FG22" s="904"/>
      <c r="FH22" s="904"/>
      <c r="FI22" s="904"/>
      <c r="FJ22" s="904"/>
      <c r="FK22" s="904"/>
      <c r="FL22" s="904"/>
      <c r="FM22" s="904"/>
      <c r="FN22" s="904"/>
      <c r="FO22" s="904"/>
      <c r="FP22" s="904"/>
      <c r="FQ22" s="904"/>
      <c r="FR22" s="904"/>
      <c r="FS22" s="904"/>
      <c r="FT22" s="904"/>
      <c r="FU22" s="904"/>
      <c r="FV22" s="904"/>
      <c r="FW22" s="904"/>
      <c r="FX22" s="892"/>
    </row>
    <row r="23" s="867" customFormat="true" ht="12" hidden="false" customHeight="true" outlineLevel="0" collapsed="false">
      <c r="A23" s="867" t="s">
        <v>1026</v>
      </c>
      <c r="B23" s="868"/>
      <c r="F23" s="906"/>
      <c r="G23" s="850" t="s">
        <v>1285</v>
      </c>
      <c r="H23" s="850"/>
      <c r="I23" s="850"/>
      <c r="J23" s="850"/>
      <c r="K23" s="850"/>
      <c r="L23" s="850"/>
      <c r="M23" s="850"/>
      <c r="N23" s="850"/>
      <c r="O23" s="850"/>
      <c r="P23" s="850"/>
      <c r="Q23" s="850"/>
      <c r="R23" s="850"/>
      <c r="S23" s="850"/>
      <c r="T23" s="850"/>
      <c r="U23" s="850"/>
      <c r="V23" s="850"/>
      <c r="W23" s="850"/>
      <c r="X23" s="850"/>
      <c r="Y23" s="850"/>
      <c r="Z23" s="850"/>
      <c r="AA23" s="850"/>
      <c r="AB23" s="850"/>
      <c r="AC23" s="850"/>
      <c r="AD23" s="850"/>
      <c r="AE23" s="850"/>
      <c r="AF23" s="850"/>
      <c r="AG23" s="850"/>
      <c r="AH23" s="850"/>
      <c r="AI23" s="850"/>
      <c r="AJ23" s="850"/>
      <c r="AK23" s="850"/>
      <c r="AL23" s="850"/>
      <c r="AM23" s="850"/>
      <c r="AN23" s="850"/>
      <c r="AO23" s="850"/>
      <c r="AP23" s="850"/>
      <c r="AQ23" s="850"/>
      <c r="AR23" s="850"/>
      <c r="AS23" s="850"/>
      <c r="AT23" s="850"/>
      <c r="AU23" s="850"/>
      <c r="AV23" s="850"/>
      <c r="AW23" s="850"/>
      <c r="AX23" s="850"/>
      <c r="AY23" s="850"/>
      <c r="AZ23" s="850"/>
      <c r="BA23" s="850"/>
      <c r="BB23" s="850"/>
      <c r="BC23" s="850"/>
      <c r="BD23" s="850"/>
      <c r="BE23" s="850"/>
      <c r="BF23" s="850"/>
      <c r="BG23" s="850"/>
      <c r="BH23" s="850"/>
      <c r="BI23" s="850"/>
      <c r="BJ23" s="850"/>
      <c r="BK23" s="850"/>
      <c r="BL23" s="850"/>
      <c r="BM23" s="850"/>
      <c r="BN23" s="850"/>
      <c r="BO23" s="850"/>
      <c r="BP23" s="850"/>
      <c r="BQ23" s="850"/>
      <c r="BR23" s="850"/>
      <c r="BS23" s="850"/>
      <c r="BT23" s="850"/>
      <c r="BU23" s="850"/>
      <c r="BV23" s="850"/>
      <c r="BW23" s="850"/>
      <c r="BX23" s="850"/>
      <c r="BY23" s="850"/>
      <c r="BZ23" s="850"/>
      <c r="CA23" s="850"/>
      <c r="CB23" s="850"/>
      <c r="CC23" s="850"/>
      <c r="CD23" s="850"/>
      <c r="CE23" s="850"/>
      <c r="CF23" s="850"/>
      <c r="CG23" s="850"/>
      <c r="CH23" s="850"/>
      <c r="CI23" s="850"/>
      <c r="CJ23" s="850"/>
      <c r="CK23" s="850"/>
      <c r="CL23" s="850"/>
      <c r="CM23" s="850"/>
      <c r="CN23" s="850"/>
      <c r="CO23" s="850"/>
      <c r="CP23" s="850"/>
      <c r="CQ23" s="850"/>
      <c r="CR23" s="850"/>
      <c r="CS23" s="850"/>
      <c r="CT23" s="850"/>
      <c r="CU23" s="850"/>
      <c r="CV23" s="850"/>
      <c r="CW23" s="850"/>
      <c r="CX23" s="850"/>
      <c r="CY23" s="850"/>
      <c r="CZ23" s="850"/>
      <c r="DA23" s="850"/>
      <c r="DB23" s="850"/>
      <c r="DC23" s="850"/>
      <c r="DD23" s="850"/>
      <c r="DE23" s="850"/>
      <c r="DF23" s="850"/>
      <c r="DG23" s="850"/>
      <c r="DH23" s="850"/>
      <c r="DI23" s="850"/>
      <c r="DJ23" s="850"/>
      <c r="DK23" s="850"/>
      <c r="DL23" s="850"/>
      <c r="DM23" s="850"/>
      <c r="DN23" s="850"/>
      <c r="DO23" s="850"/>
      <c r="DP23" s="850"/>
      <c r="DQ23" s="850"/>
      <c r="DR23" s="850"/>
      <c r="DS23" s="850"/>
      <c r="DT23" s="850"/>
      <c r="DU23" s="850"/>
      <c r="DV23" s="850"/>
      <c r="DW23" s="850"/>
      <c r="DX23" s="850"/>
      <c r="DY23" s="850"/>
      <c r="DZ23" s="850"/>
      <c r="EA23" s="850"/>
      <c r="EB23" s="850"/>
      <c r="EC23" s="850"/>
      <c r="ED23" s="850"/>
      <c r="EE23" s="850"/>
      <c r="EF23" s="850"/>
      <c r="EG23" s="850"/>
      <c r="EH23" s="850"/>
      <c r="EI23" s="850"/>
      <c r="EJ23" s="850"/>
      <c r="EK23" s="850"/>
      <c r="EL23" s="850"/>
      <c r="EM23" s="850"/>
      <c r="EN23" s="850"/>
      <c r="EO23" s="850"/>
      <c r="EP23" s="850"/>
      <c r="EQ23" s="850"/>
      <c r="ER23" s="850"/>
      <c r="ES23" s="850"/>
      <c r="ET23" s="850"/>
      <c r="EU23" s="850"/>
      <c r="EV23" s="850"/>
      <c r="EW23" s="850"/>
      <c r="EX23" s="850"/>
      <c r="EY23" s="850"/>
      <c r="EZ23" s="850"/>
      <c r="FA23" s="850"/>
      <c r="FB23" s="850"/>
      <c r="FC23" s="850"/>
      <c r="FD23" s="850"/>
      <c r="FE23" s="850"/>
      <c r="FF23" s="850"/>
      <c r="FG23" s="850"/>
      <c r="FH23" s="850"/>
      <c r="FI23" s="850"/>
      <c r="FJ23" s="850"/>
      <c r="FK23" s="850"/>
      <c r="FL23" s="850"/>
      <c r="FM23" s="850"/>
      <c r="FN23" s="850"/>
      <c r="FO23" s="850"/>
      <c r="FP23" s="850"/>
      <c r="FQ23" s="850"/>
      <c r="FR23" s="850"/>
      <c r="FS23" s="850"/>
      <c r="FT23" s="850"/>
      <c r="FU23" s="850"/>
      <c r="FV23" s="850"/>
      <c r="FW23" s="907"/>
      <c r="FX23" s="132"/>
      <c r="FY23" s="869"/>
      <c r="FZ23" s="869"/>
      <c r="GA23" s="869"/>
      <c r="GB23" s="869"/>
    </row>
    <row r="24" s="867" customFormat="true" ht="12.75" hidden="false" customHeight="true" outlineLevel="0" collapsed="false">
      <c r="A24" s="869"/>
      <c r="B24" s="869"/>
      <c r="C24" s="869"/>
      <c r="D24" s="869"/>
      <c r="E24" s="869"/>
      <c r="F24" s="887"/>
      <c r="G24" s="887"/>
      <c r="H24" s="887"/>
      <c r="I24" s="887"/>
      <c r="J24" s="887"/>
      <c r="K24" s="887"/>
      <c r="L24" s="887"/>
      <c r="M24" s="887"/>
      <c r="N24" s="887"/>
      <c r="O24" s="887"/>
      <c r="P24" s="887"/>
      <c r="Q24" s="887"/>
      <c r="R24" s="887"/>
      <c r="S24" s="908"/>
      <c r="T24" s="908"/>
      <c r="U24" s="887"/>
      <c r="V24" s="887"/>
      <c r="W24" s="887"/>
      <c r="X24" s="887"/>
      <c r="Y24" s="887"/>
      <c r="Z24" s="887"/>
      <c r="AA24" s="887"/>
      <c r="AB24" s="887"/>
      <c r="AC24" s="887"/>
      <c r="AD24" s="887"/>
      <c r="AE24" s="887"/>
      <c r="AF24" s="887"/>
      <c r="AG24" s="887"/>
      <c r="AH24" s="887"/>
      <c r="AI24" s="887"/>
      <c r="AJ24" s="887"/>
      <c r="AK24" s="887"/>
      <c r="AL24" s="887"/>
      <c r="AM24" s="887"/>
      <c r="AN24" s="887"/>
      <c r="AO24" s="887"/>
      <c r="AP24" s="887"/>
      <c r="AQ24" s="887"/>
      <c r="AR24" s="887"/>
      <c r="AS24" s="887"/>
      <c r="AT24" s="887"/>
      <c r="AU24" s="887"/>
      <c r="AV24" s="887"/>
      <c r="AW24" s="887"/>
      <c r="AX24" s="887"/>
      <c r="AY24" s="887"/>
      <c r="AZ24" s="887"/>
      <c r="BA24" s="887"/>
      <c r="BB24" s="887"/>
      <c r="BC24" s="887"/>
      <c r="BD24" s="887"/>
      <c r="BE24" s="887"/>
      <c r="BF24" s="887"/>
      <c r="BG24" s="887"/>
      <c r="BH24" s="887"/>
      <c r="BI24" s="887"/>
      <c r="BJ24" s="887"/>
      <c r="BK24" s="887"/>
      <c r="BL24" s="887"/>
      <c r="BM24" s="887"/>
      <c r="BN24" s="887"/>
      <c r="BO24" s="887"/>
      <c r="BP24" s="887"/>
      <c r="BQ24" s="887"/>
      <c r="BR24" s="887"/>
      <c r="BS24" s="887"/>
      <c r="BT24" s="887"/>
      <c r="BU24" s="887"/>
      <c r="BV24" s="887"/>
      <c r="BW24" s="887"/>
      <c r="BX24" s="887"/>
      <c r="BY24" s="887"/>
      <c r="BZ24" s="887"/>
      <c r="CA24" s="887"/>
      <c r="CB24" s="887"/>
      <c r="CC24" s="887"/>
      <c r="CD24" s="887"/>
      <c r="CE24" s="887"/>
      <c r="CF24" s="887"/>
      <c r="CG24" s="887"/>
      <c r="CH24" s="887"/>
      <c r="CI24" s="887"/>
      <c r="CJ24" s="887"/>
      <c r="CK24" s="887"/>
      <c r="CL24" s="887"/>
      <c r="CM24" s="887"/>
      <c r="CN24" s="887"/>
      <c r="CO24" s="887"/>
      <c r="CP24" s="887"/>
      <c r="CQ24" s="887"/>
      <c r="CR24" s="887"/>
      <c r="CS24" s="887"/>
      <c r="CT24" s="887"/>
      <c r="CU24" s="887"/>
      <c r="CV24" s="887"/>
      <c r="CW24" s="887"/>
      <c r="CX24" s="887"/>
      <c r="CY24" s="887"/>
      <c r="CZ24" s="887"/>
      <c r="DA24" s="887"/>
      <c r="DB24" s="887"/>
      <c r="DC24" s="887"/>
      <c r="DD24" s="887"/>
      <c r="DE24" s="887"/>
      <c r="DF24" s="887"/>
      <c r="DG24" s="887"/>
      <c r="DH24" s="887"/>
      <c r="DI24" s="887"/>
      <c r="DJ24" s="887"/>
      <c r="DK24" s="887"/>
      <c r="DL24" s="887"/>
      <c r="DM24" s="887"/>
      <c r="DN24" s="887"/>
      <c r="DO24" s="887"/>
      <c r="DP24" s="887"/>
      <c r="DQ24" s="887"/>
      <c r="DR24" s="887"/>
      <c r="DS24" s="887"/>
      <c r="DT24" s="887"/>
      <c r="DU24" s="887"/>
      <c r="DV24" s="887"/>
      <c r="DW24" s="887"/>
      <c r="DX24" s="887"/>
      <c r="DY24" s="887"/>
      <c r="DZ24" s="887"/>
      <c r="EA24" s="887"/>
      <c r="EB24" s="887"/>
      <c r="EC24" s="887"/>
      <c r="ED24" s="887"/>
      <c r="EE24" s="887"/>
      <c r="EF24" s="887"/>
      <c r="EG24" s="887"/>
      <c r="EH24" s="887"/>
      <c r="EI24" s="887"/>
      <c r="EJ24" s="887"/>
      <c r="EK24" s="887"/>
      <c r="EL24" s="887"/>
      <c r="EM24" s="887"/>
      <c r="EN24" s="887"/>
      <c r="EO24" s="887"/>
      <c r="EP24" s="887"/>
      <c r="EQ24" s="887"/>
      <c r="ER24" s="887"/>
      <c r="ES24" s="887"/>
      <c r="ET24" s="887"/>
      <c r="EU24" s="887"/>
      <c r="EV24" s="887"/>
      <c r="EW24" s="887"/>
      <c r="EX24" s="887"/>
      <c r="EY24" s="887"/>
      <c r="EZ24" s="887"/>
      <c r="FA24" s="887"/>
      <c r="FB24" s="887"/>
      <c r="FC24" s="887"/>
      <c r="FD24" s="887"/>
      <c r="FE24" s="887"/>
      <c r="FF24" s="887"/>
      <c r="FG24" s="887"/>
      <c r="FH24" s="887"/>
      <c r="FI24" s="887"/>
      <c r="FJ24" s="887"/>
      <c r="FK24" s="887"/>
      <c r="FL24" s="887"/>
      <c r="FM24" s="887"/>
      <c r="FN24" s="887"/>
      <c r="FO24" s="887"/>
      <c r="FP24" s="887"/>
      <c r="FQ24" s="887"/>
      <c r="FR24" s="887"/>
      <c r="FS24" s="887"/>
      <c r="FT24" s="887"/>
      <c r="FU24" s="887"/>
      <c r="FV24" s="887"/>
      <c r="FW24" s="887"/>
      <c r="FX24" s="869"/>
      <c r="FY24" s="869"/>
      <c r="FZ24" s="869"/>
      <c r="GA24" s="869"/>
      <c r="GB24" s="869"/>
      <c r="GC24" s="867" t="n">
        <v>12</v>
      </c>
    </row>
    <row r="25" s="867" customFormat="true" ht="12.75" hidden="false" customHeight="true" outlineLevel="0" collapsed="false">
      <c r="A25" s="869"/>
      <c r="B25" s="869"/>
      <c r="C25" s="869"/>
      <c r="D25" s="869"/>
      <c r="E25" s="869"/>
      <c r="FX25" s="869"/>
      <c r="FY25" s="869"/>
      <c r="FZ25" s="869"/>
      <c r="GA25" s="869"/>
      <c r="GB25" s="869"/>
      <c r="GC25" s="867" t="n">
        <v>12</v>
      </c>
    </row>
    <row r="26" s="865" customFormat="true" ht="12.75" hidden="false" customHeight="true" outlineLevel="0" collapsed="false">
      <c r="A26" s="869"/>
      <c r="B26" s="869"/>
      <c r="C26" s="869"/>
      <c r="D26" s="869"/>
      <c r="E26" s="869"/>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1"/>
      <c r="BG26" s="171"/>
      <c r="BH26" s="171"/>
      <c r="BI26" s="171"/>
      <c r="BJ26" s="171"/>
      <c r="BK26" s="171"/>
      <c r="BL26" s="171"/>
      <c r="BM26" s="171"/>
      <c r="BN26" s="171"/>
      <c r="BO26" s="171"/>
      <c r="BP26" s="171"/>
      <c r="BQ26" s="171"/>
      <c r="BR26" s="171"/>
      <c r="BS26" s="171"/>
      <c r="BT26" s="866"/>
      <c r="BU26" s="866"/>
      <c r="BV26" s="866"/>
      <c r="BW26" s="866"/>
      <c r="BX26" s="866"/>
      <c r="BY26" s="866"/>
      <c r="BZ26" s="866"/>
      <c r="CA26" s="866"/>
      <c r="CB26" s="866"/>
      <c r="CC26" s="866"/>
      <c r="CD26" s="866"/>
      <c r="CE26" s="866"/>
      <c r="CF26" s="866"/>
      <c r="CG26" s="866"/>
      <c r="CH26" s="866"/>
      <c r="CI26" s="866"/>
      <c r="CJ26" s="866"/>
      <c r="CK26" s="866"/>
      <c r="CL26" s="866"/>
      <c r="CM26" s="866"/>
      <c r="CN26" s="866"/>
      <c r="CO26" s="866"/>
      <c r="CP26" s="866"/>
      <c r="CQ26" s="866"/>
      <c r="CR26" s="866"/>
      <c r="CS26" s="866"/>
      <c r="CT26" s="866"/>
      <c r="CU26" s="866"/>
      <c r="CV26" s="866"/>
      <c r="CW26" s="866"/>
      <c r="CX26" s="866"/>
      <c r="CY26" s="866"/>
      <c r="CZ26" s="866"/>
      <c r="DA26" s="866"/>
      <c r="DB26" s="866"/>
      <c r="DC26" s="866"/>
      <c r="DD26" s="866"/>
      <c r="DE26" s="866"/>
      <c r="DF26" s="866"/>
      <c r="DG26" s="866"/>
      <c r="DH26" s="866"/>
      <c r="DI26" s="866"/>
      <c r="DJ26" s="866"/>
      <c r="DK26" s="866"/>
      <c r="DL26" s="866"/>
      <c r="DM26" s="866"/>
      <c r="DN26" s="866"/>
      <c r="DO26" s="866"/>
      <c r="DP26" s="866"/>
      <c r="DQ26" s="866"/>
      <c r="DR26" s="866"/>
      <c r="DS26" s="866"/>
      <c r="DT26" s="866"/>
      <c r="DU26" s="866"/>
      <c r="DV26" s="866"/>
      <c r="DW26" s="866"/>
      <c r="DX26" s="866"/>
      <c r="FX26" s="869"/>
      <c r="FY26" s="869"/>
      <c r="FZ26" s="869"/>
      <c r="GA26" s="869"/>
      <c r="GB26" s="869"/>
      <c r="GC26" s="865" t="n">
        <v>12</v>
      </c>
    </row>
    <row r="27" customFormat="false" ht="12.75" hidden="false" customHeight="true" outlineLevel="0" collapsed="false">
      <c r="S27" s="869"/>
      <c r="T27" s="869"/>
      <c r="U27" s="869"/>
      <c r="V27" s="869"/>
      <c r="W27" s="869"/>
      <c r="X27" s="869"/>
      <c r="Y27" s="869"/>
      <c r="Z27" s="869"/>
      <c r="AA27" s="869"/>
      <c r="AB27" s="869"/>
      <c r="FX27" s="869"/>
      <c r="FY27" s="869"/>
      <c r="FZ27" s="869"/>
      <c r="GA27" s="869"/>
      <c r="GB27" s="869"/>
      <c r="GC27" s="865" t="n">
        <v>12</v>
      </c>
    </row>
    <row r="28" customFormat="false" ht="12" hidden="true" customHeight="true" outlineLevel="0" collapsed="false">
      <c r="A28" s="865" t="s">
        <v>81</v>
      </c>
      <c r="B28" s="866" t="n">
        <v>0</v>
      </c>
      <c r="C28" s="865" t="n">
        <v>0</v>
      </c>
      <c r="D28" s="865" t="n">
        <v>0</v>
      </c>
      <c r="E28" s="865" t="n">
        <v>3</v>
      </c>
      <c r="F28" s="865" t="n">
        <v>6</v>
      </c>
      <c r="G28" s="865" t="n">
        <v>18</v>
      </c>
      <c r="H28" s="865" t="n">
        <v>27</v>
      </c>
      <c r="I28" s="865" t="n">
        <v>18</v>
      </c>
      <c r="J28" s="865" t="n">
        <v>0</v>
      </c>
      <c r="K28" s="865" t="n">
        <v>0</v>
      </c>
      <c r="L28" s="865" t="n">
        <v>0</v>
      </c>
      <c r="M28" s="865" t="n">
        <v>0</v>
      </c>
      <c r="N28" s="865" t="n">
        <v>0</v>
      </c>
      <c r="O28" s="865" t="n">
        <v>0</v>
      </c>
      <c r="P28" s="865" t="n">
        <v>0</v>
      </c>
      <c r="Q28" s="865" t="n">
        <v>0</v>
      </c>
      <c r="R28" s="865" t="n">
        <v>0</v>
      </c>
      <c r="S28" s="865" t="n">
        <v>0</v>
      </c>
      <c r="T28" s="865" t="n">
        <v>0</v>
      </c>
      <c r="U28" s="865" t="n">
        <v>0</v>
      </c>
      <c r="V28" s="865" t="n">
        <v>0</v>
      </c>
      <c r="W28" s="865" t="n">
        <v>0</v>
      </c>
      <c r="X28" s="865" t="n">
        <v>0</v>
      </c>
      <c r="Y28" s="865" t="n">
        <v>0</v>
      </c>
      <c r="Z28" s="865" t="n">
        <v>0</v>
      </c>
      <c r="AA28" s="865" t="n">
        <v>0</v>
      </c>
      <c r="AB28" s="865" t="n">
        <v>0</v>
      </c>
      <c r="AC28" s="865" t="n">
        <v>0</v>
      </c>
      <c r="AD28" s="865" t="n">
        <v>0</v>
      </c>
      <c r="AE28" s="865" t="n">
        <v>0</v>
      </c>
      <c r="AF28" s="865" t="n">
        <v>0</v>
      </c>
      <c r="AG28" s="865" t="n">
        <v>0</v>
      </c>
      <c r="AH28" s="865" t="n">
        <v>0</v>
      </c>
      <c r="AI28" s="865" t="n">
        <v>0</v>
      </c>
      <c r="AJ28" s="865" t="n">
        <v>0</v>
      </c>
      <c r="AK28" s="865" t="n">
        <v>0</v>
      </c>
      <c r="AL28" s="865" t="n">
        <v>0</v>
      </c>
      <c r="AM28" s="865" t="n">
        <v>0</v>
      </c>
      <c r="AN28" s="865" t="n">
        <v>0</v>
      </c>
      <c r="AO28" s="865" t="n">
        <v>0</v>
      </c>
      <c r="AP28" s="865" t="n">
        <v>0</v>
      </c>
      <c r="AQ28" s="865" t="n">
        <v>0</v>
      </c>
      <c r="AR28" s="865" t="n">
        <v>0</v>
      </c>
      <c r="AS28" s="865" t="n">
        <v>0</v>
      </c>
      <c r="AT28" s="865" t="n">
        <v>0</v>
      </c>
      <c r="AU28" s="865" t="n">
        <v>0</v>
      </c>
      <c r="AV28" s="865" t="n">
        <v>0</v>
      </c>
      <c r="AW28" s="865" t="n">
        <v>0</v>
      </c>
      <c r="AX28" s="865" t="n">
        <v>0</v>
      </c>
      <c r="AY28" s="865" t="n">
        <v>0</v>
      </c>
      <c r="AZ28" s="865" t="n">
        <v>0</v>
      </c>
      <c r="BA28" s="865" t="n">
        <v>0</v>
      </c>
      <c r="BB28" s="865" t="n">
        <v>0</v>
      </c>
      <c r="BC28" s="865" t="n">
        <v>0</v>
      </c>
      <c r="BD28" s="865" t="n">
        <v>0</v>
      </c>
      <c r="BE28" s="865" t="n">
        <v>0</v>
      </c>
      <c r="BF28" s="865" t="n">
        <v>0</v>
      </c>
      <c r="BG28" s="865" t="n">
        <v>0</v>
      </c>
      <c r="BH28" s="865" t="n">
        <v>0</v>
      </c>
      <c r="BI28" s="865" t="n">
        <v>0</v>
      </c>
      <c r="BJ28" s="865" t="n">
        <v>0</v>
      </c>
      <c r="BK28" s="865" t="n">
        <v>0</v>
      </c>
      <c r="BL28" s="865" t="n">
        <v>0</v>
      </c>
      <c r="BM28" s="865" t="n">
        <v>0</v>
      </c>
      <c r="BN28" s="865" t="n">
        <v>0</v>
      </c>
      <c r="BO28" s="865" t="n">
        <v>0</v>
      </c>
      <c r="BP28" s="865" t="n">
        <v>0</v>
      </c>
      <c r="BQ28" s="865" t="n">
        <v>0</v>
      </c>
      <c r="BR28" s="865" t="n">
        <v>0</v>
      </c>
      <c r="BS28" s="865" t="n">
        <v>0</v>
      </c>
      <c r="BT28" s="865" t="n">
        <v>0</v>
      </c>
      <c r="BU28" s="865" t="n">
        <v>0</v>
      </c>
      <c r="BV28" s="865" t="n">
        <v>0</v>
      </c>
      <c r="BW28" s="865" t="n">
        <v>0</v>
      </c>
      <c r="BX28" s="865" t="n">
        <v>0</v>
      </c>
      <c r="BY28" s="865" t="n">
        <v>0</v>
      </c>
      <c r="BZ28" s="865" t="n">
        <v>0</v>
      </c>
      <c r="CA28" s="865" t="n">
        <v>0</v>
      </c>
      <c r="CB28" s="865" t="n">
        <v>0</v>
      </c>
      <c r="CC28" s="865" t="n">
        <v>0</v>
      </c>
      <c r="CD28" s="865" t="n">
        <v>0</v>
      </c>
      <c r="CE28" s="865" t="n">
        <v>0</v>
      </c>
      <c r="CF28" s="865" t="n">
        <v>0</v>
      </c>
      <c r="CG28" s="865" t="n">
        <v>0</v>
      </c>
      <c r="CH28" s="865" t="n">
        <v>0</v>
      </c>
      <c r="CI28" s="865" t="n">
        <v>0</v>
      </c>
      <c r="CJ28" s="865" t="n">
        <v>0</v>
      </c>
      <c r="CK28" s="865" t="n">
        <v>0</v>
      </c>
      <c r="CL28" s="865" t="n">
        <v>0</v>
      </c>
      <c r="CM28" s="865" t="n">
        <v>0</v>
      </c>
      <c r="CN28" s="865" t="n">
        <v>0</v>
      </c>
      <c r="CO28" s="865" t="n">
        <v>0</v>
      </c>
      <c r="CP28" s="865" t="n">
        <v>0</v>
      </c>
      <c r="CQ28" s="865" t="n">
        <v>0</v>
      </c>
      <c r="CR28" s="865" t="n">
        <v>0</v>
      </c>
      <c r="CS28" s="865" t="n">
        <v>0</v>
      </c>
      <c r="CT28" s="865" t="n">
        <v>0</v>
      </c>
      <c r="CU28" s="865" t="n">
        <v>0</v>
      </c>
      <c r="CV28" s="865" t="n">
        <v>0</v>
      </c>
      <c r="CW28" s="865" t="n">
        <v>0</v>
      </c>
      <c r="CX28" s="865" t="n">
        <v>0</v>
      </c>
      <c r="CY28" s="865" t="n">
        <v>0</v>
      </c>
      <c r="CZ28" s="865" t="n">
        <v>0</v>
      </c>
      <c r="DA28" s="865" t="n">
        <v>0</v>
      </c>
      <c r="DB28" s="865" t="n">
        <v>0</v>
      </c>
      <c r="DC28" s="865" t="n">
        <v>0</v>
      </c>
      <c r="DD28" s="865" t="n">
        <v>0</v>
      </c>
      <c r="DE28" s="865" t="n">
        <v>0</v>
      </c>
      <c r="DF28" s="865" t="n">
        <v>0</v>
      </c>
      <c r="DG28" s="865" t="n">
        <v>0</v>
      </c>
      <c r="DH28" s="865" t="n">
        <v>0</v>
      </c>
      <c r="DI28" s="865" t="n">
        <v>0</v>
      </c>
      <c r="DJ28" s="865" t="n">
        <v>0</v>
      </c>
      <c r="DK28" s="865" t="n">
        <v>0</v>
      </c>
      <c r="DL28" s="865" t="n">
        <v>0</v>
      </c>
      <c r="DM28" s="865" t="n">
        <v>0</v>
      </c>
      <c r="DN28" s="865" t="n">
        <v>0</v>
      </c>
      <c r="DO28" s="865" t="n">
        <v>0</v>
      </c>
      <c r="DP28" s="865" t="n">
        <v>0</v>
      </c>
      <c r="DQ28" s="865" t="n">
        <v>0</v>
      </c>
      <c r="DR28" s="865" t="n">
        <v>0</v>
      </c>
      <c r="DS28" s="865" t="n">
        <v>0</v>
      </c>
      <c r="DT28" s="865" t="n">
        <v>0</v>
      </c>
      <c r="DU28" s="865" t="n">
        <v>0</v>
      </c>
      <c r="DV28" s="865" t="n">
        <v>0</v>
      </c>
      <c r="DW28" s="865" t="n">
        <v>0</v>
      </c>
      <c r="DX28" s="865" t="n">
        <v>0</v>
      </c>
      <c r="DY28" s="865" t="n">
        <v>0</v>
      </c>
      <c r="DZ28" s="865" t="n">
        <v>0</v>
      </c>
      <c r="EA28" s="865" t="n">
        <v>0</v>
      </c>
      <c r="EB28" s="865" t="n">
        <v>0</v>
      </c>
      <c r="EC28" s="865" t="n">
        <v>0</v>
      </c>
      <c r="ED28" s="865" t="n">
        <v>0</v>
      </c>
      <c r="EE28" s="865" t="n">
        <v>0</v>
      </c>
      <c r="EF28" s="865" t="n">
        <v>0</v>
      </c>
      <c r="EG28" s="865" t="n">
        <v>0</v>
      </c>
      <c r="EH28" s="865" t="n">
        <v>0</v>
      </c>
      <c r="EI28" s="865" t="n">
        <v>0</v>
      </c>
      <c r="EJ28" s="865" t="n">
        <v>0</v>
      </c>
      <c r="EK28" s="865" t="n">
        <v>0</v>
      </c>
      <c r="EL28" s="865" t="n">
        <v>0</v>
      </c>
      <c r="EM28" s="865" t="n">
        <v>0</v>
      </c>
      <c r="EN28" s="865" t="n">
        <v>0</v>
      </c>
      <c r="EO28" s="865" t="n">
        <v>0</v>
      </c>
      <c r="EP28" s="865" t="n">
        <v>0</v>
      </c>
      <c r="EQ28" s="865" t="n">
        <v>0</v>
      </c>
      <c r="ER28" s="865" t="n">
        <v>0</v>
      </c>
      <c r="ES28" s="865" t="n">
        <v>0</v>
      </c>
      <c r="ET28" s="865" t="n">
        <v>0</v>
      </c>
      <c r="EU28" s="865" t="n">
        <v>0</v>
      </c>
      <c r="EV28" s="865" t="n">
        <v>0</v>
      </c>
      <c r="EW28" s="865" t="n">
        <v>0</v>
      </c>
      <c r="EX28" s="865" t="n">
        <v>0</v>
      </c>
      <c r="EY28" s="865" t="n">
        <v>0</v>
      </c>
      <c r="EZ28" s="865" t="n">
        <v>0</v>
      </c>
      <c r="FA28" s="865" t="n">
        <v>0</v>
      </c>
      <c r="FB28" s="865" t="n">
        <v>0</v>
      </c>
      <c r="FC28" s="865" t="n">
        <v>0</v>
      </c>
      <c r="FD28" s="865" t="n">
        <v>0</v>
      </c>
      <c r="FE28" s="865" t="n">
        <v>0</v>
      </c>
      <c r="FF28" s="865" t="n">
        <v>0</v>
      </c>
      <c r="FG28" s="865" t="n">
        <v>0</v>
      </c>
      <c r="FH28" s="865" t="n">
        <v>0</v>
      </c>
      <c r="FI28" s="865" t="n">
        <v>0</v>
      </c>
      <c r="FJ28" s="865" t="n">
        <v>0</v>
      </c>
      <c r="FK28" s="865" t="n">
        <v>0</v>
      </c>
      <c r="FL28" s="865" t="n">
        <v>0</v>
      </c>
      <c r="FM28" s="865" t="n">
        <v>0</v>
      </c>
      <c r="FN28" s="865" t="n">
        <v>0</v>
      </c>
      <c r="FO28" s="865" t="n">
        <v>0</v>
      </c>
      <c r="FP28" s="865" t="n">
        <v>0</v>
      </c>
      <c r="FQ28" s="865" t="n">
        <v>0</v>
      </c>
      <c r="FR28" s="865" t="n">
        <v>0</v>
      </c>
      <c r="FS28" s="865" t="n">
        <v>0</v>
      </c>
      <c r="FT28" s="865" t="n">
        <v>0</v>
      </c>
      <c r="FU28" s="865" t="n">
        <v>0</v>
      </c>
      <c r="FV28" s="865" t="n">
        <v>0</v>
      </c>
      <c r="FW28" s="865" t="n">
        <v>0</v>
      </c>
      <c r="FX28" s="865" t="n">
        <v>8</v>
      </c>
      <c r="FY28" s="865" t="n">
        <v>8</v>
      </c>
      <c r="FZ28" s="865" t="n">
        <v>8</v>
      </c>
      <c r="GA28" s="865" t="n">
        <v>8</v>
      </c>
      <c r="GB28" s="865" t="n">
        <v>8</v>
      </c>
      <c r="GC28" s="865" t="n">
        <v>12</v>
      </c>
    </row>
  </sheetData>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47">
    <dataValidation allowBlank="true" errorStyle="stop" operator="between" showDropDown="false" showErrorMessage="true" showInputMessage="true" sqref="AA14:AB15 U16:AB16"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22" type="list">
      <formula1>QRE_METHOD_LIST</formula1>
      <formula2>0</formula2>
    </dataValidation>
    <dataValidation allowBlank="true" error="Допускается ввод не более 900 символов!" errorStyle="stop" errorTitle="Ошибка" operator="lessThanOrEqual" showDropDown="false" showErrorMessage="true" showInputMessage="true" sqref="I22"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O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P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Q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R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S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T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U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V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W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X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Y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Z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AA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AB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BT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BU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BV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BW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BX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BY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BZ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CA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CB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CC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CD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CE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CF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CG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CH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CI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CJ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CK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CY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CZ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DA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DB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DC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DD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DE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DF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DG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DH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DI22"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DJ22"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V2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K8" activeCellId="0" sqref="K8"/>
    </sheetView>
  </sheetViews>
  <sheetFormatPr defaultColWidth="10.57421875" defaultRowHeight="15" zeroHeight="false" outlineLevelRow="0" outlineLevelCol="0"/>
  <cols>
    <col collapsed="false" customWidth="true" hidden="true" outlineLevel="0" max="1" min="1" style="45" width="9.14"/>
    <col collapsed="false" customWidth="true" hidden="true" outlineLevel="0" max="2" min="2" style="42" width="9.14"/>
    <col collapsed="false" customWidth="true" hidden="false" outlineLevel="0" max="3" min="3" style="138" width="4"/>
    <col collapsed="false" customWidth="true" hidden="false" outlineLevel="0" max="4" min="4" style="42" width="6"/>
    <col collapsed="false" customWidth="true" hidden="false" outlineLevel="0" max="5" min="5" style="42" width="36"/>
    <col collapsed="false" customWidth="true" hidden="false" outlineLevel="0" max="6" min="6" style="42" width="9"/>
    <col collapsed="false" customWidth="true" hidden="true" outlineLevel="0" max="7" min="7" style="42" width="42.42"/>
    <col collapsed="false" customWidth="true" hidden="false" outlineLevel="0" max="8" min="8" style="42" width="40.71"/>
    <col collapsed="false" customWidth="true" hidden="false" outlineLevel="0" max="11" min="9" style="42" width="42.42"/>
    <col collapsed="false" customWidth="true" hidden="false" outlineLevel="0" max="12" min="12" style="45" width="93"/>
    <col collapsed="false" customWidth="true" hidden="false" outlineLevel="0" max="20" min="13" style="42" width="10"/>
    <col collapsed="false" customWidth="true" hidden="false" outlineLevel="0" max="21" min="21" style="103" width="10"/>
    <col collapsed="false" customWidth="false" hidden="true" outlineLevel="0" max="22" min="22" style="42" width="10.57"/>
  </cols>
  <sheetData>
    <row r="1" s="45" customFormat="true" ht="15" hidden="true" customHeight="true" outlineLevel="0" collapsed="false">
      <c r="C1" s="44"/>
      <c r="H1" s="45" t="n">
        <v>4</v>
      </c>
      <c r="U1" s="155"/>
      <c r="V1" s="45" t="s">
        <v>14</v>
      </c>
    </row>
    <row r="2" customFormat="false" ht="22.5" hidden="true" customHeight="true" outlineLevel="0" collapsed="false">
      <c r="C2" s="909" t="s">
        <v>103</v>
      </c>
      <c r="D2" s="198"/>
      <c r="E2" s="333"/>
      <c r="F2" s="146" t="str">
        <f aca="false">IF(TEMPLATE_SPHERE="HEAT","Гкал/час","тыс. куб. м/сутки")</f>
        <v>Гкал/час</v>
      </c>
      <c r="G2" s="744"/>
      <c r="H2" s="744"/>
      <c r="I2" s="744"/>
      <c r="J2" s="744"/>
      <c r="K2" s="744"/>
      <c r="L2" s="417"/>
      <c r="V2" s="42" t="n">
        <v>0</v>
      </c>
    </row>
    <row r="3" s="45" customFormat="true" ht="15" hidden="true" customHeight="true" outlineLevel="0" collapsed="false">
      <c r="C3" s="44"/>
      <c r="U3" s="155"/>
      <c r="V3" s="45" t="n">
        <v>0</v>
      </c>
    </row>
    <row r="4" customFormat="false" ht="15.75" hidden="false" customHeight="true" outlineLevel="0" collapsed="false">
      <c r="V4" s="42" t="n">
        <v>15</v>
      </c>
    </row>
    <row r="5" customFormat="false" ht="39.75" hidden="false" customHeight="true" outlineLevel="0" collapsed="false">
      <c r="D5" s="220" t="str">
        <f aca="false">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0"/>
      <c r="F5" s="220"/>
      <c r="G5" s="220"/>
      <c r="H5" s="220"/>
      <c r="I5" s="386"/>
      <c r="J5" s="386"/>
      <c r="K5" s="386"/>
      <c r="V5" s="42" t="n">
        <v>38</v>
      </c>
    </row>
    <row r="6" customFormat="false" ht="15.75" hidden="false" customHeight="true" outlineLevel="0" collapsed="false">
      <c r="D6" s="261" t="str">
        <f aca="false">IF(org=0,"Не определено",org)</f>
        <v>ООО "Газпром теплоэнерго Ярославль"</v>
      </c>
      <c r="E6" s="261"/>
      <c r="F6" s="261"/>
      <c r="G6" s="261"/>
      <c r="H6" s="261"/>
      <c r="I6" s="611"/>
      <c r="J6" s="611"/>
      <c r="K6" s="611"/>
      <c r="V6" s="42" t="n">
        <v>15</v>
      </c>
    </row>
    <row r="7" s="42" customFormat="true" ht="15.75" hidden="false" customHeight="true" outlineLevel="0" collapsed="false">
      <c r="A7" s="45"/>
      <c r="C7" s="138"/>
      <c r="D7" s="75"/>
      <c r="E7" s="75"/>
      <c r="F7" s="75"/>
      <c r="G7" s="75"/>
      <c r="H7" s="292"/>
      <c r="I7" s="75"/>
      <c r="J7" s="75"/>
      <c r="K7" s="75"/>
      <c r="L7" s="45"/>
      <c r="U7" s="103"/>
      <c r="V7" s="42" t="n">
        <v>15</v>
      </c>
    </row>
    <row r="8" customFormat="false" ht="0.75" hidden="false" customHeight="true" outlineLevel="0" collapsed="false">
      <c r="H8" s="45" t="s">
        <v>127</v>
      </c>
      <c r="I8" s="42" t="s">
        <v>131</v>
      </c>
      <c r="J8" s="42" t="s">
        <v>132</v>
      </c>
      <c r="K8" s="42" t="s">
        <v>134</v>
      </c>
      <c r="V8" s="42" t="n">
        <v>1</v>
      </c>
    </row>
    <row r="9" customFormat="false" ht="15.75" hidden="false" customHeight="true" outlineLevel="0" collapsed="false">
      <c r="D9" s="614"/>
      <c r="E9" s="615" t="s">
        <v>116</v>
      </c>
      <c r="F9" s="615"/>
      <c r="G9" s="910" t="str">
        <f aca="false">IF(G8="","",INDEX(DIFFERENTIATION_UNMERGE_VD,MATCH(G8,DIFFERENTIATION_ID_DIFF,0)))</f>
        <v/>
      </c>
      <c r="H9" s="910" t="str">
        <f aca="false">IF(H8="","",INDEX(DIFFERENTIATION_UNMERGE_VD,MATCH(H8,DIFFERENTIATION_ID_DIFF,0)))</f>
        <v>Производство тепловой энергии. Некомбинированная выработка</v>
      </c>
      <c r="I9" s="910" t="str">
        <f aca="false">IF(I8="","",INDEX(DIFFERENTIATION_UNMERGE_VD,MATCH(I8,DIFFERENTIATION_ID_DIFF,0)))</f>
        <v>Производство тепловой энергии. Некомбинированная выработка</v>
      </c>
      <c r="J9" s="910" t="str">
        <f aca="false">IF(J8="","",INDEX(DIFFERENTIATION_UNMERGE_VD,MATCH(J8,DIFFERENTIATION_ID_DIFF,0)))</f>
        <v>Производство тепловой энергии. Некомбинированная выработка</v>
      </c>
      <c r="K9" s="910" t="str">
        <f aca="false">IF(K8="","",INDEX(DIFFERENTIATION_UNMERGE_VD,MATCH(K8,DIFFERENTIATION_ID_DIFF,0)))</f>
        <v>Производство. Теплоноситель</v>
      </c>
      <c r="L9" s="134" t="s">
        <v>314</v>
      </c>
      <c r="V9" s="42" t="n">
        <v>15</v>
      </c>
    </row>
    <row r="10" s="42" customFormat="true" ht="15.75" hidden="false" customHeight="true" outlineLevel="0" collapsed="false">
      <c r="A10" s="45"/>
      <c r="C10" s="138"/>
      <c r="D10" s="614"/>
      <c r="E10" s="615" t="s">
        <v>577</v>
      </c>
      <c r="F10" s="615"/>
      <c r="G10" s="910" t="str">
        <f aca="false">IF(G8="","",INDEX(DIFFERENTIATION_UNMERGE_AREA,MATCH(G8,DIFFERENTIATION_ID_DIFF,0)))</f>
        <v/>
      </c>
      <c r="H10" s="910" t="str">
        <f aca="false">IF(H8="","",INDEX(DIFFERENTIATION_UNMERGE_AREA,MATCH(H8,DIFFERENTIATION_ID_DIFF,0)))</f>
        <v>Территория 1</v>
      </c>
      <c r="I10" s="910" t="str">
        <f aca="false">IF(I8="","",INDEX(DIFFERENTIATION_UNMERGE_AREA,MATCH(I8,DIFFERENTIATION_ID_DIFF,0)))</f>
        <v>Территория 2</v>
      </c>
      <c r="J10" s="910" t="str">
        <f aca="false">IF(J8="","",INDEX(DIFFERENTIATION_UNMERGE_AREA,MATCH(J8,DIFFERENTIATION_ID_DIFF,0)))</f>
        <v>Территория 3</v>
      </c>
      <c r="K10" s="910" t="str">
        <f aca="false">IF(K8="","",INDEX(DIFFERENTIATION_UNMERGE_AREA,MATCH(K8,DIFFERENTIATION_ID_DIFF,0)))</f>
        <v>Территория 1</v>
      </c>
      <c r="L10" s="134"/>
      <c r="U10" s="103"/>
      <c r="V10" s="42" t="n">
        <v>15</v>
      </c>
    </row>
    <row r="11" s="42" customFormat="true" ht="15.75" hidden="false" customHeight="true" outlineLevel="0" collapsed="false">
      <c r="A11" s="45"/>
      <c r="C11" s="138"/>
      <c r="D11" s="614"/>
      <c r="E11" s="615" t="s">
        <v>578</v>
      </c>
      <c r="F11" s="615"/>
      <c r="G11" s="910" t="str">
        <f aca="false">IF(G8="","",INDEX(DIFFERENTIATION_UNMERGE_SYSTEM,MATCH(G8,DIFFERENTIATION_ID_DIFF,0)))</f>
        <v/>
      </c>
      <c r="H11" s="910" t="str">
        <f aca="false">IF(H8="","",INDEX(DIFFERENTIATION_UNMERGE_SYSTEM,MATCH(H8,DIFFERENTIATION_ID_DIFF,0)))</f>
        <v>без дифференциации</v>
      </c>
      <c r="I11" s="910" t="str">
        <f aca="false">IF(I8="","",INDEX(DIFFERENTIATION_UNMERGE_SYSTEM,MATCH(I8,DIFFERENTIATION_ID_DIFF,0)))</f>
        <v>без дифференциации</v>
      </c>
      <c r="J11" s="910" t="str">
        <f aca="false">IF(J8="","",INDEX(DIFFERENTIATION_UNMERGE_SYSTEM,MATCH(J8,DIFFERENTIATION_ID_DIFF,0)))</f>
        <v>без дифференциации</v>
      </c>
      <c r="K11" s="910" t="str">
        <f aca="false">IF(K8="","",INDEX(DIFFERENTIATION_UNMERGE_SYSTEM,MATCH(K8,DIFFERENTIATION_ID_DIFF,0)))</f>
        <v>без дифференциации</v>
      </c>
      <c r="L11" s="134"/>
      <c r="U11" s="103"/>
      <c r="V11" s="42" t="n">
        <v>15</v>
      </c>
    </row>
    <row r="12" s="42" customFormat="true" ht="15.75" hidden="false" customHeight="true" outlineLevel="0" collapsed="false">
      <c r="A12" s="45"/>
      <c r="C12" s="138"/>
      <c r="D12" s="617" t="s">
        <v>313</v>
      </c>
      <c r="E12" s="617"/>
      <c r="F12" s="617"/>
      <c r="G12" s="618"/>
      <c r="H12" s="618"/>
      <c r="I12" s="618"/>
      <c r="J12" s="618"/>
      <c r="K12" s="618"/>
      <c r="L12" s="134"/>
      <c r="U12" s="103"/>
      <c r="V12" s="42" t="n">
        <v>15</v>
      </c>
    </row>
    <row r="13" customFormat="false" ht="35.25" hidden="false" customHeight="true" outlineLevel="0" collapsed="false">
      <c r="D13" s="146" t="s">
        <v>87</v>
      </c>
      <c r="E13" s="134" t="s">
        <v>315</v>
      </c>
      <c r="F13" s="146" t="s">
        <v>579</v>
      </c>
      <c r="G13" s="265" t="s">
        <v>316</v>
      </c>
      <c r="H13" s="265" t="s">
        <v>316</v>
      </c>
      <c r="I13" s="265" t="s">
        <v>316</v>
      </c>
      <c r="J13" s="265" t="s">
        <v>316</v>
      </c>
      <c r="K13" s="265" t="s">
        <v>316</v>
      </c>
      <c r="L13" s="134"/>
      <c r="V13" s="42" t="n">
        <v>34</v>
      </c>
    </row>
    <row r="14" customFormat="false" ht="15" hidden="true" customHeight="true" outlineLevel="0" collapsed="false">
      <c r="D14" s="189" t="s">
        <v>120</v>
      </c>
      <c r="E14" s="189" t="s">
        <v>102</v>
      </c>
      <c r="F14" s="189" t="s">
        <v>89</v>
      </c>
      <c r="G14" s="138" t="str">
        <f aca="false">G1&amp;".1"</f>
        <v>.1</v>
      </c>
      <c r="H14" s="138" t="str">
        <f aca="false">H1&amp;".1"</f>
        <v>4.1</v>
      </c>
      <c r="I14" s="138" t="str">
        <f aca="false">I1&amp;".1"</f>
        <v>.1</v>
      </c>
      <c r="J14" s="138" t="str">
        <f aca="false">J1&amp;".1"</f>
        <v>.1</v>
      </c>
      <c r="K14" s="138" t="str">
        <f aca="false">K1&amp;".1"</f>
        <v>.1</v>
      </c>
      <c r="L14" s="417"/>
      <c r="V14" s="42" t="n">
        <v>0</v>
      </c>
    </row>
    <row r="15" customFormat="false" ht="15.75" hidden="false" customHeight="true" outlineLevel="0" collapsed="false">
      <c r="A15" s="42"/>
      <c r="C15" s="117"/>
      <c r="D15" s="146" t="n">
        <v>1</v>
      </c>
      <c r="E15" s="911" t="str">
        <f aca="false">TP_P_A</f>
        <v>Количество поданных заявок</v>
      </c>
      <c r="F15" s="146" t="s">
        <v>1286</v>
      </c>
      <c r="G15" s="912"/>
      <c r="H15" s="912"/>
      <c r="I15" s="912"/>
      <c r="J15" s="912"/>
      <c r="K15" s="912"/>
      <c r="L15" s="722" t="str">
        <f aca="false">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V15" s="42" t="n">
        <v>15</v>
      </c>
    </row>
    <row r="16" customFormat="false" ht="15.75" hidden="false" customHeight="true" outlineLevel="0" collapsed="false">
      <c r="A16" s="42"/>
      <c r="C16" s="117"/>
      <c r="D16" s="146" t="n">
        <v>2</v>
      </c>
      <c r="E16" s="911" t="str">
        <f aca="false">TP_P_B</f>
        <v>Количество рассмотренных заявок</v>
      </c>
      <c r="F16" s="146" t="s">
        <v>1286</v>
      </c>
      <c r="G16" s="912"/>
      <c r="H16" s="912"/>
      <c r="I16" s="912"/>
      <c r="J16" s="912"/>
      <c r="K16" s="912"/>
      <c r="L16" s="722" t="str">
        <f aca="false">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V16" s="42" t="n">
        <v>15</v>
      </c>
    </row>
    <row r="17" customFormat="false" ht="77.25" hidden="false" customHeight="true" outlineLevel="0" collapsed="false">
      <c r="A17" s="42"/>
      <c r="C17" s="117"/>
      <c r="D17" s="146" t="n">
        <v>3</v>
      </c>
      <c r="E17" s="911" t="str">
        <f aca="false">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46" t="s">
        <v>1286</v>
      </c>
      <c r="G17" s="912"/>
      <c r="H17" s="912"/>
      <c r="I17" s="912"/>
      <c r="J17" s="912"/>
      <c r="K17" s="912"/>
      <c r="L17" s="722" t="str">
        <f aca="false">TP_P_NOTE_V</f>
        <v>Указывается количество заявок с решением об отказе в течение отчетного квартала.</v>
      </c>
      <c r="V17" s="42" t="n">
        <v>74</v>
      </c>
    </row>
    <row r="18" customFormat="false" ht="54.75" hidden="false" customHeight="true" outlineLevel="0" collapsed="false">
      <c r="A18" s="42"/>
      <c r="C18" s="117"/>
      <c r="D18" s="146" t="n">
        <v>4</v>
      </c>
      <c r="E18" s="911" t="str">
        <f aca="false">TP_P_V_1</f>
        <v>Причины отказа в заключении договора о подключении (технологическом присоединении) к системе теплоснабжения</v>
      </c>
      <c r="F18" s="146" t="s">
        <v>319</v>
      </c>
      <c r="G18" s="747"/>
      <c r="H18" s="747"/>
      <c r="I18" s="747"/>
      <c r="J18" s="747"/>
      <c r="K18" s="747"/>
      <c r="L18" s="911" t="str">
        <f aca="false">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V18" s="42" t="n">
        <v>52</v>
      </c>
    </row>
    <row r="19" customFormat="false" ht="60" hidden="false" customHeight="true" outlineLevel="0" collapsed="false">
      <c r="A19" s="42"/>
      <c r="C19" s="117"/>
      <c r="D19" s="146" t="n">
        <v>5</v>
      </c>
      <c r="E19" s="911" t="str">
        <f aca="false">TP_P_G</f>
        <v>Резерв мощности источников тепловой энергии, входящих в систему теплоснабжения, в течение одного квартала, в том числе:</v>
      </c>
      <c r="F19" s="146" t="str">
        <f aca="false">IF(TEMPLATE_SPHERE="HEAT","Гкал/час","тыс. куб. м/сутки")</f>
        <v>Гкал/час</v>
      </c>
      <c r="G19" s="913" t="n">
        <f aca="false">SUM(G20:G22)</f>
        <v>0</v>
      </c>
      <c r="H19" s="913" t="n">
        <f aca="false">SUM(H20:H22)</f>
        <v>0</v>
      </c>
      <c r="I19" s="913" t="n">
        <f aca="false">SUM(I20:I22)</f>
        <v>0</v>
      </c>
      <c r="J19" s="913" t="n">
        <f aca="false">SUM(J20:J22)</f>
        <v>0</v>
      </c>
      <c r="K19" s="913" t="n">
        <f aca="false">SUM(K20:K22)</f>
        <v>0</v>
      </c>
      <c r="L19" s="722" t="str">
        <f aca="false">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
      <c r="V19" s="42" t="n">
        <v>57</v>
      </c>
    </row>
    <row r="20" customFormat="false" ht="15" hidden="true" customHeight="true" outlineLevel="0" collapsed="false">
      <c r="D20" s="42" t="s">
        <v>1287</v>
      </c>
      <c r="E20" s="75"/>
      <c r="L20" s="914"/>
      <c r="V20" s="42" t="n">
        <v>0</v>
      </c>
    </row>
    <row r="21" customFormat="false" ht="29.25" hidden="false" customHeight="true" outlineLevel="0" collapsed="false">
      <c r="C21" s="117"/>
      <c r="D21" s="198" t="s">
        <v>326</v>
      </c>
      <c r="E21" s="84"/>
      <c r="F21" s="146" t="str">
        <f aca="false">IF(TEMPLATE_SPHERE="HEAT","Гкал/час","тыс. куб. м/сутки")</f>
        <v>Гкал/час</v>
      </c>
      <c r="G21" s="744"/>
      <c r="H21" s="744"/>
      <c r="I21" s="744"/>
      <c r="J21" s="744"/>
      <c r="K21" s="744"/>
      <c r="L21" s="911" t="str">
        <f aca="false">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
      <c r="V21" s="42" t="n">
        <v>28</v>
      </c>
    </row>
    <row r="22" customFormat="false" ht="15.75" hidden="false" customHeight="true" outlineLevel="0" collapsed="false">
      <c r="A22" s="42"/>
      <c r="C22" s="42"/>
      <c r="D22" s="727"/>
      <c r="E22" s="161" t="s">
        <v>1288</v>
      </c>
      <c r="F22" s="634"/>
      <c r="G22" s="634"/>
      <c r="H22" s="634"/>
      <c r="I22" s="634"/>
      <c r="J22" s="634"/>
      <c r="K22" s="634"/>
      <c r="L22" s="911"/>
      <c r="U22" s="42"/>
      <c r="V22" s="42" t="n">
        <v>15</v>
      </c>
    </row>
    <row r="23" customFormat="false" ht="22.5" hidden="true" customHeight="true" outlineLevel="0" collapsed="false">
      <c r="A23" s="45" t="s">
        <v>81</v>
      </c>
      <c r="B23" s="42" t="n">
        <v>0</v>
      </c>
      <c r="C23" s="138" t="n">
        <v>4</v>
      </c>
      <c r="D23" s="42" t="n">
        <v>6</v>
      </c>
      <c r="E23" s="42" t="n">
        <v>36</v>
      </c>
      <c r="F23" s="42" t="n">
        <v>9</v>
      </c>
      <c r="G23" s="42" t="n">
        <v>0</v>
      </c>
      <c r="H23" s="42" t="n">
        <v>40</v>
      </c>
      <c r="I23" s="42" t="n">
        <v>0</v>
      </c>
      <c r="J23" s="42" t="n">
        <v>0</v>
      </c>
      <c r="K23" s="42" t="n">
        <v>0</v>
      </c>
      <c r="L23" s="45" t="n">
        <v>93</v>
      </c>
      <c r="M23" s="42" t="n">
        <v>10</v>
      </c>
      <c r="N23" s="42" t="n">
        <v>10</v>
      </c>
      <c r="O23" s="42" t="n">
        <v>10</v>
      </c>
      <c r="P23" s="42" t="n">
        <v>10</v>
      </c>
      <c r="Q23" s="42" t="n">
        <v>10</v>
      </c>
      <c r="R23" s="42" t="n">
        <v>10</v>
      </c>
      <c r="S23" s="42" t="n">
        <v>10</v>
      </c>
      <c r="T23" s="42" t="n">
        <v>10</v>
      </c>
      <c r="U23" s="103" t="n">
        <v>10</v>
      </c>
      <c r="V23" s="42" t="n">
        <v>23</v>
      </c>
    </row>
  </sheetData>
  <mergeCells count="8">
    <mergeCell ref="D5:H5"/>
    <mergeCell ref="D6:H6"/>
    <mergeCell ref="E9:F9"/>
    <mergeCell ref="L9:L13"/>
    <mergeCell ref="E10:F10"/>
    <mergeCell ref="E11:F11"/>
    <mergeCell ref="D12:F12"/>
    <mergeCell ref="L21:L22"/>
  </mergeCells>
  <dataValidations count="4">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E2 G18:K18 E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5:K17" type="whole">
      <formula1>0</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G2:K2 G21:K21"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true"/>
  </sheetPr>
  <dimension ref="A1:Q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50" width="9.14"/>
    <col collapsed="false" customWidth="true" hidden="true" outlineLevel="0" max="2" min="2" style="45" width="9.14"/>
    <col collapsed="false" customWidth="true" hidden="false" outlineLevel="0" max="3" min="3" style="411" width="3"/>
    <col collapsed="false" customWidth="true" hidden="false" outlineLevel="0" max="4" min="4" style="42" width="6"/>
    <col collapsed="false" customWidth="true" hidden="false" outlineLevel="0" max="6" min="5" style="42" width="64"/>
    <col collapsed="false" customWidth="true" hidden="false" outlineLevel="0" max="7" min="7" style="42" width="140"/>
    <col collapsed="false" customWidth="true" hidden="false" outlineLevel="0" max="8" min="8" style="42" width="10"/>
    <col collapsed="false" customWidth="true" hidden="false" outlineLevel="0" max="10" min="9" style="118" width="10"/>
    <col collapsed="false" customWidth="true" hidden="false" outlineLevel="0" max="16" min="11" style="42" width="10"/>
    <col collapsed="false" customWidth="false" hidden="true" outlineLevel="0" max="17" min="17" style="42" width="10.57"/>
  </cols>
  <sheetData>
    <row r="1" customFormat="false" ht="22.5" hidden="true" customHeight="true" outlineLevel="0" collapsed="false">
      <c r="M1" s="720"/>
      <c r="N1" s="720"/>
      <c r="P1" s="720"/>
      <c r="Q1" s="42" t="s">
        <v>14</v>
      </c>
    </row>
    <row r="2" customFormat="false" ht="14.25" hidden="true" customHeight="true" outlineLevel="0" collapsed="false">
      <c r="Q2" s="42" t="n">
        <v>0</v>
      </c>
    </row>
    <row r="3" customFormat="false" ht="14.25" hidden="true" customHeight="true" outlineLevel="0" collapsed="false">
      <c r="Q3" s="42" t="n">
        <v>0</v>
      </c>
    </row>
    <row r="4" customFormat="false" ht="3" hidden="false" customHeight="true" outlineLevel="0" collapsed="false">
      <c r="C4" s="464"/>
      <c r="D4" s="80"/>
      <c r="E4" s="80"/>
      <c r="F4" s="723"/>
      <c r="G4" s="723"/>
      <c r="Q4" s="42" t="n">
        <v>3</v>
      </c>
    </row>
    <row r="5" customFormat="false" ht="29.25" hidden="false" customHeight="true" outlineLevel="0" collapsed="false">
      <c r="C5" s="464"/>
      <c r="D5" s="386" t="str">
        <f aca="false">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386"/>
      <c r="F5" s="386"/>
      <c r="G5" s="386"/>
      <c r="Q5" s="42" t="n">
        <v>28</v>
      </c>
    </row>
    <row r="6" s="42" customFormat="true" ht="18.75" hidden="false" customHeight="true" outlineLevel="0" collapsed="false">
      <c r="A6" s="50"/>
      <c r="B6" s="45"/>
      <c r="C6" s="464"/>
      <c r="D6" s="261" t="str">
        <f aca="false">IF(org=0,"Не определено",org)</f>
        <v>ООО "Газпром теплоэнерго Ярославль"</v>
      </c>
      <c r="E6" s="261"/>
      <c r="F6" s="261"/>
      <c r="G6" s="261"/>
      <c r="I6" s="118"/>
      <c r="J6" s="118"/>
      <c r="Q6" s="42" t="n">
        <v>18</v>
      </c>
    </row>
    <row r="7" customFormat="false" ht="14.25" hidden="false" customHeight="true" outlineLevel="0" collapsed="false">
      <c r="C7" s="464"/>
      <c r="D7" s="80"/>
      <c r="E7" s="72"/>
      <c r="F7" s="292"/>
      <c r="G7" s="724"/>
      <c r="Q7" s="42" t="n">
        <v>14</v>
      </c>
    </row>
    <row r="8" s="42" customFormat="true" ht="0.75" hidden="false" customHeight="true" outlineLevel="0" collapsed="false">
      <c r="A8" s="50"/>
      <c r="B8" s="45"/>
      <c r="C8" s="464"/>
      <c r="D8" s="80"/>
      <c r="E8" s="72"/>
      <c r="F8" s="292"/>
      <c r="G8" s="724"/>
      <c r="I8" s="118"/>
      <c r="J8" s="118"/>
      <c r="Q8" s="42" t="n">
        <v>1</v>
      </c>
    </row>
    <row r="9" customFormat="false" ht="14.25" hidden="false" customHeight="true" outlineLevel="0" collapsed="false">
      <c r="C9" s="464"/>
      <c r="D9" s="391" t="s">
        <v>313</v>
      </c>
      <c r="E9" s="391"/>
      <c r="F9" s="391"/>
      <c r="G9" s="725" t="s">
        <v>314</v>
      </c>
      <c r="Q9" s="42" t="n">
        <v>14</v>
      </c>
    </row>
    <row r="10" customFormat="false" ht="24" hidden="false" customHeight="true" outlineLevel="0" collapsed="false">
      <c r="C10" s="464"/>
      <c r="D10" s="391" t="s">
        <v>87</v>
      </c>
      <c r="E10" s="185" t="s">
        <v>315</v>
      </c>
      <c r="F10" s="185" t="s">
        <v>403</v>
      </c>
      <c r="G10" s="725"/>
      <c r="Q10" s="42" t="n">
        <v>23</v>
      </c>
    </row>
    <row r="11" customFormat="false" ht="12" hidden="true" customHeight="true" outlineLevel="0" collapsed="false">
      <c r="C11" s="464"/>
      <c r="D11" s="363"/>
      <c r="E11" s="363"/>
      <c r="F11" s="363"/>
      <c r="G11" s="363"/>
      <c r="Q11" s="42" t="n">
        <v>0</v>
      </c>
    </row>
    <row r="12" customFormat="false" ht="65.25" hidden="false" customHeight="true" outlineLevel="0" collapsed="false">
      <c r="A12" s="132"/>
      <c r="C12" s="464"/>
      <c r="D12" s="295" t="n">
        <v>1</v>
      </c>
      <c r="E12" s="915" t="str">
        <f aca="false">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5" t="s">
        <v>319</v>
      </c>
      <c r="G12" s="417"/>
      <c r="Q12" s="42" t="n">
        <v>62</v>
      </c>
    </row>
    <row r="13" customFormat="false" ht="24" hidden="false" customHeight="true" outlineLevel="0" collapsed="false">
      <c r="A13" s="132"/>
      <c r="C13" s="464"/>
      <c r="D13" s="295" t="s">
        <v>1191</v>
      </c>
      <c r="E13" s="916" t="str">
        <f aca="false">"Форма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5" t="s">
        <v>319</v>
      </c>
      <c r="G13" s="417"/>
      <c r="Q13" s="42" t="n">
        <v>23</v>
      </c>
    </row>
    <row r="14" customFormat="false" ht="14.25" hidden="false" customHeight="true" outlineLevel="0" collapsed="false">
      <c r="A14" s="132"/>
      <c r="C14" s="464"/>
      <c r="D14" s="295" t="s">
        <v>1227</v>
      </c>
      <c r="E14" s="917"/>
      <c r="F14" s="403"/>
      <c r="G14" s="911" t="str">
        <f aca="false">"Указывается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2" t="n">
        <v>14</v>
      </c>
    </row>
    <row r="15" customFormat="false" ht="15.75" hidden="false" customHeight="true" outlineLevel="0" collapsed="false">
      <c r="A15" s="132"/>
      <c r="C15" s="464"/>
      <c r="D15" s="727"/>
      <c r="E15" s="219" t="s">
        <v>1289</v>
      </c>
      <c r="F15" s="728"/>
      <c r="G15" s="911"/>
      <c r="Q15" s="42" t="n">
        <v>15</v>
      </c>
    </row>
    <row r="16" customFormat="false" ht="14.25" hidden="false" customHeight="true" outlineLevel="0" collapsed="false">
      <c r="A16" s="132"/>
      <c r="C16" s="464"/>
      <c r="D16" s="295" t="s">
        <v>1193</v>
      </c>
      <c r="E16" s="916" t="str">
        <f aca="false">"Договор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5" t="s">
        <v>319</v>
      </c>
      <c r="G16" s="475"/>
      <c r="Q16" s="42" t="n">
        <v>14</v>
      </c>
    </row>
    <row r="17" customFormat="false" ht="14.25" hidden="false" customHeight="true" outlineLevel="0" collapsed="false">
      <c r="A17" s="132"/>
      <c r="C17" s="464"/>
      <c r="D17" s="295" t="s">
        <v>1235</v>
      </c>
      <c r="E17" s="917"/>
      <c r="F17" s="710"/>
      <c r="G17" s="911" t="str">
        <f aca="false">"Информация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42" t="n">
        <v>14</v>
      </c>
    </row>
    <row r="18" s="42" customFormat="true" ht="21.75" hidden="false" customHeight="true" outlineLevel="0" collapsed="false">
      <c r="A18" s="132"/>
      <c r="B18" s="45"/>
      <c r="C18" s="464"/>
      <c r="D18" s="727"/>
      <c r="E18" s="219" t="s">
        <v>1290</v>
      </c>
      <c r="F18" s="918"/>
      <c r="G18" s="911"/>
      <c r="I18" s="118"/>
      <c r="J18" s="118"/>
      <c r="Q18" s="42" t="n">
        <v>21</v>
      </c>
    </row>
    <row r="19" s="42" customFormat="true" ht="256.5" hidden="true" customHeight="true" outlineLevel="0" collapsed="false">
      <c r="A19" s="132"/>
      <c r="B19" s="45"/>
      <c r="C19" s="464"/>
      <c r="D19" s="295" t="s">
        <v>1195</v>
      </c>
      <c r="E19" s="916" t="s">
        <v>1291</v>
      </c>
      <c r="F19" s="710"/>
      <c r="G19" s="475" t="s">
        <v>1292</v>
      </c>
      <c r="I19" s="118"/>
      <c r="J19" s="118"/>
      <c r="Q19" s="42" t="n">
        <v>0</v>
      </c>
    </row>
    <row r="20" s="42" customFormat="true" ht="14.25" hidden="false" customHeight="true" outlineLevel="0" collapsed="false">
      <c r="A20" s="132"/>
      <c r="B20" s="45"/>
      <c r="C20" s="464"/>
      <c r="D20" s="296" t="n">
        <v>2</v>
      </c>
      <c r="E20" s="916" t="s">
        <v>1293</v>
      </c>
      <c r="F20" s="185" t="s">
        <v>319</v>
      </c>
      <c r="G20" s="475"/>
      <c r="I20" s="118"/>
      <c r="J20" s="118"/>
      <c r="Q20" s="42" t="n">
        <v>14</v>
      </c>
    </row>
    <row r="21" s="42" customFormat="true" ht="18.75" hidden="true" customHeight="true" outlineLevel="0" collapsed="false">
      <c r="A21" s="132"/>
      <c r="B21" s="45"/>
      <c r="C21" s="464"/>
      <c r="D21" s="919" t="s">
        <v>667</v>
      </c>
      <c r="E21" s="920"/>
      <c r="F21" s="921"/>
      <c r="G21" s="922"/>
      <c r="H21" s="676"/>
      <c r="I21" s="118"/>
      <c r="J21" s="118"/>
      <c r="Q21" s="42" t="n">
        <v>0</v>
      </c>
    </row>
    <row r="22" customFormat="false" ht="15.75" hidden="false" customHeight="true" outlineLevel="0" collapsed="false">
      <c r="A22" s="132"/>
      <c r="C22" s="464"/>
      <c r="D22" s="727"/>
      <c r="E22" s="161" t="s">
        <v>335</v>
      </c>
      <c r="F22" s="918"/>
      <c r="G22" s="662"/>
      <c r="Q22" s="42" t="n">
        <v>15</v>
      </c>
    </row>
    <row r="23" s="42" customFormat="true" ht="22.5" hidden="true" customHeight="true" outlineLevel="0" collapsed="false">
      <c r="A23" s="132"/>
      <c r="B23" s="45"/>
      <c r="C23" s="464"/>
      <c r="D23" s="295" t="s">
        <v>102</v>
      </c>
      <c r="E23" s="915" t="s">
        <v>1294</v>
      </c>
      <c r="F23" s="185" t="s">
        <v>319</v>
      </c>
      <c r="G23" s="417"/>
      <c r="I23" s="118"/>
      <c r="J23" s="118"/>
      <c r="Q23" s="42" t="n">
        <v>0</v>
      </c>
    </row>
    <row r="24" s="42" customFormat="true" ht="14.25" hidden="true" customHeight="true" outlineLevel="0" collapsed="false">
      <c r="A24" s="132"/>
      <c r="B24" s="45"/>
      <c r="C24" s="464"/>
      <c r="D24" s="295" t="s">
        <v>739</v>
      </c>
      <c r="E24" s="916" t="s">
        <v>1295</v>
      </c>
      <c r="F24" s="185" t="s">
        <v>319</v>
      </c>
      <c r="G24" s="475"/>
      <c r="I24" s="118"/>
      <c r="J24" s="118"/>
      <c r="Q24" s="42" t="n">
        <v>0</v>
      </c>
    </row>
    <row r="25" s="42" customFormat="true" ht="14.25" hidden="true" customHeight="true" outlineLevel="0" collapsed="false">
      <c r="A25" s="132"/>
      <c r="B25" s="45"/>
      <c r="C25" s="464"/>
      <c r="D25" s="295" t="s">
        <v>742</v>
      </c>
      <c r="E25" s="917"/>
      <c r="F25" s="710"/>
      <c r="G25" s="911" t="s">
        <v>1296</v>
      </c>
      <c r="I25" s="118"/>
      <c r="J25" s="118"/>
      <c r="Q25" s="42" t="n">
        <v>0</v>
      </c>
    </row>
    <row r="26" s="42" customFormat="true" ht="22.5" hidden="true" customHeight="true" outlineLevel="0" collapsed="false">
      <c r="A26" s="132"/>
      <c r="B26" s="45"/>
      <c r="C26" s="464"/>
      <c r="D26" s="727"/>
      <c r="E26" s="219" t="s">
        <v>1297</v>
      </c>
      <c r="F26" s="918"/>
      <c r="G26" s="911"/>
      <c r="I26" s="118"/>
      <c r="J26" s="118"/>
      <c r="Q26" s="42" t="n">
        <v>0</v>
      </c>
    </row>
    <row r="27" customFormat="false" ht="3" hidden="false" customHeight="true" outlineLevel="0" collapsed="false">
      <c r="Q27" s="42" t="n">
        <v>3</v>
      </c>
    </row>
    <row r="28" customFormat="false" ht="14.25" hidden="false" customHeight="true" outlineLevel="0" collapsed="false">
      <c r="D28" s="409"/>
      <c r="E28" s="748"/>
      <c r="F28" s="341"/>
      <c r="G28" s="341"/>
      <c r="H28" s="341"/>
      <c r="I28" s="341"/>
      <c r="J28" s="341"/>
      <c r="K28" s="341"/>
      <c r="L28" s="341"/>
      <c r="M28" s="341"/>
      <c r="N28" s="341"/>
      <c r="O28" s="341"/>
      <c r="P28" s="341"/>
      <c r="Q28" s="42" t="n">
        <v>14</v>
      </c>
    </row>
    <row r="29" customFormat="false" ht="14.25" hidden="false" customHeight="true" outlineLevel="0" collapsed="false">
      <c r="D29" s="409"/>
      <c r="E29" s="96"/>
      <c r="Q29" s="42" t="n">
        <v>14</v>
      </c>
    </row>
    <row r="30" customFormat="false" ht="14.25" hidden="false" customHeight="true" outlineLevel="0" collapsed="false">
      <c r="Q30" s="42" t="n">
        <v>14</v>
      </c>
    </row>
    <row r="31" customFormat="false" ht="14.25" hidden="false" customHeight="true" outlineLevel="0" collapsed="false">
      <c r="Q31" s="42" t="n">
        <v>14</v>
      </c>
    </row>
    <row r="32" customFormat="false" ht="22.5" hidden="true" customHeight="true" outlineLevel="0" collapsed="false">
      <c r="A32" s="50" t="s">
        <v>81</v>
      </c>
      <c r="B32" s="45" t="n">
        <v>0</v>
      </c>
      <c r="C32" s="411" t="n">
        <v>3</v>
      </c>
      <c r="D32" s="42" t="n">
        <v>6</v>
      </c>
      <c r="E32" s="42" t="n">
        <v>64</v>
      </c>
      <c r="F32" s="42" t="n">
        <v>64</v>
      </c>
      <c r="G32" s="42" t="n">
        <v>140</v>
      </c>
      <c r="H32" s="42" t="n">
        <v>10</v>
      </c>
      <c r="I32" s="118" t="n">
        <v>10</v>
      </c>
      <c r="J32" s="118" t="n">
        <v>10</v>
      </c>
      <c r="K32" s="42" t="n">
        <v>10</v>
      </c>
      <c r="L32" s="42" t="n">
        <v>10</v>
      </c>
      <c r="M32" s="42" t="n">
        <v>10</v>
      </c>
      <c r="N32" s="42" t="n">
        <v>10</v>
      </c>
      <c r="O32" s="42" t="n">
        <v>10</v>
      </c>
      <c r="P32" s="42" t="n">
        <v>10</v>
      </c>
      <c r="Q32" s="42" t="n">
        <v>23</v>
      </c>
    </row>
  </sheetData>
  <mergeCells count="7">
    <mergeCell ref="D5:G5"/>
    <mergeCell ref="D6:G6"/>
    <mergeCell ref="D9:F9"/>
    <mergeCell ref="G9:G10"/>
    <mergeCell ref="G14:G15"/>
    <mergeCell ref="G17:G18"/>
    <mergeCell ref="G25:G26"/>
  </mergeCells>
  <dataValidations count="2">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F14 F17:F19 F25:F26"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E14 G14 E17 G17 G21 E25 G25"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M4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51" width="9.14"/>
    <col collapsed="false" customWidth="true" hidden="true" outlineLevel="0" max="2" min="2" style="45" width="9.14"/>
    <col collapsed="false" customWidth="true" hidden="false" outlineLevel="0" max="3" min="3" style="411" width="3"/>
    <col collapsed="false" customWidth="true" hidden="false" outlineLevel="0" max="4" min="4" style="42" width="6"/>
    <col collapsed="false" customWidth="true" hidden="false" outlineLevel="0" max="5" min="5" style="42" width="63"/>
    <col collapsed="false" customWidth="true" hidden="true" outlineLevel="0" max="6" min="6" style="42" width="1.71"/>
    <col collapsed="false" customWidth="true" hidden="false" outlineLevel="0" max="8" min="7" style="42" width="35"/>
    <col collapsed="false" customWidth="true" hidden="false" outlineLevel="0" max="9" min="9" style="42" width="91"/>
    <col collapsed="false" customWidth="true" hidden="false" outlineLevel="0" max="10" min="10" style="42" width="68"/>
    <col collapsed="false" customWidth="true" hidden="false" outlineLevel="0" max="12" min="11" style="118" width="10"/>
    <col collapsed="false" customWidth="false" hidden="true" outlineLevel="0" max="13" min="13" style="42" width="10.57"/>
  </cols>
  <sheetData>
    <row r="1" customFormat="false" ht="22.5" hidden="true" customHeight="true" outlineLevel="0" collapsed="false">
      <c r="M1" s="42" t="s">
        <v>14</v>
      </c>
    </row>
    <row r="2" s="42" customFormat="true" ht="18.75" hidden="true" customHeight="true" outlineLevel="0" collapsed="false">
      <c r="A2" s="54"/>
      <c r="B2" s="45"/>
      <c r="C2" s="721" t="s">
        <v>103</v>
      </c>
      <c r="D2" s="295"/>
      <c r="E2" s="83"/>
      <c r="F2" s="185"/>
      <c r="G2" s="185" t="s">
        <v>319</v>
      </c>
      <c r="H2" s="403"/>
      <c r="K2" s="118"/>
      <c r="L2" s="118"/>
      <c r="M2" s="42" t="n">
        <v>0</v>
      </c>
    </row>
    <row r="3" s="42" customFormat="true" ht="14.25" hidden="true" customHeight="true" outlineLevel="0" collapsed="false">
      <c r="A3" s="51"/>
      <c r="B3" s="45"/>
      <c r="C3" s="411"/>
      <c r="K3" s="118"/>
      <c r="L3" s="118"/>
      <c r="M3" s="42" t="n">
        <v>0</v>
      </c>
    </row>
    <row r="4" s="42" customFormat="true" ht="18.75" hidden="true" customHeight="true" outlineLevel="0" collapsed="false">
      <c r="A4" s="54"/>
      <c r="B4" s="45"/>
      <c r="C4" s="721" t="s">
        <v>103</v>
      </c>
      <c r="D4" s="295"/>
      <c r="E4" s="785" t="s">
        <v>1298</v>
      </c>
      <c r="F4" s="185"/>
      <c r="G4" s="923"/>
      <c r="H4" s="185" t="s">
        <v>319</v>
      </c>
      <c r="K4" s="118"/>
      <c r="L4" s="118"/>
      <c r="M4" s="42" t="n">
        <v>0</v>
      </c>
    </row>
    <row r="5" s="42" customFormat="true" ht="14.25" hidden="true" customHeight="true" outlineLevel="0" collapsed="false">
      <c r="A5" s="51"/>
      <c r="B5" s="45"/>
      <c r="C5" s="411"/>
      <c r="K5" s="118"/>
      <c r="L5" s="118"/>
      <c r="M5" s="42" t="n">
        <v>0</v>
      </c>
    </row>
    <row r="6" s="42" customFormat="true" ht="18.75" hidden="true" customHeight="true" outlineLevel="0" collapsed="false">
      <c r="A6" s="54"/>
      <c r="B6" s="45"/>
      <c r="C6" s="721" t="s">
        <v>103</v>
      </c>
      <c r="D6" s="295"/>
      <c r="E6" s="924" t="s">
        <v>1299</v>
      </c>
      <c r="F6" s="185"/>
      <c r="G6" s="923"/>
      <c r="H6" s="185" t="s">
        <v>319</v>
      </c>
      <c r="K6" s="118"/>
      <c r="L6" s="118"/>
      <c r="M6" s="42" t="n">
        <v>0</v>
      </c>
    </row>
    <row r="7" s="42" customFormat="true" ht="14.25" hidden="true" customHeight="true" outlineLevel="0" collapsed="false">
      <c r="A7" s="51"/>
      <c r="B7" s="45"/>
      <c r="C7" s="411"/>
      <c r="K7" s="118"/>
      <c r="L7" s="118"/>
      <c r="M7" s="42" t="n">
        <v>0</v>
      </c>
    </row>
    <row r="8" s="42" customFormat="true" ht="18.75" hidden="true" customHeight="true" outlineLevel="0" collapsed="false">
      <c r="A8" s="54"/>
      <c r="B8" s="45"/>
      <c r="C8" s="721" t="s">
        <v>103</v>
      </c>
      <c r="D8" s="295"/>
      <c r="E8" s="924" t="s">
        <v>1300</v>
      </c>
      <c r="F8" s="185"/>
      <c r="G8" s="923"/>
      <c r="H8" s="185" t="s">
        <v>319</v>
      </c>
      <c r="K8" s="118"/>
      <c r="L8" s="118"/>
      <c r="M8" s="42" t="n">
        <v>0</v>
      </c>
    </row>
    <row r="9" s="42" customFormat="true" ht="14.25" hidden="true" customHeight="true" outlineLevel="0" collapsed="false">
      <c r="A9" s="51"/>
      <c r="B9" s="45"/>
      <c r="C9" s="411"/>
      <c r="K9" s="118"/>
      <c r="L9" s="118"/>
      <c r="M9" s="42" t="n">
        <v>0</v>
      </c>
    </row>
    <row r="10" s="42" customFormat="true" ht="18.75" hidden="true" customHeight="true" outlineLevel="0" collapsed="false">
      <c r="A10" s="54"/>
      <c r="B10" s="45"/>
      <c r="C10" s="721" t="s">
        <v>103</v>
      </c>
      <c r="D10" s="295"/>
      <c r="E10" s="924" t="s">
        <v>1301</v>
      </c>
      <c r="F10" s="185"/>
      <c r="G10" s="335"/>
      <c r="H10" s="185" t="s">
        <v>319</v>
      </c>
      <c r="K10" s="118"/>
      <c r="L10" s="118" t="s">
        <v>1302</v>
      </c>
      <c r="M10" s="42" t="n">
        <v>0</v>
      </c>
    </row>
    <row r="11" customFormat="false" ht="14.25" hidden="true" customHeight="true" outlineLevel="0" collapsed="false">
      <c r="M11" s="42" t="n">
        <v>0</v>
      </c>
    </row>
    <row r="12" customFormat="false" ht="14.25" hidden="true" customHeight="true" outlineLevel="0" collapsed="false">
      <c r="M12" s="42" t="n">
        <v>0</v>
      </c>
    </row>
    <row r="13" customFormat="false" ht="14.25" hidden="false" customHeight="true" outlineLevel="0" collapsed="false">
      <c r="C13" s="464"/>
      <c r="D13" s="80"/>
      <c r="E13" s="80"/>
      <c r="F13" s="80"/>
      <c r="G13" s="80"/>
      <c r="H13" s="723"/>
      <c r="I13" s="723"/>
      <c r="M13" s="42" t="n">
        <v>14</v>
      </c>
    </row>
    <row r="14" customFormat="false" ht="29.25" hidden="false" customHeight="true" outlineLevel="0" collapsed="false">
      <c r="C14" s="464"/>
      <c r="D14" s="220" t="str">
        <f aca="false">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0"/>
      <c r="F14" s="220"/>
      <c r="G14" s="220"/>
      <c r="H14" s="220"/>
      <c r="M14" s="42" t="n">
        <v>28</v>
      </c>
    </row>
    <row r="15" s="42" customFormat="true" ht="14.25" hidden="false" customHeight="true" outlineLevel="0" collapsed="false">
      <c r="A15" s="51"/>
      <c r="B15" s="45"/>
      <c r="C15" s="464"/>
      <c r="D15" s="261" t="str">
        <f aca="false">IF(org=0,"Не определено",org)</f>
        <v>ООО "Газпром теплоэнерго Ярославль"</v>
      </c>
      <c r="E15" s="261"/>
      <c r="F15" s="261"/>
      <c r="G15" s="261"/>
      <c r="H15" s="261"/>
      <c r="J15" s="311"/>
      <c r="K15" s="118"/>
      <c r="L15" s="118"/>
      <c r="M15" s="42" t="n">
        <v>14</v>
      </c>
    </row>
    <row r="16" customFormat="false" ht="14.25" hidden="false" customHeight="true" outlineLevel="0" collapsed="false">
      <c r="C16" s="464"/>
      <c r="D16" s="80"/>
      <c r="E16" s="72"/>
      <c r="F16" s="72"/>
      <c r="G16" s="72"/>
      <c r="H16" s="292"/>
      <c r="I16" s="724"/>
      <c r="M16" s="42" t="n">
        <v>14</v>
      </c>
    </row>
    <row r="17" s="42" customFormat="true" ht="14.25" hidden="true" customHeight="true" outlineLevel="0" collapsed="false">
      <c r="A17" s="51"/>
      <c r="B17" s="45"/>
      <c r="C17" s="464"/>
      <c r="D17" s="80"/>
      <c r="E17" s="72"/>
      <c r="F17" s="72"/>
      <c r="G17" s="72"/>
      <c r="H17" s="292"/>
      <c r="I17" s="724"/>
      <c r="K17" s="118"/>
      <c r="L17" s="118"/>
      <c r="M17" s="42" t="n">
        <v>0</v>
      </c>
    </row>
    <row r="18" customFormat="false" ht="21.75" hidden="false" customHeight="true" outlineLevel="0" collapsed="false">
      <c r="C18" s="464"/>
      <c r="D18" s="391" t="s">
        <v>313</v>
      </c>
      <c r="E18" s="391"/>
      <c r="F18" s="391"/>
      <c r="G18" s="391"/>
      <c r="H18" s="391"/>
      <c r="I18" s="725" t="s">
        <v>314</v>
      </c>
      <c r="M18" s="42" t="n">
        <v>21</v>
      </c>
    </row>
    <row r="19" customFormat="false" ht="21.75" hidden="false" customHeight="true" outlineLevel="0" collapsed="false">
      <c r="C19" s="464"/>
      <c r="D19" s="391" t="s">
        <v>87</v>
      </c>
      <c r="E19" s="185" t="s">
        <v>315</v>
      </c>
      <c r="F19" s="185"/>
      <c r="G19" s="185" t="s">
        <v>316</v>
      </c>
      <c r="H19" s="185" t="s">
        <v>403</v>
      </c>
      <c r="I19" s="725"/>
      <c r="M19" s="42" t="n">
        <v>21</v>
      </c>
    </row>
    <row r="20" customFormat="false" ht="12" hidden="true" customHeight="true" outlineLevel="0" collapsed="false">
      <c r="C20" s="464"/>
      <c r="D20" s="363"/>
      <c r="E20" s="363"/>
      <c r="F20" s="363"/>
      <c r="G20" s="363"/>
      <c r="H20" s="363"/>
      <c r="I20" s="363"/>
      <c r="M20" s="42" t="n">
        <v>0</v>
      </c>
    </row>
    <row r="21" customFormat="false" ht="14.25" hidden="false" customHeight="true" outlineLevel="0" collapsed="false">
      <c r="A21" s="54"/>
      <c r="C21" s="464"/>
      <c r="D21" s="295" t="n">
        <v>1</v>
      </c>
      <c r="E21" s="726" t="s">
        <v>1303</v>
      </c>
      <c r="F21" s="726"/>
      <c r="G21" s="726"/>
      <c r="H21" s="726"/>
      <c r="I21" s="722"/>
      <c r="M21" s="42" t="n">
        <v>14</v>
      </c>
    </row>
    <row r="22" customFormat="false" ht="21" hidden="false" customHeight="true" outlineLevel="0" collapsed="false">
      <c r="A22" s="54"/>
      <c r="C22" s="464"/>
      <c r="D22" s="295" t="s">
        <v>1191</v>
      </c>
      <c r="E22" s="916" t="s">
        <v>1304</v>
      </c>
      <c r="F22" s="185"/>
      <c r="G22" s="925"/>
      <c r="H22" s="185" t="s">
        <v>319</v>
      </c>
      <c r="I22" s="417" t="s">
        <v>1305</v>
      </c>
      <c r="M22" s="42" t="n">
        <v>20</v>
      </c>
    </row>
    <row r="23" customFormat="false" ht="60" hidden="false" customHeight="true" outlineLevel="0" collapsed="false">
      <c r="A23" s="54"/>
      <c r="C23" s="464"/>
      <c r="D23" s="295" t="s">
        <v>1193</v>
      </c>
      <c r="E23" s="785" t="s">
        <v>1306</v>
      </c>
      <c r="F23" s="185"/>
      <c r="G23" s="923"/>
      <c r="H23" s="403"/>
      <c r="I23" s="232" t="s">
        <v>1307</v>
      </c>
      <c r="M23" s="42" t="n">
        <v>57</v>
      </c>
    </row>
    <row r="24" customFormat="false" ht="14.25" hidden="false" customHeight="true" outlineLevel="0" collapsed="false">
      <c r="A24" s="54"/>
      <c r="B24" s="45" t="n">
        <v>3</v>
      </c>
      <c r="C24" s="464"/>
      <c r="D24" s="295" t="n">
        <v>2</v>
      </c>
      <c r="E24" s="726" t="str">
        <f aca="false">"Форма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5"/>
      <c r="G24" s="185" t="s">
        <v>319</v>
      </c>
      <c r="H24" s="403"/>
      <c r="I24" s="283" t="s">
        <v>662</v>
      </c>
      <c r="M24" s="42" t="n">
        <v>14</v>
      </c>
    </row>
    <row r="25" customFormat="false" ht="48" hidden="false" customHeight="true" outlineLevel="0" collapsed="false">
      <c r="A25" s="54"/>
      <c r="C25" s="464"/>
      <c r="D25" s="295" t="n">
        <v>3</v>
      </c>
      <c r="E25" s="726" t="str">
        <f aca="false">"Перечень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726"/>
      <c r="G25" s="726"/>
      <c r="H25" s="726"/>
      <c r="I25" s="722"/>
      <c r="M25" s="42" t="n">
        <v>46</v>
      </c>
    </row>
    <row r="26" customFormat="false" ht="14.25" hidden="false" customHeight="true" outlineLevel="0" collapsed="false">
      <c r="A26" s="54"/>
      <c r="C26" s="464"/>
      <c r="D26" s="295" t="s">
        <v>337</v>
      </c>
      <c r="E26" s="83"/>
      <c r="F26" s="185"/>
      <c r="G26" s="185" t="s">
        <v>319</v>
      </c>
      <c r="H26" s="403"/>
      <c r="I26" s="232" t="s">
        <v>1308</v>
      </c>
      <c r="M26" s="42" t="n">
        <v>14</v>
      </c>
    </row>
    <row r="27" customFormat="false" ht="15.75" hidden="false" customHeight="true" outlineLevel="0" collapsed="false">
      <c r="A27" s="54" t="s">
        <v>120</v>
      </c>
      <c r="C27" s="464"/>
      <c r="D27" s="727"/>
      <c r="E27" s="161" t="s">
        <v>335</v>
      </c>
      <c r="F27" s="219"/>
      <c r="G27" s="219"/>
      <c r="H27" s="728"/>
      <c r="I27" s="232"/>
      <c r="M27" s="42" t="n">
        <v>15</v>
      </c>
    </row>
    <row r="28" customFormat="false" ht="39.75" hidden="false" customHeight="true" outlineLevel="0" collapsed="false">
      <c r="A28" s="54"/>
      <c r="B28" s="45" t="n">
        <v>3</v>
      </c>
      <c r="C28" s="464"/>
      <c r="D28" s="295" t="n">
        <v>4</v>
      </c>
      <c r="E28" s="726" t="str">
        <f aca="false">"Реквизиты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726"/>
      <c r="G28" s="726"/>
      <c r="H28" s="726"/>
      <c r="I28" s="722"/>
      <c r="M28" s="42" t="n">
        <v>38</v>
      </c>
    </row>
    <row r="29" customFormat="false" ht="21" hidden="false" customHeight="true" outlineLevel="0" collapsed="false">
      <c r="A29" s="54"/>
      <c r="C29" s="464"/>
      <c r="D29" s="295" t="s">
        <v>784</v>
      </c>
      <c r="E29" s="785" t="s">
        <v>1298</v>
      </c>
      <c r="F29" s="185"/>
      <c r="G29" s="923"/>
      <c r="H29" s="185" t="s">
        <v>319</v>
      </c>
      <c r="I29" s="232" t="s">
        <v>1309</v>
      </c>
      <c r="M29" s="42" t="n">
        <v>20</v>
      </c>
    </row>
    <row r="30" customFormat="false" ht="15.75" hidden="false" customHeight="true" outlineLevel="0" collapsed="false">
      <c r="A30" s="54" t="s">
        <v>102</v>
      </c>
      <c r="C30" s="464"/>
      <c r="D30" s="727"/>
      <c r="E30" s="161" t="s">
        <v>335</v>
      </c>
      <c r="F30" s="219"/>
      <c r="G30" s="219"/>
      <c r="H30" s="728"/>
      <c r="I30" s="232"/>
      <c r="M30" s="42" t="n">
        <v>15</v>
      </c>
    </row>
    <row r="31" customFormat="false" ht="31.5" hidden="false" customHeight="true" outlineLevel="0" collapsed="false">
      <c r="A31" s="54"/>
      <c r="B31" s="45" t="n">
        <v>3</v>
      </c>
      <c r="C31" s="464"/>
      <c r="D31" s="295" t="n">
        <v>5</v>
      </c>
      <c r="E31" s="726" t="str">
        <f aca="fals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726"/>
      <c r="G31" s="726"/>
      <c r="H31" s="726"/>
      <c r="I31" s="722"/>
      <c r="M31" s="42" t="n">
        <v>30</v>
      </c>
    </row>
    <row r="32" customFormat="false" ht="27" hidden="false" customHeight="true" outlineLevel="0" collapsed="false">
      <c r="A32" s="54"/>
      <c r="C32" s="464"/>
      <c r="D32" s="295" t="s">
        <v>326</v>
      </c>
      <c r="E32" s="916" t="str">
        <f aca="false">"телефоны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916"/>
      <c r="G32" s="916"/>
      <c r="H32" s="916"/>
      <c r="I32" s="722"/>
      <c r="M32" s="42" t="n">
        <v>26</v>
      </c>
    </row>
    <row r="33" customFormat="false" ht="14.25" hidden="false" customHeight="true" outlineLevel="0" collapsed="false">
      <c r="A33" s="54"/>
      <c r="C33" s="464"/>
      <c r="D33" s="295" t="s">
        <v>1310</v>
      </c>
      <c r="E33" s="924" t="s">
        <v>1299</v>
      </c>
      <c r="F33" s="185"/>
      <c r="G33" s="923"/>
      <c r="H33" s="185" t="s">
        <v>319</v>
      </c>
      <c r="I33" s="232" t="s">
        <v>1311</v>
      </c>
      <c r="M33" s="42" t="n">
        <v>14</v>
      </c>
    </row>
    <row r="34" customFormat="false" ht="15.75" hidden="false" customHeight="true" outlineLevel="0" collapsed="false">
      <c r="A34" s="54" t="s">
        <v>89</v>
      </c>
      <c r="C34" s="464"/>
      <c r="D34" s="727"/>
      <c r="E34" s="219" t="s">
        <v>335</v>
      </c>
      <c r="F34" s="578"/>
      <c r="G34" s="578"/>
      <c r="H34" s="728"/>
      <c r="I34" s="232"/>
      <c r="M34" s="42" t="n">
        <v>15</v>
      </c>
    </row>
    <row r="35" customFormat="false" ht="24.75" hidden="false" customHeight="true" outlineLevel="0" collapsed="false">
      <c r="A35" s="54"/>
      <c r="C35" s="464"/>
      <c r="D35" s="295" t="s">
        <v>913</v>
      </c>
      <c r="E35" s="916" t="str">
        <f aca="false">"адреса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916"/>
      <c r="G35" s="916"/>
      <c r="H35" s="916"/>
      <c r="I35" s="722"/>
      <c r="M35" s="42" t="n">
        <v>24</v>
      </c>
    </row>
    <row r="36" customFormat="false" ht="14.25" hidden="false" customHeight="true" outlineLevel="0" collapsed="false">
      <c r="A36" s="54"/>
      <c r="C36" s="464"/>
      <c r="D36" s="295" t="s">
        <v>1312</v>
      </c>
      <c r="E36" s="924" t="s">
        <v>1300</v>
      </c>
      <c r="F36" s="185"/>
      <c r="G36" s="923"/>
      <c r="H36" s="185" t="s">
        <v>319</v>
      </c>
      <c r="I36" s="232" t="s">
        <v>1313</v>
      </c>
      <c r="M36" s="42" t="n">
        <v>14</v>
      </c>
    </row>
    <row r="37" customFormat="false" ht="15.75" hidden="false" customHeight="true" outlineLevel="0" collapsed="false">
      <c r="A37" s="54" t="s">
        <v>90</v>
      </c>
      <c r="C37" s="464"/>
      <c r="D37" s="727"/>
      <c r="E37" s="219" t="s">
        <v>335</v>
      </c>
      <c r="F37" s="578"/>
      <c r="G37" s="578"/>
      <c r="H37" s="728"/>
      <c r="I37" s="232"/>
      <c r="M37" s="42" t="n">
        <v>15</v>
      </c>
    </row>
    <row r="38" customFormat="false" ht="27" hidden="false" customHeight="true" outlineLevel="0" collapsed="false">
      <c r="A38" s="54"/>
      <c r="C38" s="464"/>
      <c r="D38" s="295" t="s">
        <v>914</v>
      </c>
      <c r="E38" s="916" t="str">
        <f aca="false">"график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916"/>
      <c r="G38" s="916"/>
      <c r="H38" s="916"/>
      <c r="I38" s="722"/>
      <c r="M38" s="42" t="n">
        <v>26</v>
      </c>
    </row>
    <row r="39" customFormat="false" ht="14.25" hidden="false" customHeight="true" outlineLevel="0" collapsed="false">
      <c r="A39" s="54"/>
      <c r="C39" s="464"/>
      <c r="D39" s="295" t="s">
        <v>915</v>
      </c>
      <c r="E39" s="924" t="s">
        <v>1301</v>
      </c>
      <c r="F39" s="185"/>
      <c r="G39" s="335"/>
      <c r="H39" s="185" t="s">
        <v>319</v>
      </c>
      <c r="I39" s="232" t="s">
        <v>1314</v>
      </c>
      <c r="L39" s="118" t="s">
        <v>1302</v>
      </c>
      <c r="M39" s="42" t="n">
        <v>14</v>
      </c>
    </row>
    <row r="40" customFormat="false" ht="15.75" hidden="false" customHeight="true" outlineLevel="0" collapsed="false">
      <c r="A40" s="54" t="s">
        <v>121</v>
      </c>
      <c r="C40" s="464"/>
      <c r="D40" s="727"/>
      <c r="E40" s="219" t="s">
        <v>335</v>
      </c>
      <c r="F40" s="578"/>
      <c r="G40" s="578"/>
      <c r="H40" s="728"/>
      <c r="I40" s="232"/>
      <c r="M40" s="42" t="n">
        <v>15</v>
      </c>
    </row>
    <row r="41" s="132" customFormat="true" ht="3" hidden="false" customHeight="true" outlineLevel="0" collapsed="false">
      <c r="A41" s="54"/>
      <c r="K41" s="156"/>
      <c r="L41" s="156"/>
      <c r="M41" s="132" t="n">
        <v>3</v>
      </c>
    </row>
    <row r="42" customFormat="false" ht="26.25" hidden="false" customHeight="true" outlineLevel="0" collapsed="false">
      <c r="D42" s="409" t="s">
        <v>834</v>
      </c>
      <c r="E42" s="926" t="str">
        <f aca="false">"Информация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926"/>
      <c r="G42" s="926"/>
      <c r="H42" s="926"/>
      <c r="I42" s="926"/>
      <c r="M42" s="42" t="n">
        <v>25</v>
      </c>
    </row>
    <row r="43" customFormat="false" ht="22.5" hidden="true" customHeight="true" outlineLevel="0" collapsed="false">
      <c r="A43" s="51" t="s">
        <v>81</v>
      </c>
      <c r="B43" s="45" t="n">
        <v>0</v>
      </c>
      <c r="C43" s="411" t="n">
        <v>3</v>
      </c>
      <c r="D43" s="42" t="n">
        <v>6</v>
      </c>
      <c r="E43" s="42" t="n">
        <v>63</v>
      </c>
      <c r="F43" s="42" t="n">
        <v>0</v>
      </c>
      <c r="G43" s="42" t="n">
        <v>35</v>
      </c>
      <c r="H43" s="42" t="n">
        <v>35</v>
      </c>
      <c r="I43" s="42" t="n">
        <v>91</v>
      </c>
      <c r="J43" s="42" t="n">
        <v>68</v>
      </c>
      <c r="K43" s="118" t="n">
        <v>10</v>
      </c>
      <c r="L43" s="118" t="n">
        <v>10</v>
      </c>
      <c r="M43" s="42" t="n">
        <v>23</v>
      </c>
    </row>
  </sheetData>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2"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E2 I2 E4 G4 I4 E6 G6 I6 E8 G8 I8 E10 I10 E23 G23 I23:I24 E26 I26 E29 G29 I29 E33 G33 I33 E36 G36 I36 E39 I39"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2 H23:H24 H26"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G10 G39" type="list">
      <formula1>"a"</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H3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2" min="1" style="11" width="25.14"/>
    <col collapsed="false" customWidth="true" hidden="true" outlineLevel="0" max="3" min="3" style="341" width="9.14"/>
    <col collapsed="false" customWidth="true" hidden="false" outlineLevel="0" max="4" min="4" style="411" width="3"/>
    <col collapsed="false" customWidth="true" hidden="false" outlineLevel="0" max="5" min="5" style="42" width="6"/>
    <col collapsed="false" customWidth="true" hidden="false" outlineLevel="0" max="6" min="6" style="42" width="46.71"/>
    <col collapsed="false" customWidth="true" hidden="false" outlineLevel="0" max="7" min="7" style="42" width="35"/>
    <col collapsed="false" customWidth="true" hidden="false" outlineLevel="0" max="8" min="8" style="42" width="3"/>
    <col collapsed="false" customWidth="true" hidden="false" outlineLevel="0" max="10" min="9" style="42" width="11"/>
    <col collapsed="false" customWidth="true" hidden="false" outlineLevel="0" max="12" min="11" style="42" width="35"/>
    <col collapsed="false" customWidth="true" hidden="false" outlineLevel="0" max="13" min="13" style="42" width="84"/>
    <col collapsed="false" customWidth="true" hidden="false" outlineLevel="0" max="14" min="14" style="42" width="10"/>
    <col collapsed="false" customWidth="true" hidden="false" outlineLevel="0" max="16" min="15" style="118" width="10"/>
    <col collapsed="false" customWidth="true" hidden="false" outlineLevel="0" max="33" min="17" style="42" width="10"/>
    <col collapsed="false" customWidth="false" hidden="true" outlineLevel="0" max="34" min="34" style="42" width="10.57"/>
  </cols>
  <sheetData>
    <row r="1" s="42" customFormat="true" ht="22.5" hidden="true" customHeight="true" outlineLevel="0" collapsed="false">
      <c r="A1" s="11"/>
      <c r="B1" s="11"/>
      <c r="C1" s="341"/>
      <c r="D1" s="411"/>
      <c r="N1" s="47" t="n">
        <f aca="false">_xlfn.iferror(MATCH("метод экономически обоснованных расходов (затрат)",OFFER_METHOD,0),0)</f>
        <v>0</v>
      </c>
      <c r="O1" s="118"/>
      <c r="P1" s="118"/>
      <c r="T1" s="109"/>
      <c r="AG1" s="720"/>
      <c r="AH1" s="42" t="s">
        <v>14</v>
      </c>
    </row>
    <row r="2" s="42" customFormat="true" ht="18.75" hidden="true" customHeight="true" outlineLevel="0" collapsed="false">
      <c r="A2" s="132" t="s">
        <v>170</v>
      </c>
      <c r="B2" s="132" t="s">
        <v>171</v>
      </c>
      <c r="C2" s="341"/>
      <c r="D2" s="411"/>
      <c r="E2" s="477"/>
      <c r="F2" s="477"/>
      <c r="G2" s="860" t="str">
        <f aca="false">INDEX(PT_DIFFERENTIATION_NTAR,MATCH(B2,PT_DIFFERENTIATION_NTAR_ID,0))</f>
        <v/>
      </c>
      <c r="H2" s="358"/>
      <c r="I2" s="927"/>
      <c r="J2" s="928"/>
      <c r="K2" s="431"/>
      <c r="L2" s="358" t="s">
        <v>319</v>
      </c>
      <c r="M2" s="929"/>
      <c r="N2" s="676"/>
      <c r="O2" s="118"/>
      <c r="P2" s="118"/>
      <c r="AH2" s="42" t="n">
        <v>0</v>
      </c>
    </row>
    <row r="3" s="42" customFormat="true" ht="18.75" hidden="true" customHeight="true" outlineLevel="0" collapsed="false">
      <c r="A3" s="132"/>
      <c r="B3" s="132"/>
      <c r="C3" s="341" t="s">
        <v>1315</v>
      </c>
      <c r="D3" s="411"/>
      <c r="E3" s="477"/>
      <c r="F3" s="477"/>
      <c r="G3" s="860"/>
      <c r="H3" s="596"/>
      <c r="I3" s="168" t="s">
        <v>1316</v>
      </c>
      <c r="J3" s="219"/>
      <c r="K3" s="596"/>
      <c r="L3" s="728"/>
      <c r="M3" s="929"/>
      <c r="N3" s="676"/>
      <c r="O3" s="118"/>
      <c r="P3" s="118"/>
      <c r="AH3" s="42" t="n">
        <v>0</v>
      </c>
    </row>
    <row r="4" s="42" customFormat="true" ht="14.25" hidden="true" customHeight="true" outlineLevel="0" collapsed="false">
      <c r="A4" s="11"/>
      <c r="B4" s="11"/>
      <c r="C4" s="341"/>
      <c r="D4" s="411"/>
      <c r="N4" s="47" t="n">
        <f aca="false">_xlfn.iferror(MATCH("метод экономически обоснованных расходов (затрат)",OFFER_METHOD,0),0)</f>
        <v>0</v>
      </c>
      <c r="O4" s="118"/>
      <c r="P4" s="118"/>
      <c r="T4" s="109"/>
      <c r="AG4" s="720"/>
      <c r="AH4" s="42" t="n">
        <v>0</v>
      </c>
    </row>
    <row r="5" s="42" customFormat="true" ht="18.75" hidden="true" customHeight="true" outlineLevel="0" collapsed="false">
      <c r="A5" s="132" t="s">
        <v>170</v>
      </c>
      <c r="B5" s="132" t="s">
        <v>171</v>
      </c>
      <c r="C5" s="341"/>
      <c r="D5" s="411"/>
      <c r="E5" s="477"/>
      <c r="F5" s="477"/>
      <c r="G5" s="860" t="str">
        <f aca="false">INDEX(PT_DIFFERENTIATION_NTAR,MATCH(B5,PT_DIFFERENTIATION_NTAR_ID,0))</f>
        <v/>
      </c>
      <c r="H5" s="358"/>
      <c r="I5" s="927"/>
      <c r="J5" s="928"/>
      <c r="K5" s="371"/>
      <c r="L5" s="358" t="s">
        <v>319</v>
      </c>
      <c r="M5" s="929"/>
      <c r="N5" s="676"/>
      <c r="O5" s="118"/>
      <c r="P5" s="118"/>
      <c r="AH5" s="42" t="n">
        <v>0</v>
      </c>
    </row>
    <row r="6" s="42" customFormat="true" ht="18.75" hidden="true" customHeight="true" outlineLevel="0" collapsed="false">
      <c r="A6" s="132"/>
      <c r="B6" s="132"/>
      <c r="C6" s="341" t="s">
        <v>1317</v>
      </c>
      <c r="D6" s="411"/>
      <c r="E6" s="477"/>
      <c r="F6" s="477"/>
      <c r="G6" s="860"/>
      <c r="H6" s="596"/>
      <c r="I6" s="168" t="s">
        <v>1316</v>
      </c>
      <c r="J6" s="219"/>
      <c r="K6" s="596"/>
      <c r="L6" s="728"/>
      <c r="M6" s="929"/>
      <c r="N6" s="676"/>
      <c r="O6" s="118"/>
      <c r="P6" s="118"/>
      <c r="AH6" s="42" t="n">
        <v>0</v>
      </c>
    </row>
    <row r="7" s="42" customFormat="true" ht="14.25" hidden="true" customHeight="true" outlineLevel="0" collapsed="false">
      <c r="A7" s="11"/>
      <c r="B7" s="11"/>
      <c r="C7" s="341"/>
      <c r="D7" s="411"/>
      <c r="N7" s="47" t="n">
        <f aca="false">_xlfn.iferror(MATCH("метод экономически обоснованных расходов (затрат)",OFFER_METHOD,0),0)</f>
        <v>0</v>
      </c>
      <c r="O7" s="118"/>
      <c r="P7" s="118"/>
      <c r="T7" s="109"/>
      <c r="AG7" s="720"/>
      <c r="AH7" s="42" t="n">
        <v>0</v>
      </c>
    </row>
    <row r="8" s="42" customFormat="true" ht="56.25" hidden="true" customHeight="true" outlineLevel="0" collapsed="false">
      <c r="A8" s="132"/>
      <c r="B8" s="132"/>
      <c r="C8" s="341"/>
      <c r="D8" s="411"/>
      <c r="E8" s="477"/>
      <c r="F8" s="477"/>
      <c r="G8" s="477"/>
      <c r="H8" s="358"/>
      <c r="I8" s="927"/>
      <c r="J8" s="928"/>
      <c r="K8" s="431"/>
      <c r="L8" s="358" t="s">
        <v>319</v>
      </c>
      <c r="M8" s="929"/>
      <c r="N8" s="676"/>
      <c r="O8" s="118"/>
      <c r="P8" s="118"/>
      <c r="AH8" s="42" t="n">
        <v>0</v>
      </c>
    </row>
    <row r="9" customFormat="false" ht="14.25" hidden="true" customHeight="true" outlineLevel="0" collapsed="false">
      <c r="T9" s="109"/>
      <c r="AG9" s="720"/>
      <c r="AH9" s="42" t="n">
        <v>0</v>
      </c>
    </row>
    <row r="10" s="42" customFormat="true" ht="56.25" hidden="true" customHeight="true" outlineLevel="0" collapsed="false">
      <c r="A10" s="132"/>
      <c r="B10" s="132"/>
      <c r="C10" s="341"/>
      <c r="D10" s="411"/>
      <c r="E10" s="477"/>
      <c r="F10" s="477"/>
      <c r="G10" s="477"/>
      <c r="H10" s="185"/>
      <c r="I10" s="927"/>
      <c r="J10" s="928"/>
      <c r="K10" s="371"/>
      <c r="L10" s="358" t="s">
        <v>319</v>
      </c>
      <c r="M10" s="929"/>
      <c r="N10" s="676"/>
      <c r="O10" s="118"/>
      <c r="P10" s="118"/>
      <c r="AH10" s="42" t="n">
        <v>0</v>
      </c>
    </row>
    <row r="11" customFormat="false" ht="14.25" hidden="true" customHeight="true" outlineLevel="0" collapsed="false">
      <c r="AH11" s="42" t="n">
        <v>0</v>
      </c>
    </row>
    <row r="12" customFormat="false" ht="14.25" hidden="true" customHeight="true" outlineLevel="0" collapsed="false">
      <c r="AH12" s="42" t="n">
        <v>0</v>
      </c>
    </row>
    <row r="13" customFormat="false" ht="6" hidden="false" customHeight="true" outlineLevel="0" collapsed="false">
      <c r="D13" s="464"/>
      <c r="E13" s="80"/>
      <c r="F13" s="80"/>
      <c r="G13" s="80"/>
      <c r="H13" s="80"/>
      <c r="I13" s="80"/>
      <c r="J13" s="80"/>
      <c r="K13" s="80"/>
      <c r="L13" s="723"/>
      <c r="M13" s="723"/>
      <c r="AH13" s="42" t="n">
        <v>6</v>
      </c>
    </row>
    <row r="14" customFormat="false" ht="14.25" hidden="false" customHeight="true" outlineLevel="0" collapsed="false">
      <c r="D14" s="464"/>
      <c r="E14" s="930" t="str">
        <f aca="false">"Форма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930"/>
      <c r="G14" s="930"/>
      <c r="H14" s="930"/>
      <c r="I14" s="930"/>
      <c r="J14" s="930"/>
      <c r="K14" s="930"/>
      <c r="L14" s="930"/>
      <c r="M14" s="222"/>
      <c r="AH14" s="42" t="n">
        <v>14</v>
      </c>
    </row>
    <row r="15" customFormat="false" ht="6" hidden="false" customHeight="true" outlineLevel="0" collapsed="false">
      <c r="D15" s="464"/>
      <c r="E15" s="80"/>
      <c r="F15" s="72"/>
      <c r="G15" s="72"/>
      <c r="H15" s="72"/>
      <c r="I15" s="72"/>
      <c r="J15" s="72"/>
      <c r="K15" s="72"/>
      <c r="L15" s="466"/>
      <c r="M15" s="724"/>
      <c r="AH15" s="42" t="n">
        <v>6</v>
      </c>
    </row>
    <row r="16" customFormat="false" ht="24" hidden="false" customHeight="true" outlineLevel="0" collapsed="false">
      <c r="D16" s="464"/>
      <c r="E16" s="80"/>
      <c r="F16" s="931" t="str">
        <f aca="false">"Дата подачи заявления об "&amp;IF(TITLE_DATE_PR_CHANGE="","утверждении","изменении")&amp;" тарифов"</f>
        <v>Дата подачи заявления об утверждении тарифов</v>
      </c>
      <c r="G16" s="471" t="str">
        <f aca="false">IF(TITLE_DATE_PR_CHANGE="",IF(TITLE_DATE_PR="","",TITLE_DATE_PR),TITLE_DATE_PR_CHANGE)</f>
        <v/>
      </c>
      <c r="H16" s="471"/>
      <c r="I16" s="471"/>
      <c r="J16" s="471"/>
      <c r="K16" s="471"/>
      <c r="L16" s="471"/>
      <c r="M16" s="676"/>
      <c r="AH16" s="42" t="n">
        <v>23</v>
      </c>
    </row>
    <row r="17" customFormat="false" ht="24" hidden="false" customHeight="true" outlineLevel="0" collapsed="false">
      <c r="D17" s="464"/>
      <c r="E17" s="80"/>
      <c r="F17" s="931" t="str">
        <f aca="false">"Номер подачи заявления об "&amp;IF(TITLE_DATE_PR_CHANGE="","утверждении","изменении")&amp;" тарифов"</f>
        <v>Номер подачи заявления об утверждении тарифов</v>
      </c>
      <c r="G17" s="469" t="str">
        <f aca="false">IF(TITLE_NUMBER_PR_CHANGE="",IF(TITLE_NUMBER_PR="","",TITLE_NUMBER_PR),TITLE_NUMBER_PR_CHANGE)</f>
        <v/>
      </c>
      <c r="H17" s="469"/>
      <c r="I17" s="469"/>
      <c r="J17" s="469"/>
      <c r="K17" s="469"/>
      <c r="L17" s="469"/>
      <c r="M17" s="676"/>
      <c r="AH17" s="42" t="n">
        <v>23</v>
      </c>
    </row>
    <row r="18" customFormat="false" ht="14.25" hidden="false" customHeight="true" outlineLevel="0" collapsed="false">
      <c r="D18" s="464"/>
      <c r="E18" s="80"/>
      <c r="F18" s="72"/>
      <c r="G18" s="72"/>
      <c r="H18" s="72"/>
      <c r="I18" s="72"/>
      <c r="J18" s="72"/>
      <c r="K18" s="72"/>
      <c r="L18" s="292"/>
      <c r="M18" s="724"/>
      <c r="AH18" s="42" t="n">
        <v>14</v>
      </c>
    </row>
    <row r="19" customFormat="false" ht="21.75" hidden="false" customHeight="true" outlineLevel="0" collapsed="false">
      <c r="D19" s="464"/>
      <c r="E19" s="391" t="s">
        <v>313</v>
      </c>
      <c r="F19" s="391"/>
      <c r="G19" s="391"/>
      <c r="H19" s="391"/>
      <c r="I19" s="391"/>
      <c r="J19" s="391"/>
      <c r="K19" s="391"/>
      <c r="L19" s="391"/>
      <c r="M19" s="725" t="s">
        <v>314</v>
      </c>
      <c r="AH19" s="42" t="n">
        <v>21</v>
      </c>
    </row>
    <row r="20" customFormat="false" ht="21.75" hidden="false" customHeight="true" outlineLevel="0" collapsed="false">
      <c r="D20" s="464"/>
      <c r="E20" s="391" t="s">
        <v>87</v>
      </c>
      <c r="F20" s="355" t="s">
        <v>137</v>
      </c>
      <c r="G20" s="355" t="s">
        <v>138</v>
      </c>
      <c r="H20" s="391" t="s">
        <v>1318</v>
      </c>
      <c r="I20" s="391"/>
      <c r="J20" s="391"/>
      <c r="K20" s="355" t="s">
        <v>316</v>
      </c>
      <c r="L20" s="355" t="s">
        <v>403</v>
      </c>
      <c r="M20" s="725"/>
      <c r="AH20" s="42" t="n">
        <v>21</v>
      </c>
    </row>
    <row r="21" customFormat="false" ht="21.75" hidden="false" customHeight="true" outlineLevel="0" collapsed="false">
      <c r="D21" s="464"/>
      <c r="E21" s="391"/>
      <c r="F21" s="355"/>
      <c r="G21" s="355"/>
      <c r="H21" s="185" t="s">
        <v>1319</v>
      </c>
      <c r="I21" s="185"/>
      <c r="J21" s="185" t="s">
        <v>1320</v>
      </c>
      <c r="K21" s="355"/>
      <c r="L21" s="355"/>
      <c r="M21" s="725"/>
      <c r="AH21" s="42" t="n">
        <v>21</v>
      </c>
    </row>
    <row r="22" customFormat="false" ht="12.75" hidden="false" customHeight="true" outlineLevel="0" collapsed="false">
      <c r="D22" s="464"/>
      <c r="E22" s="363"/>
      <c r="F22" s="363"/>
      <c r="G22" s="363"/>
      <c r="H22" s="932"/>
      <c r="I22" s="932"/>
      <c r="J22" s="363"/>
      <c r="K22" s="363"/>
      <c r="L22" s="363"/>
      <c r="M22" s="363"/>
      <c r="AH22" s="42" t="n">
        <v>12</v>
      </c>
    </row>
    <row r="23" customFormat="false" ht="19.5" hidden="false" customHeight="true" outlineLevel="0" collapsed="false">
      <c r="A23" s="132"/>
      <c r="B23" s="132"/>
      <c r="D23" s="464"/>
      <c r="E23" s="933" t="s">
        <v>120</v>
      </c>
      <c r="F23" s="934" t="str">
        <f aca="false">"Предлагаемый метод регулирования"&amp;IF(TEMPLATE_SPHERE="HEAT"," в сфере "&amp;TEMPLATE_SPHERE_RUS,"")</f>
        <v>Предлагаемый метод регулирования в сфере теплоснабжения</v>
      </c>
      <c r="G23" s="934"/>
      <c r="H23" s="934"/>
      <c r="I23" s="934"/>
      <c r="J23" s="934"/>
      <c r="K23" s="934" t="s">
        <v>319</v>
      </c>
      <c r="L23" s="934"/>
      <c r="M23" s="283"/>
      <c r="N23" s="676"/>
      <c r="AH23" s="42" t="n">
        <v>19</v>
      </c>
    </row>
    <row r="24" customFormat="false" ht="60.75" hidden="true" customHeight="true" outlineLevel="0" collapsed="false">
      <c r="A24" s="132" t="s">
        <v>170</v>
      </c>
      <c r="B24" s="132" t="s">
        <v>171</v>
      </c>
      <c r="D24" s="935"/>
      <c r="E24" s="295"/>
      <c r="F24" s="936" t="str">
        <f aca="false">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860" t="str">
        <f aca="false">INDEX(PT_DIFFERENTIATION_NTAR,MATCH(B24,PT_DIFFERENTIATION_NTAR_ID,0))</f>
        <v/>
      </c>
      <c r="H24" s="358"/>
      <c r="I24" s="927"/>
      <c r="J24" s="928"/>
      <c r="K24" s="431"/>
      <c r="L24" s="358" t="s">
        <v>319</v>
      </c>
      <c r="M24" s="937"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76"/>
      <c r="AH24" s="42" t="n">
        <v>0</v>
      </c>
    </row>
    <row r="25" s="42" customFormat="true" ht="18.75" hidden="true" customHeight="true" outlineLevel="0" collapsed="false">
      <c r="A25" s="132"/>
      <c r="B25" s="132"/>
      <c r="C25" s="341" t="s">
        <v>1315</v>
      </c>
      <c r="D25" s="935"/>
      <c r="E25" s="295"/>
      <c r="F25" s="936"/>
      <c r="G25" s="860"/>
      <c r="H25" s="596"/>
      <c r="I25" s="168" t="s">
        <v>1316</v>
      </c>
      <c r="J25" s="219"/>
      <c r="K25" s="596"/>
      <c r="L25" s="728"/>
      <c r="M25" s="937"/>
      <c r="N25" s="676"/>
      <c r="O25" s="118"/>
      <c r="P25" s="118"/>
      <c r="AH25" s="42" t="n">
        <v>0</v>
      </c>
    </row>
    <row r="26" customFormat="false" ht="0.75" hidden="true" customHeight="true" outlineLevel="0" collapsed="false">
      <c r="A26" s="132"/>
      <c r="B26" s="132"/>
      <c r="C26" s="341" t="s">
        <v>1321</v>
      </c>
      <c r="D26" s="935"/>
      <c r="E26" s="295"/>
      <c r="F26" s="936"/>
      <c r="G26" s="938"/>
      <c r="H26" s="596"/>
      <c r="I26" s="168"/>
      <c r="J26" s="219"/>
      <c r="K26" s="596"/>
      <c r="L26" s="728"/>
      <c r="M26" s="937"/>
      <c r="N26" s="676"/>
      <c r="AH26" s="42" t="n">
        <v>0</v>
      </c>
    </row>
    <row r="27" s="42" customFormat="true" ht="45" hidden="true" customHeight="true" outlineLevel="0" collapsed="false">
      <c r="A27" s="132" t="s">
        <v>175</v>
      </c>
      <c r="B27" s="132" t="s">
        <v>176</v>
      </c>
      <c r="C27" s="341"/>
      <c r="D27" s="939"/>
      <c r="E27" s="940"/>
      <c r="F27" s="941" t="str">
        <f aca="false">INDEX(PT_DIFFERENTIATION_VTAR,MATCH(A27,PT_DIFFERENTIATION_VTAR_ID,0))</f>
        <v/>
      </c>
      <c r="G27" s="860" t="str">
        <f aca="false">INDEX(PT_DIFFERENTIATION_NTAR,MATCH(B27,PT_DIFFERENTIATION_NTAR_ID,0))</f>
        <v/>
      </c>
      <c r="H27" s="358"/>
      <c r="I27" s="927"/>
      <c r="J27" s="928"/>
      <c r="K27" s="431"/>
      <c r="L27" s="358" t="s">
        <v>319</v>
      </c>
      <c r="M27" s="937"/>
      <c r="N27" s="676"/>
      <c r="O27" s="118"/>
      <c r="P27" s="118"/>
      <c r="AH27" s="42" t="n">
        <v>0</v>
      </c>
    </row>
    <row r="28" s="42" customFormat="true" ht="18.75" hidden="true" customHeight="true" outlineLevel="0" collapsed="false">
      <c r="A28" s="132"/>
      <c r="B28" s="132"/>
      <c r="C28" s="341" t="s">
        <v>1315</v>
      </c>
      <c r="D28" s="939"/>
      <c r="E28" s="940"/>
      <c r="F28" s="941"/>
      <c r="G28" s="860"/>
      <c r="H28" s="596"/>
      <c r="I28" s="168" t="s">
        <v>1316</v>
      </c>
      <c r="J28" s="219"/>
      <c r="K28" s="596"/>
      <c r="L28" s="728"/>
      <c r="M28" s="937"/>
      <c r="N28" s="676"/>
      <c r="O28" s="118"/>
      <c r="P28" s="118"/>
      <c r="AH28" s="42" t="n">
        <v>0</v>
      </c>
    </row>
    <row r="29" s="42" customFormat="true" ht="0.75" hidden="true" customHeight="true" outlineLevel="0" collapsed="false">
      <c r="A29" s="132"/>
      <c r="B29" s="132"/>
      <c r="C29" s="341" t="s">
        <v>1321</v>
      </c>
      <c r="D29" s="939"/>
      <c r="E29" s="940"/>
      <c r="F29" s="941"/>
      <c r="G29" s="938"/>
      <c r="H29" s="596"/>
      <c r="I29" s="168"/>
      <c r="J29" s="219"/>
      <c r="K29" s="596"/>
      <c r="L29" s="728"/>
      <c r="M29" s="937"/>
      <c r="N29" s="676"/>
      <c r="O29" s="118"/>
      <c r="P29" s="118"/>
      <c r="AH29" s="42" t="n">
        <v>0</v>
      </c>
    </row>
    <row r="30" s="42" customFormat="true" ht="45" hidden="true" customHeight="true" outlineLevel="0" collapsed="false">
      <c r="A30" s="132" t="s">
        <v>182</v>
      </c>
      <c r="B30" s="132" t="s">
        <v>183</v>
      </c>
      <c r="C30" s="341"/>
      <c r="D30" s="939"/>
      <c r="E30" s="295"/>
      <c r="F30" s="680" t="str">
        <f aca="false">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860" t="str">
        <f aca="false">INDEX(PT_DIFFERENTIATION_NTAR,MATCH(B30,PT_DIFFERENTIATION_NTAR_ID,0))</f>
        <v/>
      </c>
      <c r="H30" s="358"/>
      <c r="I30" s="927"/>
      <c r="J30" s="928"/>
      <c r="K30" s="431"/>
      <c r="L30" s="358" t="s">
        <v>319</v>
      </c>
      <c r="M30" s="937"/>
      <c r="N30" s="676"/>
      <c r="O30" s="118"/>
      <c r="P30" s="118"/>
      <c r="AH30" s="42" t="n">
        <v>0</v>
      </c>
    </row>
    <row r="31" s="42" customFormat="true" ht="18.75" hidden="true" customHeight="true" outlineLevel="0" collapsed="false">
      <c r="A31" s="132"/>
      <c r="B31" s="132"/>
      <c r="C31" s="341" t="s">
        <v>1315</v>
      </c>
      <c r="D31" s="939"/>
      <c r="E31" s="295"/>
      <c r="F31" s="680"/>
      <c r="G31" s="860"/>
      <c r="H31" s="596"/>
      <c r="I31" s="168" t="s">
        <v>1316</v>
      </c>
      <c r="J31" s="219"/>
      <c r="K31" s="596"/>
      <c r="L31" s="728"/>
      <c r="M31" s="937"/>
      <c r="N31" s="676"/>
      <c r="O31" s="118"/>
      <c r="P31" s="118"/>
      <c r="AH31" s="42" t="n">
        <v>0</v>
      </c>
    </row>
    <row r="32" s="42" customFormat="true" ht="0.75" hidden="true" customHeight="true" outlineLevel="0" collapsed="false">
      <c r="A32" s="132"/>
      <c r="B32" s="132"/>
      <c r="C32" s="341" t="s">
        <v>1321</v>
      </c>
      <c r="D32" s="939"/>
      <c r="E32" s="295"/>
      <c r="F32" s="680"/>
      <c r="G32" s="938"/>
      <c r="H32" s="596"/>
      <c r="I32" s="168"/>
      <c r="J32" s="219"/>
      <c r="K32" s="596"/>
      <c r="L32" s="728"/>
      <c r="M32" s="937"/>
      <c r="N32" s="676"/>
      <c r="O32" s="118"/>
      <c r="P32" s="118"/>
      <c r="AH32" s="42" t="n">
        <v>0</v>
      </c>
    </row>
    <row r="33" s="42" customFormat="true" ht="45" hidden="true" customHeight="true" outlineLevel="0" collapsed="false">
      <c r="A33" s="132" t="s">
        <v>188</v>
      </c>
      <c r="B33" s="132" t="s">
        <v>189</v>
      </c>
      <c r="C33" s="341"/>
      <c r="D33" s="939"/>
      <c r="E33" s="295"/>
      <c r="F33" s="680" t="str">
        <f aca="false">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860" t="str">
        <f aca="false">INDEX(PT_DIFFERENTIATION_NTAR,MATCH(B33,PT_DIFFERENTIATION_NTAR_ID,0))</f>
        <v/>
      </c>
      <c r="H33" s="358"/>
      <c r="I33" s="927"/>
      <c r="J33" s="928"/>
      <c r="K33" s="431"/>
      <c r="L33" s="358" t="s">
        <v>319</v>
      </c>
      <c r="M33" s="937"/>
      <c r="N33" s="676"/>
      <c r="O33" s="118"/>
      <c r="P33" s="118"/>
      <c r="AH33" s="42" t="n">
        <v>0</v>
      </c>
    </row>
    <row r="34" s="42" customFormat="true" ht="18.75" hidden="true" customHeight="true" outlineLevel="0" collapsed="false">
      <c r="A34" s="132"/>
      <c r="B34" s="132"/>
      <c r="C34" s="341" t="s">
        <v>1315</v>
      </c>
      <c r="D34" s="939"/>
      <c r="E34" s="295"/>
      <c r="F34" s="680"/>
      <c r="G34" s="860"/>
      <c r="H34" s="596"/>
      <c r="I34" s="168" t="s">
        <v>1316</v>
      </c>
      <c r="J34" s="219"/>
      <c r="K34" s="596"/>
      <c r="L34" s="728"/>
      <c r="M34" s="937"/>
      <c r="N34" s="676"/>
      <c r="O34" s="118"/>
      <c r="P34" s="118"/>
      <c r="AH34" s="42" t="n">
        <v>0</v>
      </c>
    </row>
    <row r="35" s="42" customFormat="true" ht="0.75" hidden="true" customHeight="true" outlineLevel="0" collapsed="false">
      <c r="A35" s="132"/>
      <c r="B35" s="132"/>
      <c r="C35" s="341" t="s">
        <v>1321</v>
      </c>
      <c r="D35" s="939"/>
      <c r="E35" s="295"/>
      <c r="F35" s="680"/>
      <c r="G35" s="938"/>
      <c r="H35" s="596"/>
      <c r="I35" s="168"/>
      <c r="J35" s="219"/>
      <c r="K35" s="596"/>
      <c r="L35" s="728"/>
      <c r="M35" s="937"/>
      <c r="N35" s="676"/>
      <c r="O35" s="118"/>
      <c r="P35" s="118"/>
      <c r="AH35" s="42" t="n">
        <v>0</v>
      </c>
    </row>
    <row r="36" s="42" customFormat="true" ht="18.75" hidden="true" customHeight="true" outlineLevel="0" collapsed="false">
      <c r="A36" s="132" t="s">
        <v>194</v>
      </c>
      <c r="B36" s="132" t="s">
        <v>195</v>
      </c>
      <c r="C36" s="341"/>
      <c r="D36" s="939"/>
      <c r="E36" s="295"/>
      <c r="F36" s="680" t="str">
        <f aca="false">INDEX(PT_DIFFERENTIATION_VTAR,MATCH(A36,PT_DIFFERENTIATION_VTAR_ID,0))</f>
        <v>Тарифы на услуги по передаче тепловой энергии</v>
      </c>
      <c r="G36" s="860" t="str">
        <f aca="false">INDEX(PT_DIFFERENTIATION_NTAR,MATCH(B36,PT_DIFFERENTIATION_NTAR_ID,0))</f>
        <v/>
      </c>
      <c r="H36" s="358"/>
      <c r="I36" s="927"/>
      <c r="J36" s="928"/>
      <c r="K36" s="431"/>
      <c r="L36" s="358" t="s">
        <v>319</v>
      </c>
      <c r="M36" s="937"/>
      <c r="N36" s="676"/>
      <c r="O36" s="118"/>
      <c r="P36" s="118"/>
      <c r="AH36" s="42" t="n">
        <v>0</v>
      </c>
    </row>
    <row r="37" s="42" customFormat="true" ht="18.75" hidden="true" customHeight="true" outlineLevel="0" collapsed="false">
      <c r="A37" s="132"/>
      <c r="B37" s="132"/>
      <c r="C37" s="341" t="s">
        <v>1315</v>
      </c>
      <c r="D37" s="939"/>
      <c r="E37" s="295"/>
      <c r="F37" s="680"/>
      <c r="G37" s="860"/>
      <c r="H37" s="596"/>
      <c r="I37" s="168" t="s">
        <v>1316</v>
      </c>
      <c r="J37" s="219"/>
      <c r="K37" s="596"/>
      <c r="L37" s="728"/>
      <c r="M37" s="937"/>
      <c r="N37" s="676"/>
      <c r="O37" s="118"/>
      <c r="P37" s="118"/>
      <c r="AH37" s="42" t="n">
        <v>0</v>
      </c>
    </row>
    <row r="38" s="42" customFormat="true" ht="0.75" hidden="true" customHeight="true" outlineLevel="0" collapsed="false">
      <c r="A38" s="132"/>
      <c r="B38" s="132"/>
      <c r="C38" s="341" t="s">
        <v>1321</v>
      </c>
      <c r="D38" s="939"/>
      <c r="E38" s="295"/>
      <c r="F38" s="680"/>
      <c r="G38" s="938"/>
      <c r="H38" s="596"/>
      <c r="I38" s="168"/>
      <c r="J38" s="219"/>
      <c r="K38" s="596"/>
      <c r="L38" s="728"/>
      <c r="M38" s="937"/>
      <c r="N38" s="676"/>
      <c r="O38" s="118"/>
      <c r="P38" s="118"/>
      <c r="AH38" s="42" t="n">
        <v>0</v>
      </c>
    </row>
    <row r="39" s="42" customFormat="true" ht="18.75" hidden="true" customHeight="true" outlineLevel="0" collapsed="false">
      <c r="A39" s="132" t="s">
        <v>200</v>
      </c>
      <c r="B39" s="132" t="s">
        <v>201</v>
      </c>
      <c r="C39" s="341"/>
      <c r="D39" s="939"/>
      <c r="E39" s="295"/>
      <c r="F39" s="680" t="str">
        <f aca="false">INDEX(PT_DIFFERENTIATION_VTAR,MATCH(A39,PT_DIFFERENTIATION_VTAR_ID,0))</f>
        <v>Тарифы на услуги по передаче теплоносителя</v>
      </c>
      <c r="G39" s="860" t="str">
        <f aca="false">INDEX(PT_DIFFERENTIATION_NTAR,MATCH(B39,PT_DIFFERENTIATION_NTAR_ID,0))</f>
        <v/>
      </c>
      <c r="H39" s="358"/>
      <c r="I39" s="927"/>
      <c r="J39" s="928"/>
      <c r="K39" s="431"/>
      <c r="L39" s="358" t="s">
        <v>319</v>
      </c>
      <c r="M39" s="937"/>
      <c r="N39" s="676"/>
      <c r="O39" s="118"/>
      <c r="P39" s="118"/>
      <c r="AH39" s="42" t="n">
        <v>0</v>
      </c>
    </row>
    <row r="40" s="42" customFormat="true" ht="18.75" hidden="true" customHeight="true" outlineLevel="0" collapsed="false">
      <c r="A40" s="132"/>
      <c r="B40" s="132"/>
      <c r="C40" s="341" t="s">
        <v>1315</v>
      </c>
      <c r="D40" s="939"/>
      <c r="E40" s="295"/>
      <c r="F40" s="680"/>
      <c r="G40" s="860"/>
      <c r="H40" s="596"/>
      <c r="I40" s="168" t="s">
        <v>1316</v>
      </c>
      <c r="J40" s="219"/>
      <c r="K40" s="596"/>
      <c r="L40" s="728"/>
      <c r="M40" s="937"/>
      <c r="N40" s="676"/>
      <c r="O40" s="118"/>
      <c r="P40" s="118"/>
      <c r="AH40" s="42" t="n">
        <v>0</v>
      </c>
    </row>
    <row r="41" s="42" customFormat="true" ht="0.75" hidden="true" customHeight="true" outlineLevel="0" collapsed="false">
      <c r="A41" s="132"/>
      <c r="B41" s="132"/>
      <c r="C41" s="341" t="s">
        <v>1321</v>
      </c>
      <c r="D41" s="939"/>
      <c r="E41" s="295"/>
      <c r="F41" s="680"/>
      <c r="G41" s="938"/>
      <c r="H41" s="596"/>
      <c r="I41" s="168"/>
      <c r="J41" s="219"/>
      <c r="K41" s="596"/>
      <c r="L41" s="728"/>
      <c r="M41" s="937"/>
      <c r="N41" s="676"/>
      <c r="O41" s="118"/>
      <c r="P41" s="118"/>
      <c r="AH41" s="42" t="n">
        <v>0</v>
      </c>
    </row>
    <row r="42" s="42" customFormat="true" ht="18.75" hidden="true" customHeight="true" outlineLevel="0" collapsed="false">
      <c r="A42" s="132" t="s">
        <v>206</v>
      </c>
      <c r="B42" s="132" t="s">
        <v>207</v>
      </c>
      <c r="C42" s="341"/>
      <c r="D42" s="939"/>
      <c r="E42" s="295"/>
      <c r="F42" s="680" t="str">
        <f aca="false">INDEX(PT_DIFFERENTIATION_VTAR,MATCH(A42,PT_DIFFERENTIATION_VTAR_ID,0))</f>
        <v>Плата за услуги по поддержанию резервной тепловой мощности при отсутствии потребления тепловой энергии</v>
      </c>
      <c r="G42" s="860" t="str">
        <f aca="false">INDEX(PT_DIFFERENTIATION_NTAR,MATCH(B42,PT_DIFFERENTIATION_NTAR_ID,0))</f>
        <v/>
      </c>
      <c r="H42" s="358"/>
      <c r="I42" s="927"/>
      <c r="J42" s="928"/>
      <c r="K42" s="431"/>
      <c r="L42" s="358" t="s">
        <v>319</v>
      </c>
      <c r="M42" s="937"/>
      <c r="N42" s="676"/>
      <c r="O42" s="118"/>
      <c r="P42" s="118"/>
      <c r="AH42" s="42" t="n">
        <v>0</v>
      </c>
    </row>
    <row r="43" s="42" customFormat="true" ht="18.75" hidden="true" customHeight="true" outlineLevel="0" collapsed="false">
      <c r="A43" s="132"/>
      <c r="B43" s="132"/>
      <c r="C43" s="341" t="s">
        <v>1315</v>
      </c>
      <c r="D43" s="939"/>
      <c r="E43" s="295"/>
      <c r="F43" s="680"/>
      <c r="G43" s="860"/>
      <c r="H43" s="596"/>
      <c r="I43" s="168" t="s">
        <v>1316</v>
      </c>
      <c r="J43" s="219"/>
      <c r="K43" s="596"/>
      <c r="L43" s="728"/>
      <c r="M43" s="937"/>
      <c r="N43" s="676"/>
      <c r="O43" s="118"/>
      <c r="P43" s="118"/>
      <c r="AH43" s="42" t="n">
        <v>0</v>
      </c>
    </row>
    <row r="44" s="42" customFormat="true" ht="0.75" hidden="true" customHeight="true" outlineLevel="0" collapsed="false">
      <c r="A44" s="132"/>
      <c r="B44" s="132"/>
      <c r="C44" s="341" t="s">
        <v>1321</v>
      </c>
      <c r="D44" s="939"/>
      <c r="E44" s="295"/>
      <c r="F44" s="680"/>
      <c r="G44" s="938"/>
      <c r="H44" s="596"/>
      <c r="I44" s="168"/>
      <c r="J44" s="219"/>
      <c r="K44" s="596"/>
      <c r="L44" s="728"/>
      <c r="M44" s="937"/>
      <c r="N44" s="676"/>
      <c r="O44" s="118"/>
      <c r="P44" s="118"/>
      <c r="AH44" s="42" t="n">
        <v>0</v>
      </c>
    </row>
    <row r="45" s="42" customFormat="true" ht="18.75" hidden="true" customHeight="true" outlineLevel="0" collapsed="false">
      <c r="A45" s="132" t="s">
        <v>212</v>
      </c>
      <c r="B45" s="132" t="s">
        <v>213</v>
      </c>
      <c r="C45" s="341"/>
      <c r="D45" s="939"/>
      <c r="E45" s="295"/>
      <c r="F45" s="680" t="str">
        <f aca="false">INDEX(PT_DIFFERENTIATION_VTAR,MATCH(A45,PT_DIFFERENTIATION_VTAR_ID,0))</f>
        <v>Плата за подключение (технологическое присоединение) к системе теплоснабжения</v>
      </c>
      <c r="G45" s="860" t="str">
        <f aca="false">INDEX(PT_DIFFERENTIATION_NTAR,MATCH(B45,PT_DIFFERENTIATION_NTAR_ID,0))</f>
        <v/>
      </c>
      <c r="H45" s="358"/>
      <c r="I45" s="927"/>
      <c r="J45" s="928"/>
      <c r="K45" s="431"/>
      <c r="L45" s="358" t="s">
        <v>319</v>
      </c>
      <c r="M45" s="937"/>
      <c r="N45" s="676"/>
      <c r="O45" s="118"/>
      <c r="P45" s="118"/>
      <c r="AH45" s="42" t="n">
        <v>0</v>
      </c>
    </row>
    <row r="46" s="42" customFormat="true" ht="18.75" hidden="true" customHeight="true" outlineLevel="0" collapsed="false">
      <c r="A46" s="132"/>
      <c r="B46" s="132"/>
      <c r="C46" s="341" t="s">
        <v>1315</v>
      </c>
      <c r="D46" s="939"/>
      <c r="E46" s="295"/>
      <c r="F46" s="680"/>
      <c r="G46" s="860"/>
      <c r="H46" s="596"/>
      <c r="I46" s="168" t="s">
        <v>1316</v>
      </c>
      <c r="J46" s="219"/>
      <c r="K46" s="596"/>
      <c r="L46" s="728"/>
      <c r="M46" s="937"/>
      <c r="N46" s="676"/>
      <c r="O46" s="118"/>
      <c r="P46" s="118"/>
      <c r="AH46" s="42" t="n">
        <v>0</v>
      </c>
    </row>
    <row r="47" s="42" customFormat="true" ht="0.75" hidden="true" customHeight="true" outlineLevel="0" collapsed="false">
      <c r="A47" s="132"/>
      <c r="B47" s="132"/>
      <c r="C47" s="341" t="s">
        <v>1321</v>
      </c>
      <c r="D47" s="939"/>
      <c r="E47" s="295"/>
      <c r="F47" s="680"/>
      <c r="G47" s="938"/>
      <c r="H47" s="596"/>
      <c r="I47" s="168"/>
      <c r="J47" s="219"/>
      <c r="K47" s="596"/>
      <c r="L47" s="728"/>
      <c r="M47" s="937"/>
      <c r="N47" s="676"/>
      <c r="O47" s="118"/>
      <c r="P47" s="118"/>
      <c r="AH47" s="42" t="n">
        <v>0</v>
      </c>
    </row>
    <row r="48" s="42" customFormat="true" ht="18.75" hidden="true" customHeight="true" outlineLevel="0" collapsed="false">
      <c r="A48" s="132" t="s">
        <v>218</v>
      </c>
      <c r="B48" s="132" t="s">
        <v>219</v>
      </c>
      <c r="C48" s="341"/>
      <c r="D48" s="939"/>
      <c r="E48" s="295"/>
      <c r="F48" s="680" t="str">
        <f aca="false">INDEX(PT_DIFFERENTIATION_VTAR,MATCH(A48,PT_DIFFERENTIATION_VTAR_ID,0))</f>
        <v>Плата за подключение (технологическое присоединение) к системе теплоснабжения (индивидуальная)</v>
      </c>
      <c r="G48" s="860" t="str">
        <f aca="false">INDEX(PT_DIFFERENTIATION_NTAR,MATCH(B48,PT_DIFFERENTIATION_NTAR_ID,0))</f>
        <v/>
      </c>
      <c r="H48" s="358"/>
      <c r="I48" s="927"/>
      <c r="J48" s="928"/>
      <c r="K48" s="431"/>
      <c r="L48" s="358" t="s">
        <v>319</v>
      </c>
      <c r="M48" s="937"/>
      <c r="N48" s="676"/>
      <c r="O48" s="118"/>
      <c r="P48" s="118"/>
      <c r="AH48" s="42" t="n">
        <v>0</v>
      </c>
    </row>
    <row r="49" s="42" customFormat="true" ht="18.75" hidden="true" customHeight="true" outlineLevel="0" collapsed="false">
      <c r="A49" s="132"/>
      <c r="B49" s="132"/>
      <c r="C49" s="341" t="s">
        <v>1315</v>
      </c>
      <c r="D49" s="939"/>
      <c r="E49" s="295"/>
      <c r="F49" s="680"/>
      <c r="G49" s="860"/>
      <c r="H49" s="596"/>
      <c r="I49" s="168" t="s">
        <v>1316</v>
      </c>
      <c r="J49" s="219"/>
      <c r="K49" s="596"/>
      <c r="L49" s="728"/>
      <c r="M49" s="937"/>
      <c r="N49" s="676"/>
      <c r="O49" s="118"/>
      <c r="P49" s="118"/>
      <c r="AH49" s="42" t="n">
        <v>0</v>
      </c>
    </row>
    <row r="50" s="42" customFormat="true" ht="0.75" hidden="true" customHeight="true" outlineLevel="0" collapsed="false">
      <c r="A50" s="132"/>
      <c r="B50" s="132"/>
      <c r="C50" s="341" t="s">
        <v>1321</v>
      </c>
      <c r="D50" s="939"/>
      <c r="E50" s="295"/>
      <c r="F50" s="680"/>
      <c r="G50" s="938"/>
      <c r="H50" s="596"/>
      <c r="I50" s="168"/>
      <c r="J50" s="219"/>
      <c r="K50" s="596"/>
      <c r="L50" s="728"/>
      <c r="M50" s="937"/>
      <c r="N50" s="676"/>
      <c r="O50" s="118"/>
      <c r="P50" s="118"/>
      <c r="AH50" s="42" t="n">
        <v>0</v>
      </c>
    </row>
    <row r="51" s="42" customFormat="true" ht="18.75" hidden="true" customHeight="true" outlineLevel="0" collapsed="false">
      <c r="A51" s="132" t="s">
        <v>238</v>
      </c>
      <c r="B51" s="132" t="s">
        <v>239</v>
      </c>
      <c r="C51" s="341"/>
      <c r="D51" s="939"/>
      <c r="E51" s="295"/>
      <c r="F51" s="680" t="str">
        <f aca="false">INDEX(PT_DIFFERENTIATION_VTAR,MATCH(A51,PT_DIFFERENTIATION_VTAR_ID,0))</f>
        <v>Тариф на питьевую воду (питьевое водоснабжение)</v>
      </c>
      <c r="G51" s="860" t="str">
        <f aca="false">INDEX(PT_DIFFERENTIATION_NTAR,MATCH(B51,PT_DIFFERENTIATION_NTAR_ID,0))</f>
        <v/>
      </c>
      <c r="H51" s="358"/>
      <c r="I51" s="927"/>
      <c r="J51" s="928"/>
      <c r="K51" s="431"/>
      <c r="L51" s="358" t="s">
        <v>319</v>
      </c>
      <c r="M51" s="937"/>
      <c r="N51" s="676"/>
      <c r="O51" s="118"/>
      <c r="P51" s="118"/>
      <c r="AH51" s="42" t="n">
        <v>0</v>
      </c>
    </row>
    <row r="52" s="42" customFormat="true" ht="18.75" hidden="true" customHeight="true" outlineLevel="0" collapsed="false">
      <c r="A52" s="132"/>
      <c r="B52" s="132"/>
      <c r="C52" s="341" t="s">
        <v>1315</v>
      </c>
      <c r="D52" s="939"/>
      <c r="E52" s="295"/>
      <c r="F52" s="680"/>
      <c r="G52" s="860"/>
      <c r="H52" s="596"/>
      <c r="I52" s="168" t="s">
        <v>1316</v>
      </c>
      <c r="J52" s="219"/>
      <c r="K52" s="596"/>
      <c r="L52" s="728"/>
      <c r="M52" s="937"/>
      <c r="N52" s="676"/>
      <c r="O52" s="118"/>
      <c r="P52" s="118"/>
      <c r="AH52" s="42" t="n">
        <v>0</v>
      </c>
    </row>
    <row r="53" s="42" customFormat="true" ht="0.75" hidden="true" customHeight="true" outlineLevel="0" collapsed="false">
      <c r="A53" s="132"/>
      <c r="B53" s="132"/>
      <c r="C53" s="341" t="s">
        <v>1321</v>
      </c>
      <c r="D53" s="939"/>
      <c r="E53" s="295"/>
      <c r="F53" s="680"/>
      <c r="G53" s="938"/>
      <c r="H53" s="596"/>
      <c r="I53" s="168"/>
      <c r="J53" s="219"/>
      <c r="K53" s="596"/>
      <c r="L53" s="728"/>
      <c r="M53" s="937"/>
      <c r="N53" s="676"/>
      <c r="O53" s="118"/>
      <c r="P53" s="118"/>
      <c r="AH53" s="42" t="n">
        <v>0</v>
      </c>
    </row>
    <row r="54" s="42" customFormat="true" ht="18.75" hidden="true" customHeight="true" outlineLevel="0" collapsed="false">
      <c r="A54" s="132" t="s">
        <v>243</v>
      </c>
      <c r="B54" s="132" t="s">
        <v>244</v>
      </c>
      <c r="C54" s="341"/>
      <c r="D54" s="939"/>
      <c r="E54" s="295"/>
      <c r="F54" s="680" t="str">
        <f aca="false">INDEX(PT_DIFFERENTIATION_VTAR,MATCH(A54,PT_DIFFERENTIATION_VTAR_ID,0))</f>
        <v>Тариф на техническую воду</v>
      </c>
      <c r="G54" s="860" t="str">
        <f aca="false">INDEX(PT_DIFFERENTIATION_NTAR,MATCH(B54,PT_DIFFERENTIATION_NTAR_ID,0))</f>
        <v/>
      </c>
      <c r="H54" s="358"/>
      <c r="I54" s="927"/>
      <c r="J54" s="928"/>
      <c r="K54" s="431"/>
      <c r="L54" s="358" t="s">
        <v>319</v>
      </c>
      <c r="M54" s="937"/>
      <c r="N54" s="676"/>
      <c r="O54" s="118"/>
      <c r="P54" s="118"/>
      <c r="AH54" s="42" t="n">
        <v>0</v>
      </c>
    </row>
    <row r="55" s="42" customFormat="true" ht="18.75" hidden="true" customHeight="true" outlineLevel="0" collapsed="false">
      <c r="A55" s="132"/>
      <c r="B55" s="132"/>
      <c r="C55" s="341" t="s">
        <v>1315</v>
      </c>
      <c r="D55" s="939"/>
      <c r="E55" s="295"/>
      <c r="F55" s="680"/>
      <c r="G55" s="860"/>
      <c r="H55" s="596"/>
      <c r="I55" s="168" t="s">
        <v>1316</v>
      </c>
      <c r="J55" s="219"/>
      <c r="K55" s="596"/>
      <c r="L55" s="728"/>
      <c r="M55" s="937"/>
      <c r="N55" s="676"/>
      <c r="O55" s="118"/>
      <c r="P55" s="118"/>
      <c r="AH55" s="42" t="n">
        <v>0</v>
      </c>
    </row>
    <row r="56" s="42" customFormat="true" ht="0.75" hidden="true" customHeight="true" outlineLevel="0" collapsed="false">
      <c r="A56" s="132"/>
      <c r="B56" s="132"/>
      <c r="C56" s="341" t="s">
        <v>1321</v>
      </c>
      <c r="D56" s="939"/>
      <c r="E56" s="295"/>
      <c r="F56" s="680"/>
      <c r="G56" s="938"/>
      <c r="H56" s="596"/>
      <c r="I56" s="168"/>
      <c r="J56" s="219"/>
      <c r="K56" s="596"/>
      <c r="L56" s="728"/>
      <c r="M56" s="937"/>
      <c r="N56" s="676"/>
      <c r="O56" s="118"/>
      <c r="P56" s="118"/>
      <c r="AH56" s="42" t="n">
        <v>0</v>
      </c>
    </row>
    <row r="57" s="42" customFormat="true" ht="18.75" hidden="true" customHeight="true" outlineLevel="0" collapsed="false">
      <c r="A57" s="132" t="s">
        <v>248</v>
      </c>
      <c r="B57" s="132" t="s">
        <v>249</v>
      </c>
      <c r="C57" s="341"/>
      <c r="D57" s="939"/>
      <c r="E57" s="295"/>
      <c r="F57" s="680" t="str">
        <f aca="false">INDEX(PT_DIFFERENTIATION_VTAR,MATCH(A57,PT_DIFFERENTIATION_VTAR_ID,0))</f>
        <v>Тариф на транспортировку воды</v>
      </c>
      <c r="G57" s="860" t="str">
        <f aca="false">INDEX(PT_DIFFERENTIATION_NTAR,MATCH(B57,PT_DIFFERENTIATION_NTAR_ID,0))</f>
        <v/>
      </c>
      <c r="H57" s="358"/>
      <c r="I57" s="927"/>
      <c r="J57" s="928"/>
      <c r="K57" s="431"/>
      <c r="L57" s="358" t="s">
        <v>319</v>
      </c>
      <c r="M57" s="937"/>
      <c r="N57" s="676"/>
      <c r="O57" s="118"/>
      <c r="P57" s="118"/>
      <c r="AH57" s="42" t="n">
        <v>0</v>
      </c>
    </row>
    <row r="58" s="42" customFormat="true" ht="18.75" hidden="true" customHeight="true" outlineLevel="0" collapsed="false">
      <c r="A58" s="132"/>
      <c r="B58" s="132"/>
      <c r="C58" s="341" t="s">
        <v>1315</v>
      </c>
      <c r="D58" s="939"/>
      <c r="E58" s="295"/>
      <c r="F58" s="680"/>
      <c r="G58" s="860"/>
      <c r="H58" s="596"/>
      <c r="I58" s="168" t="s">
        <v>1316</v>
      </c>
      <c r="J58" s="219"/>
      <c r="K58" s="596"/>
      <c r="L58" s="728"/>
      <c r="M58" s="937"/>
      <c r="N58" s="676"/>
      <c r="O58" s="118"/>
      <c r="P58" s="118"/>
      <c r="AH58" s="42" t="n">
        <v>0</v>
      </c>
    </row>
    <row r="59" s="42" customFormat="true" ht="0.75" hidden="true" customHeight="true" outlineLevel="0" collapsed="false">
      <c r="A59" s="132"/>
      <c r="B59" s="132"/>
      <c r="C59" s="341" t="s">
        <v>1321</v>
      </c>
      <c r="D59" s="939"/>
      <c r="E59" s="295"/>
      <c r="F59" s="680"/>
      <c r="G59" s="938"/>
      <c r="H59" s="596"/>
      <c r="I59" s="168"/>
      <c r="J59" s="219"/>
      <c r="K59" s="596"/>
      <c r="L59" s="728"/>
      <c r="M59" s="937"/>
      <c r="N59" s="676"/>
      <c r="O59" s="118"/>
      <c r="P59" s="118"/>
      <c r="AH59" s="42" t="n">
        <v>0</v>
      </c>
    </row>
    <row r="60" s="42" customFormat="true" ht="18.75" hidden="true" customHeight="true" outlineLevel="0" collapsed="false">
      <c r="A60" s="132" t="s">
        <v>253</v>
      </c>
      <c r="B60" s="132" t="s">
        <v>254</v>
      </c>
      <c r="C60" s="341"/>
      <c r="D60" s="939"/>
      <c r="E60" s="295"/>
      <c r="F60" s="680" t="str">
        <f aca="false">INDEX(PT_DIFFERENTIATION_VTAR,MATCH(A60,PT_DIFFERENTIATION_VTAR_ID,0))</f>
        <v>Тариф на подвоз воды</v>
      </c>
      <c r="G60" s="860" t="str">
        <f aca="false">INDEX(PT_DIFFERENTIATION_NTAR,MATCH(B60,PT_DIFFERENTIATION_NTAR_ID,0))</f>
        <v/>
      </c>
      <c r="H60" s="358"/>
      <c r="I60" s="927"/>
      <c r="J60" s="928"/>
      <c r="K60" s="431"/>
      <c r="L60" s="358" t="s">
        <v>319</v>
      </c>
      <c r="M60" s="937"/>
      <c r="N60" s="676"/>
      <c r="O60" s="118"/>
      <c r="P60" s="118"/>
      <c r="AH60" s="42" t="n">
        <v>0</v>
      </c>
    </row>
    <row r="61" s="42" customFormat="true" ht="18.75" hidden="true" customHeight="true" outlineLevel="0" collapsed="false">
      <c r="A61" s="132"/>
      <c r="B61" s="132"/>
      <c r="C61" s="341" t="s">
        <v>1315</v>
      </c>
      <c r="D61" s="939"/>
      <c r="E61" s="295"/>
      <c r="F61" s="680"/>
      <c r="G61" s="860"/>
      <c r="H61" s="596"/>
      <c r="I61" s="168" t="s">
        <v>1316</v>
      </c>
      <c r="J61" s="219"/>
      <c r="K61" s="596"/>
      <c r="L61" s="728"/>
      <c r="M61" s="937"/>
      <c r="N61" s="676"/>
      <c r="O61" s="118"/>
      <c r="P61" s="118"/>
      <c r="AH61" s="42" t="n">
        <v>0</v>
      </c>
    </row>
    <row r="62" s="42" customFormat="true" ht="0.75" hidden="true" customHeight="true" outlineLevel="0" collapsed="false">
      <c r="A62" s="132"/>
      <c r="B62" s="132"/>
      <c r="C62" s="341" t="s">
        <v>1321</v>
      </c>
      <c r="D62" s="939"/>
      <c r="E62" s="295"/>
      <c r="F62" s="680"/>
      <c r="G62" s="938"/>
      <c r="H62" s="596"/>
      <c r="I62" s="168"/>
      <c r="J62" s="219"/>
      <c r="K62" s="596"/>
      <c r="L62" s="728"/>
      <c r="M62" s="937"/>
      <c r="N62" s="676"/>
      <c r="O62" s="118"/>
      <c r="P62" s="118"/>
      <c r="AH62" s="42" t="n">
        <v>0</v>
      </c>
    </row>
    <row r="63" s="42" customFormat="true" ht="18.75" hidden="true" customHeight="true" outlineLevel="0" collapsed="false">
      <c r="A63" s="132" t="s">
        <v>258</v>
      </c>
      <c r="B63" s="132" t="s">
        <v>259</v>
      </c>
      <c r="C63" s="341"/>
      <c r="D63" s="939"/>
      <c r="E63" s="295"/>
      <c r="F63" s="680" t="str">
        <f aca="false">INDEX(PT_DIFFERENTIATION_VTAR,MATCH(A63,PT_DIFFERENTIATION_VTAR_ID,0))</f>
        <v>Тариф на подключение (технологическое присоединение) к централизованной системе холодного водоснабжения</v>
      </c>
      <c r="G63" s="860" t="str">
        <f aca="false">INDEX(PT_DIFFERENTIATION_NTAR,MATCH(B63,PT_DIFFERENTIATION_NTAR_ID,0))</f>
        <v/>
      </c>
      <c r="H63" s="358"/>
      <c r="I63" s="927"/>
      <c r="J63" s="928"/>
      <c r="K63" s="431"/>
      <c r="L63" s="358" t="s">
        <v>319</v>
      </c>
      <c r="M63" s="937"/>
      <c r="N63" s="676"/>
      <c r="O63" s="118"/>
      <c r="P63" s="118"/>
      <c r="AH63" s="42" t="n">
        <v>0</v>
      </c>
    </row>
    <row r="64" s="42" customFormat="true" ht="18.75" hidden="true" customHeight="true" outlineLevel="0" collapsed="false">
      <c r="A64" s="132"/>
      <c r="B64" s="132"/>
      <c r="C64" s="341" t="s">
        <v>1315</v>
      </c>
      <c r="D64" s="939"/>
      <c r="E64" s="295"/>
      <c r="F64" s="680"/>
      <c r="G64" s="860"/>
      <c r="H64" s="596"/>
      <c r="I64" s="168" t="s">
        <v>1316</v>
      </c>
      <c r="J64" s="219"/>
      <c r="K64" s="596"/>
      <c r="L64" s="728"/>
      <c r="M64" s="937"/>
      <c r="N64" s="676"/>
      <c r="O64" s="118"/>
      <c r="P64" s="118"/>
      <c r="AH64" s="42" t="n">
        <v>0</v>
      </c>
    </row>
    <row r="65" s="42" customFormat="true" ht="0.75" hidden="true" customHeight="true" outlineLevel="0" collapsed="false">
      <c r="A65" s="132"/>
      <c r="B65" s="132"/>
      <c r="C65" s="341" t="s">
        <v>1321</v>
      </c>
      <c r="D65" s="939"/>
      <c r="E65" s="295"/>
      <c r="F65" s="680"/>
      <c r="G65" s="938"/>
      <c r="H65" s="596"/>
      <c r="I65" s="168"/>
      <c r="J65" s="219"/>
      <c r="K65" s="596"/>
      <c r="L65" s="728"/>
      <c r="M65" s="937"/>
      <c r="N65" s="676"/>
      <c r="O65" s="118"/>
      <c r="P65" s="118"/>
      <c r="AH65" s="42" t="n">
        <v>0</v>
      </c>
    </row>
    <row r="66" s="42" customFormat="true" ht="18.75" hidden="true" customHeight="true" outlineLevel="0" collapsed="false">
      <c r="A66" s="132" t="s">
        <v>263</v>
      </c>
      <c r="B66" s="132" t="s">
        <v>264</v>
      </c>
      <c r="C66" s="341"/>
      <c r="D66" s="939"/>
      <c r="E66" s="295"/>
      <c r="F66" s="680" t="str">
        <f aca="false">INDEX(PT_DIFFERENTIATION_VTAR,MATCH(A66,PT_DIFFERENTIATION_VTAR_ID,0))</f>
        <v>Тариф на горячую воду (горячее водоснабжение)</v>
      </c>
      <c r="G66" s="860" t="str">
        <f aca="false">INDEX(PT_DIFFERENTIATION_NTAR,MATCH(B66,PT_DIFFERENTIATION_NTAR_ID,0))</f>
        <v/>
      </c>
      <c r="H66" s="358"/>
      <c r="I66" s="927"/>
      <c r="J66" s="928"/>
      <c r="K66" s="431"/>
      <c r="L66" s="358" t="s">
        <v>319</v>
      </c>
      <c r="M66" s="937"/>
      <c r="N66" s="676"/>
      <c r="O66" s="118"/>
      <c r="P66" s="118"/>
      <c r="AH66" s="42" t="n">
        <v>0</v>
      </c>
    </row>
    <row r="67" s="42" customFormat="true" ht="18.75" hidden="true" customHeight="true" outlineLevel="0" collapsed="false">
      <c r="A67" s="132"/>
      <c r="B67" s="132"/>
      <c r="C67" s="341" t="s">
        <v>1315</v>
      </c>
      <c r="D67" s="939"/>
      <c r="E67" s="295"/>
      <c r="F67" s="680"/>
      <c r="G67" s="860"/>
      <c r="H67" s="596"/>
      <c r="I67" s="168" t="s">
        <v>1316</v>
      </c>
      <c r="J67" s="219"/>
      <c r="K67" s="596"/>
      <c r="L67" s="728"/>
      <c r="M67" s="937"/>
      <c r="N67" s="676"/>
      <c r="O67" s="118"/>
      <c r="P67" s="118"/>
      <c r="AH67" s="42" t="n">
        <v>0</v>
      </c>
    </row>
    <row r="68" s="42" customFormat="true" ht="0.75" hidden="true" customHeight="true" outlineLevel="0" collapsed="false">
      <c r="A68" s="132"/>
      <c r="B68" s="132"/>
      <c r="C68" s="341" t="s">
        <v>1321</v>
      </c>
      <c r="D68" s="939"/>
      <c r="E68" s="295"/>
      <c r="F68" s="680"/>
      <c r="G68" s="938"/>
      <c r="H68" s="596"/>
      <c r="I68" s="168"/>
      <c r="J68" s="219"/>
      <c r="K68" s="596"/>
      <c r="L68" s="728"/>
      <c r="M68" s="937"/>
      <c r="N68" s="676"/>
      <c r="O68" s="118"/>
      <c r="P68" s="118"/>
      <c r="AH68" s="42" t="n">
        <v>0</v>
      </c>
    </row>
    <row r="69" s="42" customFormat="true" ht="18.75" hidden="true" customHeight="true" outlineLevel="0" collapsed="false">
      <c r="A69" s="132" t="s">
        <v>268</v>
      </c>
      <c r="B69" s="132" t="s">
        <v>269</v>
      </c>
      <c r="C69" s="341"/>
      <c r="D69" s="939"/>
      <c r="E69" s="295"/>
      <c r="F69" s="680" t="str">
        <f aca="false">INDEX(PT_DIFFERENTIATION_VTAR,MATCH(A69,PT_DIFFERENTIATION_VTAR_ID,0))</f>
        <v>Тариф на транспортировку горячей воды</v>
      </c>
      <c r="G69" s="860" t="str">
        <f aca="false">INDEX(PT_DIFFERENTIATION_NTAR,MATCH(B69,PT_DIFFERENTIATION_NTAR_ID,0))</f>
        <v/>
      </c>
      <c r="H69" s="358"/>
      <c r="I69" s="927"/>
      <c r="J69" s="928"/>
      <c r="K69" s="431"/>
      <c r="L69" s="358" t="s">
        <v>319</v>
      </c>
      <c r="M69" s="937"/>
      <c r="N69" s="676"/>
      <c r="O69" s="118"/>
      <c r="P69" s="118"/>
      <c r="AH69" s="42" t="n">
        <v>0</v>
      </c>
    </row>
    <row r="70" s="42" customFormat="true" ht="18.75" hidden="true" customHeight="true" outlineLevel="0" collapsed="false">
      <c r="A70" s="132"/>
      <c r="B70" s="132"/>
      <c r="C70" s="341" t="s">
        <v>1315</v>
      </c>
      <c r="D70" s="939"/>
      <c r="E70" s="295"/>
      <c r="F70" s="680"/>
      <c r="G70" s="860"/>
      <c r="H70" s="596"/>
      <c r="I70" s="168" t="s">
        <v>1316</v>
      </c>
      <c r="J70" s="219"/>
      <c r="K70" s="596"/>
      <c r="L70" s="728"/>
      <c r="M70" s="937"/>
      <c r="N70" s="676"/>
      <c r="O70" s="118"/>
      <c r="P70" s="118"/>
      <c r="AH70" s="42" t="n">
        <v>0</v>
      </c>
    </row>
    <row r="71" s="42" customFormat="true" ht="0.75" hidden="true" customHeight="true" outlineLevel="0" collapsed="false">
      <c r="A71" s="132"/>
      <c r="B71" s="132"/>
      <c r="C71" s="341" t="s">
        <v>1321</v>
      </c>
      <c r="D71" s="939"/>
      <c r="E71" s="295"/>
      <c r="F71" s="680"/>
      <c r="G71" s="938"/>
      <c r="H71" s="596"/>
      <c r="I71" s="168"/>
      <c r="J71" s="219"/>
      <c r="K71" s="596"/>
      <c r="L71" s="728"/>
      <c r="M71" s="937"/>
      <c r="N71" s="676"/>
      <c r="O71" s="118"/>
      <c r="P71" s="118"/>
      <c r="AH71" s="42" t="n">
        <v>0</v>
      </c>
    </row>
    <row r="72" s="42" customFormat="true" ht="18.75" hidden="true" customHeight="true" outlineLevel="0" collapsed="false">
      <c r="A72" s="132" t="s">
        <v>273</v>
      </c>
      <c r="B72" s="132" t="s">
        <v>274</v>
      </c>
      <c r="C72" s="341"/>
      <c r="D72" s="939"/>
      <c r="E72" s="295"/>
      <c r="F72" s="680" t="str">
        <f aca="false">INDEX(PT_DIFFERENTIATION_VTAR,MATCH(A72,PT_DIFFERENTIATION_VTAR_ID,0))</f>
        <v>Тариф на подключение (технологическое присоединение) к централизованной системе горячего водоснабжения</v>
      </c>
      <c r="G72" s="860" t="str">
        <f aca="false">INDEX(PT_DIFFERENTIATION_NTAR,MATCH(B72,PT_DIFFERENTIATION_NTAR_ID,0))</f>
        <v/>
      </c>
      <c r="H72" s="358"/>
      <c r="I72" s="927"/>
      <c r="J72" s="928"/>
      <c r="K72" s="431"/>
      <c r="L72" s="358" t="s">
        <v>319</v>
      </c>
      <c r="M72" s="937"/>
      <c r="N72" s="676"/>
      <c r="O72" s="118"/>
      <c r="P72" s="118"/>
      <c r="AH72" s="42" t="n">
        <v>0</v>
      </c>
    </row>
    <row r="73" s="42" customFormat="true" ht="18.75" hidden="true" customHeight="true" outlineLevel="0" collapsed="false">
      <c r="A73" s="132"/>
      <c r="B73" s="132"/>
      <c r="C73" s="341" t="s">
        <v>1315</v>
      </c>
      <c r="D73" s="939"/>
      <c r="E73" s="295"/>
      <c r="F73" s="680"/>
      <c r="G73" s="860"/>
      <c r="H73" s="596"/>
      <c r="I73" s="168" t="s">
        <v>1316</v>
      </c>
      <c r="J73" s="219"/>
      <c r="K73" s="596"/>
      <c r="L73" s="728"/>
      <c r="M73" s="937"/>
      <c r="N73" s="676"/>
      <c r="O73" s="118"/>
      <c r="P73" s="118"/>
      <c r="AH73" s="42" t="n">
        <v>0</v>
      </c>
    </row>
    <row r="74" s="42" customFormat="true" ht="0.75" hidden="true" customHeight="true" outlineLevel="0" collapsed="false">
      <c r="A74" s="132"/>
      <c r="B74" s="132"/>
      <c r="C74" s="341" t="s">
        <v>1321</v>
      </c>
      <c r="D74" s="939"/>
      <c r="E74" s="295"/>
      <c r="F74" s="680"/>
      <c r="G74" s="938"/>
      <c r="H74" s="596"/>
      <c r="I74" s="168"/>
      <c r="J74" s="219"/>
      <c r="K74" s="596"/>
      <c r="L74" s="728"/>
      <c r="M74" s="937"/>
      <c r="N74" s="676"/>
      <c r="O74" s="118"/>
      <c r="P74" s="118"/>
      <c r="AH74" s="42" t="n">
        <v>0</v>
      </c>
    </row>
    <row r="75" s="42" customFormat="true" ht="18.75" hidden="true" customHeight="true" outlineLevel="0" collapsed="false">
      <c r="A75" s="132" t="s">
        <v>278</v>
      </c>
      <c r="B75" s="132" t="s">
        <v>279</v>
      </c>
      <c r="C75" s="341"/>
      <c r="D75" s="939"/>
      <c r="E75" s="295"/>
      <c r="F75" s="680" t="str">
        <f aca="false">INDEX(PT_DIFFERENTIATION_VTAR,MATCH(A75,PT_DIFFERENTIATION_VTAR_ID,0))</f>
        <v>Тариф на водоотведение</v>
      </c>
      <c r="G75" s="860" t="str">
        <f aca="false">INDEX(PT_DIFFERENTIATION_NTAR,MATCH(B75,PT_DIFFERENTIATION_NTAR_ID,0))</f>
        <v/>
      </c>
      <c r="H75" s="358"/>
      <c r="I75" s="927"/>
      <c r="J75" s="928"/>
      <c r="K75" s="431"/>
      <c r="L75" s="358" t="s">
        <v>319</v>
      </c>
      <c r="M75" s="937"/>
      <c r="N75" s="676"/>
      <c r="O75" s="118"/>
      <c r="P75" s="118"/>
      <c r="AH75" s="42" t="n">
        <v>0</v>
      </c>
    </row>
    <row r="76" s="42" customFormat="true" ht="18.75" hidden="true" customHeight="true" outlineLevel="0" collapsed="false">
      <c r="A76" s="132"/>
      <c r="B76" s="132"/>
      <c r="C76" s="341" t="s">
        <v>1315</v>
      </c>
      <c r="D76" s="939"/>
      <c r="E76" s="295"/>
      <c r="F76" s="680"/>
      <c r="G76" s="860"/>
      <c r="H76" s="596"/>
      <c r="I76" s="168" t="s">
        <v>1316</v>
      </c>
      <c r="J76" s="219"/>
      <c r="K76" s="596"/>
      <c r="L76" s="728"/>
      <c r="M76" s="937"/>
      <c r="N76" s="676"/>
      <c r="O76" s="118"/>
      <c r="P76" s="118"/>
      <c r="AH76" s="42" t="n">
        <v>0</v>
      </c>
    </row>
    <row r="77" s="42" customFormat="true" ht="0.75" hidden="true" customHeight="true" outlineLevel="0" collapsed="false">
      <c r="A77" s="132"/>
      <c r="B77" s="132"/>
      <c r="C77" s="341" t="s">
        <v>1321</v>
      </c>
      <c r="D77" s="939"/>
      <c r="E77" s="295"/>
      <c r="F77" s="680"/>
      <c r="G77" s="938"/>
      <c r="H77" s="596"/>
      <c r="I77" s="168"/>
      <c r="J77" s="219"/>
      <c r="K77" s="596"/>
      <c r="L77" s="728"/>
      <c r="M77" s="937"/>
      <c r="N77" s="676"/>
      <c r="O77" s="118"/>
      <c r="P77" s="118"/>
      <c r="AH77" s="42" t="n">
        <v>0</v>
      </c>
    </row>
    <row r="78" s="42" customFormat="true" ht="18.75" hidden="true" customHeight="true" outlineLevel="0" collapsed="false">
      <c r="A78" s="132" t="s">
        <v>283</v>
      </c>
      <c r="B78" s="132" t="s">
        <v>284</v>
      </c>
      <c r="C78" s="341"/>
      <c r="D78" s="939"/>
      <c r="E78" s="295"/>
      <c r="F78" s="680" t="str">
        <f aca="false">INDEX(PT_DIFFERENTIATION_VTAR,MATCH(A78,PT_DIFFERENTIATION_VTAR_ID,0))</f>
        <v>Тариф на транспортировку сточных вод</v>
      </c>
      <c r="G78" s="860" t="str">
        <f aca="false">INDEX(PT_DIFFERENTIATION_NTAR,MATCH(B78,PT_DIFFERENTIATION_NTAR_ID,0))</f>
        <v/>
      </c>
      <c r="H78" s="358"/>
      <c r="I78" s="927"/>
      <c r="J78" s="928"/>
      <c r="K78" s="431"/>
      <c r="L78" s="358" t="s">
        <v>319</v>
      </c>
      <c r="M78" s="937"/>
      <c r="N78" s="676"/>
      <c r="O78" s="118"/>
      <c r="P78" s="118"/>
      <c r="AH78" s="42" t="n">
        <v>0</v>
      </c>
    </row>
    <row r="79" s="42" customFormat="true" ht="18.75" hidden="true" customHeight="true" outlineLevel="0" collapsed="false">
      <c r="A79" s="132"/>
      <c r="B79" s="132"/>
      <c r="C79" s="341" t="s">
        <v>1315</v>
      </c>
      <c r="D79" s="939"/>
      <c r="E79" s="295"/>
      <c r="F79" s="680"/>
      <c r="G79" s="860"/>
      <c r="H79" s="596"/>
      <c r="I79" s="168" t="s">
        <v>1316</v>
      </c>
      <c r="J79" s="219"/>
      <c r="K79" s="596"/>
      <c r="L79" s="728"/>
      <c r="M79" s="937"/>
      <c r="N79" s="676"/>
      <c r="O79" s="118"/>
      <c r="P79" s="118"/>
      <c r="AH79" s="42" t="n">
        <v>0</v>
      </c>
    </row>
    <row r="80" s="42" customFormat="true" ht="0.75" hidden="true" customHeight="true" outlineLevel="0" collapsed="false">
      <c r="A80" s="132"/>
      <c r="B80" s="132"/>
      <c r="C80" s="341" t="s">
        <v>1321</v>
      </c>
      <c r="D80" s="939"/>
      <c r="E80" s="295"/>
      <c r="F80" s="680"/>
      <c r="G80" s="938"/>
      <c r="H80" s="596"/>
      <c r="I80" s="168"/>
      <c r="J80" s="219"/>
      <c r="K80" s="596"/>
      <c r="L80" s="728"/>
      <c r="M80" s="937"/>
      <c r="N80" s="676"/>
      <c r="O80" s="118"/>
      <c r="P80" s="118"/>
      <c r="AH80" s="42" t="n">
        <v>0</v>
      </c>
    </row>
    <row r="81" s="42" customFormat="true" ht="18.75" hidden="true" customHeight="true" outlineLevel="0" collapsed="false">
      <c r="A81" s="132" t="s">
        <v>288</v>
      </c>
      <c r="B81" s="132" t="s">
        <v>289</v>
      </c>
      <c r="C81" s="341"/>
      <c r="D81" s="939"/>
      <c r="E81" s="295"/>
      <c r="F81" s="680" t="str">
        <f aca="false">INDEX(PT_DIFFERENTIATION_VTAR,MATCH(A81,PT_DIFFERENTIATION_VTAR_ID,0))</f>
        <v>Тариф на подключение (технологическое присоединение) к централизованной системе водоотведения</v>
      </c>
      <c r="G81" s="860" t="str">
        <f aca="false">INDEX(PT_DIFFERENTIATION_NTAR,MATCH(B81,PT_DIFFERENTIATION_NTAR_ID,0))</f>
        <v/>
      </c>
      <c r="H81" s="358"/>
      <c r="I81" s="927"/>
      <c r="J81" s="928"/>
      <c r="K81" s="431"/>
      <c r="L81" s="358" t="s">
        <v>319</v>
      </c>
      <c r="M81" s="937"/>
      <c r="N81" s="676"/>
      <c r="O81" s="118"/>
      <c r="P81" s="118"/>
      <c r="AH81" s="42" t="n">
        <v>0</v>
      </c>
    </row>
    <row r="82" s="42" customFormat="true" ht="18.75" hidden="true" customHeight="true" outlineLevel="0" collapsed="false">
      <c r="A82" s="132"/>
      <c r="B82" s="132"/>
      <c r="C82" s="341" t="s">
        <v>1315</v>
      </c>
      <c r="D82" s="939"/>
      <c r="E82" s="295"/>
      <c r="F82" s="680"/>
      <c r="G82" s="860"/>
      <c r="H82" s="596"/>
      <c r="I82" s="168" t="s">
        <v>1316</v>
      </c>
      <c r="J82" s="219"/>
      <c r="K82" s="596"/>
      <c r="L82" s="728"/>
      <c r="M82" s="937"/>
      <c r="N82" s="676"/>
      <c r="O82" s="118"/>
      <c r="P82" s="118"/>
      <c r="AH82" s="42" t="n">
        <v>0</v>
      </c>
    </row>
    <row r="83" s="42" customFormat="true" ht="0.75" hidden="false" customHeight="true" outlineLevel="0" collapsed="false">
      <c r="A83" s="132"/>
      <c r="B83" s="132"/>
      <c r="C83" s="341" t="s">
        <v>1321</v>
      </c>
      <c r="D83" s="939"/>
      <c r="E83" s="295"/>
      <c r="F83" s="680"/>
      <c r="G83" s="938"/>
      <c r="H83" s="596"/>
      <c r="I83" s="168"/>
      <c r="J83" s="219"/>
      <c r="K83" s="596"/>
      <c r="L83" s="728"/>
      <c r="M83" s="937"/>
      <c r="N83" s="676"/>
      <c r="O83" s="118"/>
      <c r="P83" s="118"/>
      <c r="AH83" s="42" t="n">
        <v>1</v>
      </c>
    </row>
    <row r="84" customFormat="false" ht="19.5" hidden="false" customHeight="true" outlineLevel="0" collapsed="false">
      <c r="A84" s="132"/>
      <c r="B84" s="132"/>
      <c r="D84" s="464"/>
      <c r="E84" s="295" t="s">
        <v>102</v>
      </c>
      <c r="F84" s="942" t="str">
        <f aca="false">"Долгосрочные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942"/>
      <c r="H84" s="942"/>
      <c r="I84" s="942"/>
      <c r="J84" s="942"/>
      <c r="K84" s="942"/>
      <c r="L84" s="942"/>
      <c r="M84" s="722"/>
      <c r="N84" s="676"/>
      <c r="AH84" s="42" t="n">
        <v>19</v>
      </c>
    </row>
    <row r="85" customFormat="false" ht="35.25" hidden="false" customHeight="true" outlineLevel="0" collapsed="false">
      <c r="A85" s="132"/>
      <c r="B85" s="132"/>
      <c r="D85" s="464"/>
      <c r="E85" s="943"/>
      <c r="F85" s="185" t="s">
        <v>319</v>
      </c>
      <c r="G85" s="185" t="s">
        <v>319</v>
      </c>
      <c r="H85" s="185" t="s">
        <v>319</v>
      </c>
      <c r="I85" s="185"/>
      <c r="J85" s="185" t="s">
        <v>319</v>
      </c>
      <c r="K85" s="185" t="s">
        <v>319</v>
      </c>
      <c r="L85" s="668"/>
      <c r="M85" s="417" t="s">
        <v>1322</v>
      </c>
      <c r="N85" s="676"/>
      <c r="AH85" s="42" t="n">
        <v>34</v>
      </c>
    </row>
    <row r="86" customFormat="false" ht="19.5" hidden="false" customHeight="true" outlineLevel="0" collapsed="false">
      <c r="A86" s="132"/>
      <c r="B86" s="132"/>
      <c r="D86" s="464"/>
      <c r="E86" s="295" t="s">
        <v>89</v>
      </c>
      <c r="F86" s="942" t="s">
        <v>1323</v>
      </c>
      <c r="G86" s="942"/>
      <c r="H86" s="942"/>
      <c r="I86" s="942"/>
      <c r="J86" s="942"/>
      <c r="K86" s="942"/>
      <c r="L86" s="942"/>
      <c r="M86" s="722"/>
      <c r="N86" s="676"/>
      <c r="AH86" s="42" t="n">
        <v>19</v>
      </c>
    </row>
    <row r="87" s="42" customFormat="true" ht="60.75" hidden="true" customHeight="true" outlineLevel="0" collapsed="false">
      <c r="A87" s="132" t="s">
        <v>170</v>
      </c>
      <c r="B87" s="132" t="s">
        <v>171</v>
      </c>
      <c r="C87" s="341"/>
      <c r="D87" s="939"/>
      <c r="E87" s="295"/>
      <c r="F87" s="680" t="str">
        <f aca="false">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860" t="str">
        <f aca="false">INDEX(PT_DIFFERENTIATION_NTAR,MATCH(B87,PT_DIFFERENTIATION_NTAR_ID,0))</f>
        <v/>
      </c>
      <c r="H87" s="358"/>
      <c r="I87" s="927"/>
      <c r="J87" s="928"/>
      <c r="K87" s="371"/>
      <c r="L87" s="358" t="s">
        <v>319</v>
      </c>
      <c r="M87" s="911"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76"/>
      <c r="O87" s="118"/>
      <c r="P87" s="118"/>
      <c r="AH87" s="42" t="n">
        <v>0</v>
      </c>
    </row>
    <row r="88" s="42" customFormat="true" ht="18.75" hidden="true" customHeight="true" outlineLevel="0" collapsed="false">
      <c r="A88" s="132"/>
      <c r="B88" s="132"/>
      <c r="C88" s="341" t="s">
        <v>1317</v>
      </c>
      <c r="D88" s="939"/>
      <c r="E88" s="295"/>
      <c r="F88" s="680"/>
      <c r="G88" s="860"/>
      <c r="H88" s="596"/>
      <c r="I88" s="168" t="s">
        <v>1316</v>
      </c>
      <c r="J88" s="219"/>
      <c r="K88" s="596"/>
      <c r="L88" s="728"/>
      <c r="M88" s="911"/>
      <c r="N88" s="676"/>
      <c r="O88" s="118"/>
      <c r="P88" s="118"/>
      <c r="AH88" s="42" t="n">
        <v>0</v>
      </c>
    </row>
    <row r="89" s="42" customFormat="true" ht="0.75" hidden="true" customHeight="true" outlineLevel="0" collapsed="false">
      <c r="A89" s="132"/>
      <c r="B89" s="132"/>
      <c r="C89" s="341" t="s">
        <v>1324</v>
      </c>
      <c r="D89" s="939"/>
      <c r="E89" s="295"/>
      <c r="F89" s="680"/>
      <c r="G89" s="938"/>
      <c r="H89" s="596"/>
      <c r="I89" s="168"/>
      <c r="J89" s="219"/>
      <c r="K89" s="596"/>
      <c r="L89" s="728"/>
      <c r="M89" s="911"/>
      <c r="N89" s="676"/>
      <c r="O89" s="118"/>
      <c r="P89" s="118"/>
      <c r="AH89" s="42" t="n">
        <v>0</v>
      </c>
    </row>
    <row r="90" s="42" customFormat="true" ht="45" hidden="true" customHeight="true" outlineLevel="0" collapsed="false">
      <c r="A90" s="132" t="s">
        <v>175</v>
      </c>
      <c r="B90" s="132" t="s">
        <v>176</v>
      </c>
      <c r="C90" s="341"/>
      <c r="D90" s="939"/>
      <c r="E90" s="295"/>
      <c r="F90" s="680" t="str">
        <f aca="false">INDEX(PT_DIFFERENTIATION_VTAR,MATCH(A90,PT_DIFFERENTIATION_VTAR_ID,0))</f>
        <v/>
      </c>
      <c r="G90" s="860" t="str">
        <f aca="false">INDEX(PT_DIFFERENTIATION_NTAR,MATCH(B90,PT_DIFFERENTIATION_NTAR_ID,0))</f>
        <v/>
      </c>
      <c r="H90" s="358"/>
      <c r="I90" s="927"/>
      <c r="J90" s="928"/>
      <c r="K90" s="371"/>
      <c r="L90" s="358" t="s">
        <v>319</v>
      </c>
      <c r="M90" s="911"/>
      <c r="N90" s="676"/>
      <c r="O90" s="118"/>
      <c r="P90" s="118"/>
      <c r="AH90" s="42" t="n">
        <v>0</v>
      </c>
    </row>
    <row r="91" s="42" customFormat="true" ht="18.75" hidden="true" customHeight="true" outlineLevel="0" collapsed="false">
      <c r="A91" s="132"/>
      <c r="B91" s="132"/>
      <c r="C91" s="341" t="s">
        <v>1317</v>
      </c>
      <c r="D91" s="939"/>
      <c r="E91" s="295"/>
      <c r="F91" s="680"/>
      <c r="G91" s="860"/>
      <c r="H91" s="596"/>
      <c r="I91" s="168" t="s">
        <v>1316</v>
      </c>
      <c r="J91" s="219"/>
      <c r="K91" s="596"/>
      <c r="L91" s="728"/>
      <c r="M91" s="944"/>
      <c r="N91" s="676"/>
      <c r="O91" s="118"/>
      <c r="P91" s="118"/>
      <c r="AH91" s="42" t="n">
        <v>0</v>
      </c>
    </row>
    <row r="92" s="42" customFormat="true" ht="0.75" hidden="true" customHeight="true" outlineLevel="0" collapsed="false">
      <c r="A92" s="132"/>
      <c r="B92" s="132"/>
      <c r="C92" s="341" t="s">
        <v>1324</v>
      </c>
      <c r="D92" s="939"/>
      <c r="E92" s="295"/>
      <c r="F92" s="680"/>
      <c r="G92" s="938"/>
      <c r="H92" s="596"/>
      <c r="I92" s="168"/>
      <c r="J92" s="219"/>
      <c r="K92" s="596"/>
      <c r="L92" s="728"/>
      <c r="M92" s="922"/>
      <c r="N92" s="676"/>
      <c r="O92" s="118"/>
      <c r="P92" s="118"/>
      <c r="AH92" s="42" t="n">
        <v>0</v>
      </c>
    </row>
    <row r="93" s="42" customFormat="true" ht="45" hidden="true" customHeight="true" outlineLevel="0" collapsed="false">
      <c r="A93" s="132" t="s">
        <v>182</v>
      </c>
      <c r="B93" s="132" t="s">
        <v>183</v>
      </c>
      <c r="C93" s="341"/>
      <c r="D93" s="939"/>
      <c r="E93" s="295"/>
      <c r="F93" s="680" t="str">
        <f aca="false">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860" t="str">
        <f aca="false">INDEX(PT_DIFFERENTIATION_NTAR,MATCH(B93,PT_DIFFERENTIATION_NTAR_ID,0))</f>
        <v/>
      </c>
      <c r="H93" s="358"/>
      <c r="I93" s="927"/>
      <c r="J93" s="928"/>
      <c r="K93" s="371"/>
      <c r="L93" s="358" t="s">
        <v>319</v>
      </c>
      <c r="M93" s="922"/>
      <c r="N93" s="676"/>
      <c r="O93" s="118"/>
      <c r="P93" s="118"/>
      <c r="AH93" s="42" t="n">
        <v>0</v>
      </c>
    </row>
    <row r="94" s="42" customFormat="true" ht="18.75" hidden="true" customHeight="true" outlineLevel="0" collapsed="false">
      <c r="A94" s="132"/>
      <c r="B94" s="132"/>
      <c r="C94" s="341" t="s">
        <v>1317</v>
      </c>
      <c r="D94" s="939"/>
      <c r="E94" s="295"/>
      <c r="F94" s="680"/>
      <c r="G94" s="860"/>
      <c r="H94" s="596"/>
      <c r="I94" s="168" t="s">
        <v>1316</v>
      </c>
      <c r="J94" s="219"/>
      <c r="K94" s="596"/>
      <c r="L94" s="728"/>
      <c r="M94" s="922"/>
      <c r="N94" s="676"/>
      <c r="O94" s="118"/>
      <c r="P94" s="118"/>
      <c r="AH94" s="42" t="n">
        <v>0</v>
      </c>
    </row>
    <row r="95" s="42" customFormat="true" ht="0.75" hidden="true" customHeight="true" outlineLevel="0" collapsed="false">
      <c r="A95" s="132"/>
      <c r="B95" s="132"/>
      <c r="C95" s="341" t="s">
        <v>1324</v>
      </c>
      <c r="D95" s="939"/>
      <c r="E95" s="295"/>
      <c r="F95" s="680"/>
      <c r="G95" s="938"/>
      <c r="H95" s="596"/>
      <c r="I95" s="168"/>
      <c r="J95" s="219"/>
      <c r="K95" s="596"/>
      <c r="L95" s="728"/>
      <c r="M95" s="922"/>
      <c r="N95" s="676"/>
      <c r="O95" s="118"/>
      <c r="P95" s="118"/>
      <c r="AH95" s="42" t="n">
        <v>0</v>
      </c>
    </row>
    <row r="96" s="42" customFormat="true" ht="45" hidden="true" customHeight="true" outlineLevel="0" collapsed="false">
      <c r="A96" s="132" t="s">
        <v>188</v>
      </c>
      <c r="B96" s="132" t="s">
        <v>189</v>
      </c>
      <c r="C96" s="341"/>
      <c r="D96" s="939"/>
      <c r="E96" s="295"/>
      <c r="F96" s="680" t="str">
        <f aca="false">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860" t="str">
        <f aca="false">INDEX(PT_DIFFERENTIATION_NTAR,MATCH(B96,PT_DIFFERENTIATION_NTAR_ID,0))</f>
        <v/>
      </c>
      <c r="H96" s="358"/>
      <c r="I96" s="927"/>
      <c r="J96" s="928"/>
      <c r="K96" s="371"/>
      <c r="L96" s="358" t="s">
        <v>319</v>
      </c>
      <c r="M96" s="922"/>
      <c r="N96" s="676"/>
      <c r="O96" s="118"/>
      <c r="P96" s="118"/>
      <c r="AH96" s="42" t="n">
        <v>0</v>
      </c>
    </row>
    <row r="97" s="42" customFormat="true" ht="18.75" hidden="true" customHeight="true" outlineLevel="0" collapsed="false">
      <c r="A97" s="132"/>
      <c r="B97" s="132"/>
      <c r="C97" s="341" t="s">
        <v>1317</v>
      </c>
      <c r="D97" s="939"/>
      <c r="E97" s="295"/>
      <c r="F97" s="680"/>
      <c r="G97" s="860"/>
      <c r="H97" s="596"/>
      <c r="I97" s="168" t="s">
        <v>1316</v>
      </c>
      <c r="J97" s="219"/>
      <c r="K97" s="596"/>
      <c r="L97" s="728"/>
      <c r="M97" s="922"/>
      <c r="N97" s="676"/>
      <c r="O97" s="118"/>
      <c r="P97" s="118"/>
      <c r="AH97" s="42" t="n">
        <v>0</v>
      </c>
    </row>
    <row r="98" s="42" customFormat="true" ht="0.75" hidden="true" customHeight="true" outlineLevel="0" collapsed="false">
      <c r="A98" s="132"/>
      <c r="B98" s="132"/>
      <c r="C98" s="341" t="s">
        <v>1324</v>
      </c>
      <c r="D98" s="939"/>
      <c r="E98" s="295"/>
      <c r="F98" s="680"/>
      <c r="G98" s="938"/>
      <c r="H98" s="596"/>
      <c r="I98" s="168"/>
      <c r="J98" s="219"/>
      <c r="K98" s="596"/>
      <c r="L98" s="728"/>
      <c r="M98" s="922"/>
      <c r="N98" s="676"/>
      <c r="O98" s="118"/>
      <c r="P98" s="118"/>
      <c r="AH98" s="42" t="n">
        <v>0</v>
      </c>
    </row>
    <row r="99" s="42" customFormat="true" ht="18.75" hidden="true" customHeight="true" outlineLevel="0" collapsed="false">
      <c r="A99" s="132" t="s">
        <v>194</v>
      </c>
      <c r="B99" s="132" t="s">
        <v>195</v>
      </c>
      <c r="C99" s="341"/>
      <c r="D99" s="939"/>
      <c r="E99" s="295"/>
      <c r="F99" s="680" t="str">
        <f aca="false">INDEX(PT_DIFFERENTIATION_VTAR,MATCH(A99,PT_DIFFERENTIATION_VTAR_ID,0))</f>
        <v>Тарифы на услуги по передаче тепловой энергии</v>
      </c>
      <c r="G99" s="860" t="str">
        <f aca="false">INDEX(PT_DIFFERENTIATION_NTAR,MATCH(B99,PT_DIFFERENTIATION_NTAR_ID,0))</f>
        <v/>
      </c>
      <c r="H99" s="358"/>
      <c r="I99" s="927"/>
      <c r="J99" s="928"/>
      <c r="K99" s="371"/>
      <c r="L99" s="358" t="s">
        <v>319</v>
      </c>
      <c r="M99" s="922"/>
      <c r="N99" s="676"/>
      <c r="O99" s="118"/>
      <c r="P99" s="118"/>
      <c r="AH99" s="42" t="n">
        <v>0</v>
      </c>
    </row>
    <row r="100" s="42" customFormat="true" ht="18.75" hidden="true" customHeight="true" outlineLevel="0" collapsed="false">
      <c r="A100" s="132"/>
      <c r="B100" s="132"/>
      <c r="C100" s="341" t="s">
        <v>1317</v>
      </c>
      <c r="D100" s="939"/>
      <c r="E100" s="295"/>
      <c r="F100" s="680"/>
      <c r="G100" s="860"/>
      <c r="H100" s="596"/>
      <c r="I100" s="168" t="s">
        <v>1316</v>
      </c>
      <c r="J100" s="219"/>
      <c r="K100" s="596"/>
      <c r="L100" s="728"/>
      <c r="M100" s="922"/>
      <c r="N100" s="676"/>
      <c r="O100" s="118"/>
      <c r="P100" s="118"/>
      <c r="AH100" s="42" t="n">
        <v>0</v>
      </c>
    </row>
    <row r="101" s="42" customFormat="true" ht="0.75" hidden="true" customHeight="true" outlineLevel="0" collapsed="false">
      <c r="A101" s="132"/>
      <c r="B101" s="132"/>
      <c r="C101" s="341" t="s">
        <v>1324</v>
      </c>
      <c r="D101" s="939"/>
      <c r="E101" s="295"/>
      <c r="F101" s="680"/>
      <c r="G101" s="938"/>
      <c r="H101" s="596"/>
      <c r="I101" s="168"/>
      <c r="J101" s="219"/>
      <c r="K101" s="596"/>
      <c r="L101" s="728"/>
      <c r="M101" s="922"/>
      <c r="N101" s="676"/>
      <c r="O101" s="118"/>
      <c r="P101" s="118"/>
      <c r="AH101" s="42" t="n">
        <v>0</v>
      </c>
    </row>
    <row r="102" s="42" customFormat="true" ht="18.75" hidden="true" customHeight="true" outlineLevel="0" collapsed="false">
      <c r="A102" s="132" t="s">
        <v>200</v>
      </c>
      <c r="B102" s="132" t="s">
        <v>201</v>
      </c>
      <c r="C102" s="341"/>
      <c r="D102" s="939"/>
      <c r="E102" s="295"/>
      <c r="F102" s="680" t="str">
        <f aca="false">INDEX(PT_DIFFERENTIATION_VTAR,MATCH(A102,PT_DIFFERENTIATION_VTAR_ID,0))</f>
        <v>Тарифы на услуги по передаче теплоносителя</v>
      </c>
      <c r="G102" s="860" t="str">
        <f aca="false">INDEX(PT_DIFFERENTIATION_NTAR,MATCH(B102,PT_DIFFERENTIATION_NTAR_ID,0))</f>
        <v/>
      </c>
      <c r="H102" s="358"/>
      <c r="I102" s="927"/>
      <c r="J102" s="928"/>
      <c r="K102" s="371"/>
      <c r="L102" s="358" t="s">
        <v>319</v>
      </c>
      <c r="M102" s="922"/>
      <c r="N102" s="676"/>
      <c r="O102" s="118"/>
      <c r="P102" s="118"/>
      <c r="AH102" s="42" t="n">
        <v>0</v>
      </c>
    </row>
    <row r="103" s="42" customFormat="true" ht="18.75" hidden="true" customHeight="true" outlineLevel="0" collapsed="false">
      <c r="A103" s="132"/>
      <c r="B103" s="132"/>
      <c r="C103" s="341" t="s">
        <v>1317</v>
      </c>
      <c r="D103" s="939"/>
      <c r="E103" s="295"/>
      <c r="F103" s="680"/>
      <c r="G103" s="860"/>
      <c r="H103" s="596"/>
      <c r="I103" s="168" t="s">
        <v>1316</v>
      </c>
      <c r="J103" s="219"/>
      <c r="K103" s="596"/>
      <c r="L103" s="728"/>
      <c r="M103" s="922"/>
      <c r="N103" s="676"/>
      <c r="O103" s="118"/>
      <c r="P103" s="118"/>
      <c r="AH103" s="42" t="n">
        <v>0</v>
      </c>
    </row>
    <row r="104" s="42" customFormat="true" ht="0.75" hidden="true" customHeight="true" outlineLevel="0" collapsed="false">
      <c r="A104" s="132"/>
      <c r="B104" s="132"/>
      <c r="C104" s="341" t="s">
        <v>1324</v>
      </c>
      <c r="D104" s="939"/>
      <c r="E104" s="295"/>
      <c r="F104" s="680"/>
      <c r="G104" s="938"/>
      <c r="H104" s="596"/>
      <c r="I104" s="168"/>
      <c r="J104" s="219"/>
      <c r="K104" s="596"/>
      <c r="L104" s="728"/>
      <c r="M104" s="922"/>
      <c r="N104" s="676"/>
      <c r="O104" s="118"/>
      <c r="P104" s="118"/>
      <c r="AH104" s="42" t="n">
        <v>0</v>
      </c>
    </row>
    <row r="105" s="42" customFormat="true" ht="18.75" hidden="true" customHeight="true" outlineLevel="0" collapsed="false">
      <c r="A105" s="132" t="s">
        <v>206</v>
      </c>
      <c r="B105" s="132" t="s">
        <v>207</v>
      </c>
      <c r="C105" s="341"/>
      <c r="D105" s="939"/>
      <c r="E105" s="295"/>
      <c r="F105" s="680" t="str">
        <f aca="false">INDEX(PT_DIFFERENTIATION_VTAR,MATCH(A105,PT_DIFFERENTIATION_VTAR_ID,0))</f>
        <v>Плата за услуги по поддержанию резервной тепловой мощности при отсутствии потребления тепловой энергии</v>
      </c>
      <c r="G105" s="860" t="str">
        <f aca="false">INDEX(PT_DIFFERENTIATION_NTAR,MATCH(B105,PT_DIFFERENTIATION_NTAR_ID,0))</f>
        <v/>
      </c>
      <c r="H105" s="358"/>
      <c r="I105" s="927"/>
      <c r="J105" s="928"/>
      <c r="K105" s="371"/>
      <c r="L105" s="358" t="s">
        <v>319</v>
      </c>
      <c r="M105" s="922"/>
      <c r="N105" s="676"/>
      <c r="O105" s="118"/>
      <c r="P105" s="118"/>
      <c r="AH105" s="42" t="n">
        <v>0</v>
      </c>
    </row>
    <row r="106" s="42" customFormat="true" ht="18.75" hidden="true" customHeight="true" outlineLevel="0" collapsed="false">
      <c r="A106" s="132"/>
      <c r="B106" s="132"/>
      <c r="C106" s="341" t="s">
        <v>1317</v>
      </c>
      <c r="D106" s="939"/>
      <c r="E106" s="295"/>
      <c r="F106" s="680"/>
      <c r="G106" s="860"/>
      <c r="H106" s="596"/>
      <c r="I106" s="168" t="s">
        <v>1316</v>
      </c>
      <c r="J106" s="219"/>
      <c r="K106" s="596"/>
      <c r="L106" s="728"/>
      <c r="M106" s="922"/>
      <c r="N106" s="676"/>
      <c r="O106" s="118"/>
      <c r="P106" s="118"/>
      <c r="AH106" s="42" t="n">
        <v>0</v>
      </c>
    </row>
    <row r="107" s="42" customFormat="true" ht="0.75" hidden="true" customHeight="true" outlineLevel="0" collapsed="false">
      <c r="A107" s="132"/>
      <c r="B107" s="132"/>
      <c r="C107" s="341" t="s">
        <v>1324</v>
      </c>
      <c r="D107" s="939"/>
      <c r="E107" s="295"/>
      <c r="F107" s="680"/>
      <c r="G107" s="938"/>
      <c r="H107" s="596"/>
      <c r="I107" s="168"/>
      <c r="J107" s="219"/>
      <c r="K107" s="596"/>
      <c r="L107" s="728"/>
      <c r="M107" s="922"/>
      <c r="N107" s="676"/>
      <c r="O107" s="118"/>
      <c r="P107" s="118"/>
      <c r="AH107" s="42" t="n">
        <v>0</v>
      </c>
    </row>
    <row r="108" s="42" customFormat="true" ht="18.75" hidden="true" customHeight="true" outlineLevel="0" collapsed="false">
      <c r="A108" s="132" t="s">
        <v>212</v>
      </c>
      <c r="B108" s="132" t="s">
        <v>213</v>
      </c>
      <c r="C108" s="341"/>
      <c r="D108" s="939"/>
      <c r="E108" s="295"/>
      <c r="F108" s="680" t="str">
        <f aca="false">INDEX(PT_DIFFERENTIATION_VTAR,MATCH(A108,PT_DIFFERENTIATION_VTAR_ID,0))</f>
        <v>Плата за подключение (технологическое присоединение) к системе теплоснабжения</v>
      </c>
      <c r="G108" s="860" t="str">
        <f aca="false">INDEX(PT_DIFFERENTIATION_NTAR,MATCH(B108,PT_DIFFERENTIATION_NTAR_ID,0))</f>
        <v/>
      </c>
      <c r="H108" s="358"/>
      <c r="I108" s="927"/>
      <c r="J108" s="928"/>
      <c r="K108" s="371"/>
      <c r="L108" s="358" t="s">
        <v>319</v>
      </c>
      <c r="M108" s="922"/>
      <c r="N108" s="676"/>
      <c r="O108" s="118"/>
      <c r="P108" s="118"/>
      <c r="AH108" s="42" t="n">
        <v>0</v>
      </c>
    </row>
    <row r="109" s="42" customFormat="true" ht="18.75" hidden="true" customHeight="true" outlineLevel="0" collapsed="false">
      <c r="A109" s="132"/>
      <c r="B109" s="132"/>
      <c r="C109" s="341" t="s">
        <v>1317</v>
      </c>
      <c r="D109" s="939"/>
      <c r="E109" s="295"/>
      <c r="F109" s="680"/>
      <c r="G109" s="860"/>
      <c r="H109" s="596"/>
      <c r="I109" s="168" t="s">
        <v>1316</v>
      </c>
      <c r="J109" s="219"/>
      <c r="K109" s="596"/>
      <c r="L109" s="728"/>
      <c r="M109" s="922"/>
      <c r="N109" s="676"/>
      <c r="O109" s="118"/>
      <c r="P109" s="118"/>
      <c r="AH109" s="42" t="n">
        <v>0</v>
      </c>
    </row>
    <row r="110" s="42" customFormat="true" ht="0.75" hidden="true" customHeight="true" outlineLevel="0" collapsed="false">
      <c r="A110" s="132"/>
      <c r="B110" s="132"/>
      <c r="C110" s="341" t="s">
        <v>1324</v>
      </c>
      <c r="D110" s="939"/>
      <c r="E110" s="295"/>
      <c r="F110" s="680"/>
      <c r="G110" s="938"/>
      <c r="H110" s="596"/>
      <c r="I110" s="168"/>
      <c r="J110" s="219"/>
      <c r="K110" s="596"/>
      <c r="L110" s="728"/>
      <c r="M110" s="922"/>
      <c r="N110" s="676"/>
      <c r="O110" s="118"/>
      <c r="P110" s="118"/>
      <c r="AH110" s="42" t="n">
        <v>0</v>
      </c>
    </row>
    <row r="111" s="42" customFormat="true" ht="18.75" hidden="true" customHeight="true" outlineLevel="0" collapsed="false">
      <c r="A111" s="132" t="s">
        <v>218</v>
      </c>
      <c r="B111" s="132" t="s">
        <v>219</v>
      </c>
      <c r="C111" s="341"/>
      <c r="D111" s="939"/>
      <c r="E111" s="295"/>
      <c r="F111" s="680" t="str">
        <f aca="false">INDEX(PT_DIFFERENTIATION_VTAR,MATCH(A111,PT_DIFFERENTIATION_VTAR_ID,0))</f>
        <v>Плата за подключение (технологическое присоединение) к системе теплоснабжения (индивидуальная)</v>
      </c>
      <c r="G111" s="860" t="str">
        <f aca="false">INDEX(PT_DIFFERENTIATION_NTAR,MATCH(B111,PT_DIFFERENTIATION_NTAR_ID,0))</f>
        <v/>
      </c>
      <c r="H111" s="358"/>
      <c r="I111" s="927"/>
      <c r="J111" s="928"/>
      <c r="K111" s="371"/>
      <c r="L111" s="358" t="s">
        <v>319</v>
      </c>
      <c r="M111" s="922"/>
      <c r="N111" s="676"/>
      <c r="O111" s="118"/>
      <c r="P111" s="118"/>
      <c r="AH111" s="42" t="n">
        <v>0</v>
      </c>
    </row>
    <row r="112" s="42" customFormat="true" ht="18.75" hidden="true" customHeight="true" outlineLevel="0" collapsed="false">
      <c r="A112" s="132"/>
      <c r="B112" s="132"/>
      <c r="C112" s="341" t="s">
        <v>1317</v>
      </c>
      <c r="D112" s="939"/>
      <c r="E112" s="295"/>
      <c r="F112" s="680"/>
      <c r="G112" s="860"/>
      <c r="H112" s="596"/>
      <c r="I112" s="168" t="s">
        <v>1316</v>
      </c>
      <c r="J112" s="219"/>
      <c r="K112" s="596"/>
      <c r="L112" s="728"/>
      <c r="M112" s="922"/>
      <c r="N112" s="676"/>
      <c r="O112" s="118"/>
      <c r="P112" s="118"/>
      <c r="AH112" s="42" t="n">
        <v>0</v>
      </c>
    </row>
    <row r="113" s="42" customFormat="true" ht="0.75" hidden="true" customHeight="true" outlineLevel="0" collapsed="false">
      <c r="A113" s="132"/>
      <c r="B113" s="132"/>
      <c r="C113" s="341" t="s">
        <v>1324</v>
      </c>
      <c r="D113" s="939"/>
      <c r="E113" s="295"/>
      <c r="F113" s="680"/>
      <c r="G113" s="938"/>
      <c r="H113" s="596"/>
      <c r="I113" s="168"/>
      <c r="J113" s="219"/>
      <c r="K113" s="596"/>
      <c r="L113" s="728"/>
      <c r="M113" s="922"/>
      <c r="N113" s="676"/>
      <c r="O113" s="118"/>
      <c r="P113" s="118"/>
      <c r="AH113" s="42" t="n">
        <v>0</v>
      </c>
    </row>
    <row r="114" s="42" customFormat="true" ht="18.75" hidden="true" customHeight="true" outlineLevel="0" collapsed="false">
      <c r="A114" s="132" t="s">
        <v>238</v>
      </c>
      <c r="B114" s="132" t="s">
        <v>239</v>
      </c>
      <c r="C114" s="341"/>
      <c r="D114" s="939"/>
      <c r="E114" s="295"/>
      <c r="F114" s="680" t="str">
        <f aca="false">INDEX(PT_DIFFERENTIATION_VTAR,MATCH(A114,PT_DIFFERENTIATION_VTAR_ID,0))</f>
        <v>Тариф на питьевую воду (питьевое водоснабжение)</v>
      </c>
      <c r="G114" s="860" t="str">
        <f aca="false">INDEX(PT_DIFFERENTIATION_NTAR,MATCH(B114,PT_DIFFERENTIATION_NTAR_ID,0))</f>
        <v/>
      </c>
      <c r="H114" s="358"/>
      <c r="I114" s="927"/>
      <c r="J114" s="928"/>
      <c r="K114" s="371"/>
      <c r="L114" s="358" t="s">
        <v>319</v>
      </c>
      <c r="M114" s="922"/>
      <c r="N114" s="676"/>
      <c r="O114" s="118"/>
      <c r="P114" s="118"/>
      <c r="AH114" s="42" t="n">
        <v>0</v>
      </c>
    </row>
    <row r="115" s="42" customFormat="true" ht="18.75" hidden="true" customHeight="true" outlineLevel="0" collapsed="false">
      <c r="A115" s="132"/>
      <c r="B115" s="132"/>
      <c r="C115" s="341" t="s">
        <v>1317</v>
      </c>
      <c r="D115" s="939"/>
      <c r="E115" s="295"/>
      <c r="F115" s="680"/>
      <c r="G115" s="860"/>
      <c r="H115" s="596"/>
      <c r="I115" s="168" t="s">
        <v>1316</v>
      </c>
      <c r="J115" s="219"/>
      <c r="K115" s="596"/>
      <c r="L115" s="728"/>
      <c r="M115" s="922"/>
      <c r="N115" s="676"/>
      <c r="O115" s="118"/>
      <c r="P115" s="118"/>
      <c r="AH115" s="42" t="n">
        <v>0</v>
      </c>
    </row>
    <row r="116" s="42" customFormat="true" ht="0.75" hidden="true" customHeight="true" outlineLevel="0" collapsed="false">
      <c r="A116" s="132"/>
      <c r="B116" s="132"/>
      <c r="C116" s="341" t="s">
        <v>1324</v>
      </c>
      <c r="D116" s="939"/>
      <c r="E116" s="295"/>
      <c r="F116" s="680"/>
      <c r="G116" s="938"/>
      <c r="H116" s="596"/>
      <c r="I116" s="168"/>
      <c r="J116" s="219"/>
      <c r="K116" s="596"/>
      <c r="L116" s="728"/>
      <c r="M116" s="922"/>
      <c r="N116" s="676"/>
      <c r="O116" s="118"/>
      <c r="P116" s="118"/>
      <c r="AH116" s="42" t="n">
        <v>0</v>
      </c>
    </row>
    <row r="117" s="42" customFormat="true" ht="18.75" hidden="true" customHeight="true" outlineLevel="0" collapsed="false">
      <c r="A117" s="132" t="s">
        <v>243</v>
      </c>
      <c r="B117" s="132" t="s">
        <v>244</v>
      </c>
      <c r="C117" s="341"/>
      <c r="D117" s="939"/>
      <c r="E117" s="295"/>
      <c r="F117" s="680" t="str">
        <f aca="false">INDEX(PT_DIFFERENTIATION_VTAR,MATCH(A117,PT_DIFFERENTIATION_VTAR_ID,0))</f>
        <v>Тариф на техническую воду</v>
      </c>
      <c r="G117" s="860" t="str">
        <f aca="false">INDEX(PT_DIFFERENTIATION_NTAR,MATCH(B117,PT_DIFFERENTIATION_NTAR_ID,0))</f>
        <v/>
      </c>
      <c r="H117" s="358"/>
      <c r="I117" s="927"/>
      <c r="J117" s="928"/>
      <c r="K117" s="371"/>
      <c r="L117" s="358" t="s">
        <v>319</v>
      </c>
      <c r="M117" s="922"/>
      <c r="N117" s="676"/>
      <c r="O117" s="118"/>
      <c r="P117" s="118"/>
      <c r="AH117" s="42" t="n">
        <v>0</v>
      </c>
    </row>
    <row r="118" s="42" customFormat="true" ht="18.75" hidden="true" customHeight="true" outlineLevel="0" collapsed="false">
      <c r="A118" s="132"/>
      <c r="B118" s="132"/>
      <c r="C118" s="341" t="s">
        <v>1317</v>
      </c>
      <c r="D118" s="939"/>
      <c r="E118" s="295"/>
      <c r="F118" s="680"/>
      <c r="G118" s="860"/>
      <c r="H118" s="596"/>
      <c r="I118" s="168" t="s">
        <v>1316</v>
      </c>
      <c r="J118" s="219"/>
      <c r="K118" s="596"/>
      <c r="L118" s="728"/>
      <c r="M118" s="922"/>
      <c r="N118" s="676"/>
      <c r="O118" s="118"/>
      <c r="P118" s="118"/>
      <c r="AH118" s="42" t="n">
        <v>0</v>
      </c>
    </row>
    <row r="119" s="42" customFormat="true" ht="0.75" hidden="true" customHeight="true" outlineLevel="0" collapsed="false">
      <c r="A119" s="132"/>
      <c r="B119" s="132"/>
      <c r="C119" s="341" t="s">
        <v>1324</v>
      </c>
      <c r="D119" s="939"/>
      <c r="E119" s="295"/>
      <c r="F119" s="680"/>
      <c r="G119" s="938"/>
      <c r="H119" s="596"/>
      <c r="I119" s="168"/>
      <c r="J119" s="219"/>
      <c r="K119" s="596"/>
      <c r="L119" s="728"/>
      <c r="M119" s="922"/>
      <c r="N119" s="676"/>
      <c r="O119" s="118"/>
      <c r="P119" s="118"/>
      <c r="AH119" s="42" t="n">
        <v>0</v>
      </c>
    </row>
    <row r="120" s="42" customFormat="true" ht="18.75" hidden="true" customHeight="true" outlineLevel="0" collapsed="false">
      <c r="A120" s="132" t="s">
        <v>248</v>
      </c>
      <c r="B120" s="132" t="s">
        <v>249</v>
      </c>
      <c r="C120" s="341"/>
      <c r="D120" s="939"/>
      <c r="E120" s="295"/>
      <c r="F120" s="680" t="str">
        <f aca="false">INDEX(PT_DIFFERENTIATION_VTAR,MATCH(A120,PT_DIFFERENTIATION_VTAR_ID,0))</f>
        <v>Тариф на транспортировку воды</v>
      </c>
      <c r="G120" s="860" t="str">
        <f aca="false">INDEX(PT_DIFFERENTIATION_NTAR,MATCH(B120,PT_DIFFERENTIATION_NTAR_ID,0))</f>
        <v/>
      </c>
      <c r="H120" s="358"/>
      <c r="I120" s="927"/>
      <c r="J120" s="928"/>
      <c r="K120" s="371"/>
      <c r="L120" s="358" t="s">
        <v>319</v>
      </c>
      <c r="M120" s="922"/>
      <c r="N120" s="676"/>
      <c r="O120" s="118"/>
      <c r="P120" s="118"/>
      <c r="AH120" s="42" t="n">
        <v>0</v>
      </c>
    </row>
    <row r="121" s="42" customFormat="true" ht="18.75" hidden="true" customHeight="true" outlineLevel="0" collapsed="false">
      <c r="A121" s="132"/>
      <c r="B121" s="132"/>
      <c r="C121" s="341" t="s">
        <v>1317</v>
      </c>
      <c r="D121" s="939"/>
      <c r="E121" s="295"/>
      <c r="F121" s="680"/>
      <c r="G121" s="860"/>
      <c r="H121" s="596"/>
      <c r="I121" s="168" t="s">
        <v>1316</v>
      </c>
      <c r="J121" s="219"/>
      <c r="K121" s="596"/>
      <c r="L121" s="728"/>
      <c r="M121" s="922"/>
      <c r="N121" s="676"/>
      <c r="O121" s="118"/>
      <c r="P121" s="118"/>
      <c r="AH121" s="42" t="n">
        <v>0</v>
      </c>
    </row>
    <row r="122" s="42" customFormat="true" ht="0.75" hidden="true" customHeight="true" outlineLevel="0" collapsed="false">
      <c r="A122" s="132"/>
      <c r="B122" s="132"/>
      <c r="C122" s="341" t="s">
        <v>1324</v>
      </c>
      <c r="D122" s="939"/>
      <c r="E122" s="295"/>
      <c r="F122" s="680"/>
      <c r="G122" s="938"/>
      <c r="H122" s="596"/>
      <c r="I122" s="168"/>
      <c r="J122" s="219"/>
      <c r="K122" s="596"/>
      <c r="L122" s="728"/>
      <c r="M122" s="922"/>
      <c r="N122" s="676"/>
      <c r="O122" s="118"/>
      <c r="P122" s="118"/>
      <c r="AH122" s="42" t="n">
        <v>0</v>
      </c>
    </row>
    <row r="123" s="42" customFormat="true" ht="18.75" hidden="true" customHeight="true" outlineLevel="0" collapsed="false">
      <c r="A123" s="132" t="s">
        <v>253</v>
      </c>
      <c r="B123" s="132" t="s">
        <v>254</v>
      </c>
      <c r="C123" s="341"/>
      <c r="D123" s="939"/>
      <c r="E123" s="295"/>
      <c r="F123" s="680" t="str">
        <f aca="false">INDEX(PT_DIFFERENTIATION_VTAR,MATCH(A123,PT_DIFFERENTIATION_VTAR_ID,0))</f>
        <v>Тариф на подвоз воды</v>
      </c>
      <c r="G123" s="860" t="str">
        <f aca="false">INDEX(PT_DIFFERENTIATION_NTAR,MATCH(B123,PT_DIFFERENTIATION_NTAR_ID,0))</f>
        <v/>
      </c>
      <c r="H123" s="358"/>
      <c r="I123" s="927"/>
      <c r="J123" s="928"/>
      <c r="K123" s="371"/>
      <c r="L123" s="358" t="s">
        <v>319</v>
      </c>
      <c r="M123" s="922"/>
      <c r="N123" s="676"/>
      <c r="O123" s="118"/>
      <c r="P123" s="118"/>
      <c r="AH123" s="42" t="n">
        <v>0</v>
      </c>
    </row>
    <row r="124" s="42" customFormat="true" ht="18.75" hidden="true" customHeight="true" outlineLevel="0" collapsed="false">
      <c r="A124" s="132"/>
      <c r="B124" s="132"/>
      <c r="C124" s="341" t="s">
        <v>1317</v>
      </c>
      <c r="D124" s="939"/>
      <c r="E124" s="295"/>
      <c r="F124" s="680"/>
      <c r="G124" s="860"/>
      <c r="H124" s="596"/>
      <c r="I124" s="168" t="s">
        <v>1316</v>
      </c>
      <c r="J124" s="219"/>
      <c r="K124" s="596"/>
      <c r="L124" s="728"/>
      <c r="M124" s="922"/>
      <c r="N124" s="676"/>
      <c r="O124" s="118"/>
      <c r="P124" s="118"/>
      <c r="AH124" s="42" t="n">
        <v>0</v>
      </c>
    </row>
    <row r="125" s="42" customFormat="true" ht="0.75" hidden="true" customHeight="true" outlineLevel="0" collapsed="false">
      <c r="A125" s="132"/>
      <c r="B125" s="132"/>
      <c r="C125" s="341" t="s">
        <v>1324</v>
      </c>
      <c r="D125" s="939"/>
      <c r="E125" s="295"/>
      <c r="F125" s="680"/>
      <c r="G125" s="938"/>
      <c r="H125" s="596"/>
      <c r="I125" s="168"/>
      <c r="J125" s="219"/>
      <c r="K125" s="596"/>
      <c r="L125" s="728"/>
      <c r="M125" s="922"/>
      <c r="N125" s="676"/>
      <c r="O125" s="118"/>
      <c r="P125" s="118"/>
      <c r="AH125" s="42" t="n">
        <v>0</v>
      </c>
    </row>
    <row r="126" s="42" customFormat="true" ht="18.75" hidden="true" customHeight="true" outlineLevel="0" collapsed="false">
      <c r="A126" s="132" t="s">
        <v>258</v>
      </c>
      <c r="B126" s="132" t="s">
        <v>259</v>
      </c>
      <c r="C126" s="341"/>
      <c r="D126" s="939"/>
      <c r="E126" s="295"/>
      <c r="F126" s="680" t="str">
        <f aca="false">INDEX(PT_DIFFERENTIATION_VTAR,MATCH(A126,PT_DIFFERENTIATION_VTAR_ID,0))</f>
        <v>Тариф на подключение (технологическое присоединение) к централизованной системе холодного водоснабжения</v>
      </c>
      <c r="G126" s="860" t="str">
        <f aca="false">INDEX(PT_DIFFERENTIATION_NTAR,MATCH(B126,PT_DIFFERENTIATION_NTAR_ID,0))</f>
        <v/>
      </c>
      <c r="H126" s="358"/>
      <c r="I126" s="927"/>
      <c r="J126" s="928"/>
      <c r="K126" s="371"/>
      <c r="L126" s="358" t="s">
        <v>319</v>
      </c>
      <c r="M126" s="922"/>
      <c r="N126" s="676"/>
      <c r="O126" s="118"/>
      <c r="P126" s="118"/>
      <c r="AH126" s="42" t="n">
        <v>0</v>
      </c>
    </row>
    <row r="127" s="42" customFormat="true" ht="18.75" hidden="true" customHeight="true" outlineLevel="0" collapsed="false">
      <c r="A127" s="132"/>
      <c r="B127" s="132"/>
      <c r="C127" s="341" t="s">
        <v>1317</v>
      </c>
      <c r="D127" s="939"/>
      <c r="E127" s="295"/>
      <c r="F127" s="680"/>
      <c r="G127" s="860"/>
      <c r="H127" s="596"/>
      <c r="I127" s="168" t="s">
        <v>1316</v>
      </c>
      <c r="J127" s="219"/>
      <c r="K127" s="596"/>
      <c r="L127" s="728"/>
      <c r="M127" s="922"/>
      <c r="N127" s="676"/>
      <c r="O127" s="118"/>
      <c r="P127" s="118"/>
      <c r="AH127" s="42" t="n">
        <v>0</v>
      </c>
    </row>
    <row r="128" s="42" customFormat="true" ht="0.75" hidden="true" customHeight="true" outlineLevel="0" collapsed="false">
      <c r="A128" s="132"/>
      <c r="B128" s="132"/>
      <c r="C128" s="341" t="s">
        <v>1324</v>
      </c>
      <c r="D128" s="939"/>
      <c r="E128" s="295"/>
      <c r="F128" s="680"/>
      <c r="G128" s="938"/>
      <c r="H128" s="596"/>
      <c r="I128" s="168"/>
      <c r="J128" s="219"/>
      <c r="K128" s="596"/>
      <c r="L128" s="728"/>
      <c r="M128" s="922"/>
      <c r="N128" s="676"/>
      <c r="O128" s="118"/>
      <c r="P128" s="118"/>
      <c r="AH128" s="42" t="n">
        <v>0</v>
      </c>
    </row>
    <row r="129" s="42" customFormat="true" ht="18.75" hidden="true" customHeight="true" outlineLevel="0" collapsed="false">
      <c r="A129" s="132" t="s">
        <v>263</v>
      </c>
      <c r="B129" s="132" t="s">
        <v>264</v>
      </c>
      <c r="C129" s="341"/>
      <c r="D129" s="939"/>
      <c r="E129" s="295"/>
      <c r="F129" s="680" t="str">
        <f aca="false">INDEX(PT_DIFFERENTIATION_VTAR,MATCH(A129,PT_DIFFERENTIATION_VTAR_ID,0))</f>
        <v>Тариф на горячую воду (горячее водоснабжение)</v>
      </c>
      <c r="G129" s="860" t="str">
        <f aca="false">INDEX(PT_DIFFERENTIATION_NTAR,MATCH(B129,PT_DIFFERENTIATION_NTAR_ID,0))</f>
        <v/>
      </c>
      <c r="H129" s="358"/>
      <c r="I129" s="927"/>
      <c r="J129" s="928"/>
      <c r="K129" s="371"/>
      <c r="L129" s="358" t="s">
        <v>319</v>
      </c>
      <c r="M129" s="922"/>
      <c r="N129" s="676"/>
      <c r="O129" s="118"/>
      <c r="P129" s="118"/>
      <c r="AH129" s="42" t="n">
        <v>0</v>
      </c>
    </row>
    <row r="130" s="42" customFormat="true" ht="18.75" hidden="true" customHeight="true" outlineLevel="0" collapsed="false">
      <c r="A130" s="132"/>
      <c r="B130" s="132"/>
      <c r="C130" s="341" t="s">
        <v>1317</v>
      </c>
      <c r="D130" s="939"/>
      <c r="E130" s="295"/>
      <c r="F130" s="680"/>
      <c r="G130" s="860"/>
      <c r="H130" s="596"/>
      <c r="I130" s="168" t="s">
        <v>1316</v>
      </c>
      <c r="J130" s="219"/>
      <c r="K130" s="596"/>
      <c r="L130" s="728"/>
      <c r="M130" s="922"/>
      <c r="N130" s="676"/>
      <c r="O130" s="118"/>
      <c r="P130" s="118"/>
      <c r="AH130" s="42" t="n">
        <v>0</v>
      </c>
    </row>
    <row r="131" s="42" customFormat="true" ht="0.75" hidden="true" customHeight="true" outlineLevel="0" collapsed="false">
      <c r="A131" s="132"/>
      <c r="B131" s="132"/>
      <c r="C131" s="341" t="s">
        <v>1324</v>
      </c>
      <c r="D131" s="939"/>
      <c r="E131" s="295"/>
      <c r="F131" s="680"/>
      <c r="G131" s="938"/>
      <c r="H131" s="596"/>
      <c r="I131" s="168"/>
      <c r="J131" s="219"/>
      <c r="K131" s="596"/>
      <c r="L131" s="728"/>
      <c r="M131" s="922"/>
      <c r="N131" s="676"/>
      <c r="O131" s="118"/>
      <c r="P131" s="118"/>
      <c r="AH131" s="42" t="n">
        <v>0</v>
      </c>
    </row>
    <row r="132" s="42" customFormat="true" ht="18.75" hidden="true" customHeight="true" outlineLevel="0" collapsed="false">
      <c r="A132" s="132" t="s">
        <v>268</v>
      </c>
      <c r="B132" s="132" t="s">
        <v>269</v>
      </c>
      <c r="C132" s="341"/>
      <c r="D132" s="939"/>
      <c r="E132" s="295"/>
      <c r="F132" s="680" t="str">
        <f aca="false">INDEX(PT_DIFFERENTIATION_VTAR,MATCH(A132,PT_DIFFERENTIATION_VTAR_ID,0))</f>
        <v>Тариф на транспортировку горячей воды</v>
      </c>
      <c r="G132" s="860" t="str">
        <f aca="false">INDEX(PT_DIFFERENTIATION_NTAR,MATCH(B132,PT_DIFFERENTIATION_NTAR_ID,0))</f>
        <v/>
      </c>
      <c r="H132" s="358"/>
      <c r="I132" s="927"/>
      <c r="J132" s="928"/>
      <c r="K132" s="371"/>
      <c r="L132" s="358" t="s">
        <v>319</v>
      </c>
      <c r="M132" s="922"/>
      <c r="N132" s="676"/>
      <c r="O132" s="118"/>
      <c r="P132" s="118"/>
      <c r="AH132" s="42" t="n">
        <v>0</v>
      </c>
    </row>
    <row r="133" s="42" customFormat="true" ht="18.75" hidden="true" customHeight="true" outlineLevel="0" collapsed="false">
      <c r="A133" s="132"/>
      <c r="B133" s="132"/>
      <c r="C133" s="341" t="s">
        <v>1317</v>
      </c>
      <c r="D133" s="939"/>
      <c r="E133" s="295"/>
      <c r="F133" s="680"/>
      <c r="G133" s="860"/>
      <c r="H133" s="596"/>
      <c r="I133" s="168" t="s">
        <v>1316</v>
      </c>
      <c r="J133" s="219"/>
      <c r="K133" s="596"/>
      <c r="L133" s="728"/>
      <c r="M133" s="922"/>
      <c r="N133" s="676"/>
      <c r="O133" s="118"/>
      <c r="P133" s="118"/>
      <c r="AH133" s="42" t="n">
        <v>0</v>
      </c>
    </row>
    <row r="134" s="42" customFormat="true" ht="0.75" hidden="true" customHeight="true" outlineLevel="0" collapsed="false">
      <c r="A134" s="132"/>
      <c r="B134" s="132"/>
      <c r="C134" s="341" t="s">
        <v>1324</v>
      </c>
      <c r="D134" s="939"/>
      <c r="E134" s="295"/>
      <c r="F134" s="680"/>
      <c r="G134" s="938"/>
      <c r="H134" s="596"/>
      <c r="I134" s="168"/>
      <c r="J134" s="219"/>
      <c r="K134" s="596"/>
      <c r="L134" s="728"/>
      <c r="M134" s="922"/>
      <c r="N134" s="676"/>
      <c r="O134" s="118"/>
      <c r="P134" s="118"/>
      <c r="AH134" s="42" t="n">
        <v>0</v>
      </c>
    </row>
    <row r="135" s="42" customFormat="true" ht="18.75" hidden="true" customHeight="true" outlineLevel="0" collapsed="false">
      <c r="A135" s="132" t="s">
        <v>273</v>
      </c>
      <c r="B135" s="132" t="s">
        <v>274</v>
      </c>
      <c r="C135" s="341"/>
      <c r="D135" s="939"/>
      <c r="E135" s="295"/>
      <c r="F135" s="680" t="str">
        <f aca="false">INDEX(PT_DIFFERENTIATION_VTAR,MATCH(A135,PT_DIFFERENTIATION_VTAR_ID,0))</f>
        <v>Тариф на подключение (технологическое присоединение) к централизованной системе горячего водоснабжения</v>
      </c>
      <c r="G135" s="860" t="str">
        <f aca="false">INDEX(PT_DIFFERENTIATION_NTAR,MATCH(B135,PT_DIFFERENTIATION_NTAR_ID,0))</f>
        <v/>
      </c>
      <c r="H135" s="358"/>
      <c r="I135" s="927"/>
      <c r="J135" s="928"/>
      <c r="K135" s="371"/>
      <c r="L135" s="358" t="s">
        <v>319</v>
      </c>
      <c r="M135" s="922"/>
      <c r="N135" s="676"/>
      <c r="O135" s="118"/>
      <c r="P135" s="118"/>
      <c r="AH135" s="42" t="n">
        <v>0</v>
      </c>
    </row>
    <row r="136" s="42" customFormat="true" ht="18.75" hidden="true" customHeight="true" outlineLevel="0" collapsed="false">
      <c r="A136" s="132"/>
      <c r="B136" s="132"/>
      <c r="C136" s="341" t="s">
        <v>1317</v>
      </c>
      <c r="D136" s="939"/>
      <c r="E136" s="295"/>
      <c r="F136" s="680"/>
      <c r="G136" s="860"/>
      <c r="H136" s="596"/>
      <c r="I136" s="168" t="s">
        <v>1316</v>
      </c>
      <c r="J136" s="219"/>
      <c r="K136" s="596"/>
      <c r="L136" s="728"/>
      <c r="M136" s="922"/>
      <c r="N136" s="676"/>
      <c r="O136" s="118"/>
      <c r="P136" s="118"/>
      <c r="AH136" s="42" t="n">
        <v>0</v>
      </c>
    </row>
    <row r="137" s="42" customFormat="true" ht="0.75" hidden="true" customHeight="true" outlineLevel="0" collapsed="false">
      <c r="A137" s="132"/>
      <c r="B137" s="132"/>
      <c r="C137" s="341" t="s">
        <v>1324</v>
      </c>
      <c r="D137" s="939"/>
      <c r="E137" s="295"/>
      <c r="F137" s="680"/>
      <c r="G137" s="938"/>
      <c r="H137" s="596"/>
      <c r="I137" s="168"/>
      <c r="J137" s="219"/>
      <c r="K137" s="596"/>
      <c r="L137" s="728"/>
      <c r="M137" s="922"/>
      <c r="N137" s="676"/>
      <c r="O137" s="118"/>
      <c r="P137" s="118"/>
      <c r="AH137" s="42" t="n">
        <v>0</v>
      </c>
    </row>
    <row r="138" s="42" customFormat="true" ht="18.75" hidden="true" customHeight="true" outlineLevel="0" collapsed="false">
      <c r="A138" s="132" t="s">
        <v>278</v>
      </c>
      <c r="B138" s="132" t="s">
        <v>279</v>
      </c>
      <c r="C138" s="341"/>
      <c r="D138" s="939"/>
      <c r="E138" s="295"/>
      <c r="F138" s="680" t="str">
        <f aca="false">INDEX(PT_DIFFERENTIATION_VTAR,MATCH(A138,PT_DIFFERENTIATION_VTAR_ID,0))</f>
        <v>Тариф на водоотведение</v>
      </c>
      <c r="G138" s="860" t="str">
        <f aca="false">INDEX(PT_DIFFERENTIATION_NTAR,MATCH(B138,PT_DIFFERENTIATION_NTAR_ID,0))</f>
        <v/>
      </c>
      <c r="H138" s="358"/>
      <c r="I138" s="927"/>
      <c r="J138" s="928"/>
      <c r="K138" s="371"/>
      <c r="L138" s="358" t="s">
        <v>319</v>
      </c>
      <c r="M138" s="922"/>
      <c r="N138" s="676"/>
      <c r="O138" s="118"/>
      <c r="P138" s="118"/>
      <c r="AH138" s="42" t="n">
        <v>0</v>
      </c>
    </row>
    <row r="139" s="42" customFormat="true" ht="18.75" hidden="true" customHeight="true" outlineLevel="0" collapsed="false">
      <c r="A139" s="132"/>
      <c r="B139" s="132"/>
      <c r="C139" s="341" t="s">
        <v>1317</v>
      </c>
      <c r="D139" s="939"/>
      <c r="E139" s="295"/>
      <c r="F139" s="680"/>
      <c r="G139" s="860"/>
      <c r="H139" s="596"/>
      <c r="I139" s="168" t="s">
        <v>1316</v>
      </c>
      <c r="J139" s="219"/>
      <c r="K139" s="596"/>
      <c r="L139" s="728"/>
      <c r="M139" s="922"/>
      <c r="N139" s="676"/>
      <c r="O139" s="118"/>
      <c r="P139" s="118"/>
      <c r="AH139" s="42" t="n">
        <v>0</v>
      </c>
    </row>
    <row r="140" s="42" customFormat="true" ht="0.75" hidden="true" customHeight="true" outlineLevel="0" collapsed="false">
      <c r="A140" s="132"/>
      <c r="B140" s="132"/>
      <c r="C140" s="341" t="s">
        <v>1324</v>
      </c>
      <c r="D140" s="939"/>
      <c r="E140" s="295"/>
      <c r="F140" s="680"/>
      <c r="G140" s="938"/>
      <c r="H140" s="596"/>
      <c r="I140" s="168"/>
      <c r="J140" s="219"/>
      <c r="K140" s="596"/>
      <c r="L140" s="728"/>
      <c r="M140" s="922"/>
      <c r="N140" s="676"/>
      <c r="O140" s="118"/>
      <c r="P140" s="118"/>
      <c r="AH140" s="42" t="n">
        <v>0</v>
      </c>
    </row>
    <row r="141" s="42" customFormat="true" ht="18.75" hidden="true" customHeight="true" outlineLevel="0" collapsed="false">
      <c r="A141" s="132" t="s">
        <v>283</v>
      </c>
      <c r="B141" s="132" t="s">
        <v>284</v>
      </c>
      <c r="C141" s="341"/>
      <c r="D141" s="939"/>
      <c r="E141" s="295"/>
      <c r="F141" s="680" t="str">
        <f aca="false">INDEX(PT_DIFFERENTIATION_VTAR,MATCH(A141,PT_DIFFERENTIATION_VTAR_ID,0))</f>
        <v>Тариф на транспортировку сточных вод</v>
      </c>
      <c r="G141" s="860" t="str">
        <f aca="false">INDEX(PT_DIFFERENTIATION_NTAR,MATCH(B141,PT_DIFFERENTIATION_NTAR_ID,0))</f>
        <v/>
      </c>
      <c r="H141" s="358"/>
      <c r="I141" s="927"/>
      <c r="J141" s="928"/>
      <c r="K141" s="371"/>
      <c r="L141" s="358" t="s">
        <v>319</v>
      </c>
      <c r="M141" s="922"/>
      <c r="N141" s="676"/>
      <c r="O141" s="118"/>
      <c r="P141" s="118"/>
      <c r="AH141" s="42" t="n">
        <v>0</v>
      </c>
    </row>
    <row r="142" s="42" customFormat="true" ht="18.75" hidden="true" customHeight="true" outlineLevel="0" collapsed="false">
      <c r="A142" s="132"/>
      <c r="B142" s="132"/>
      <c r="C142" s="341" t="s">
        <v>1317</v>
      </c>
      <c r="D142" s="939"/>
      <c r="E142" s="295"/>
      <c r="F142" s="680"/>
      <c r="G142" s="860"/>
      <c r="H142" s="596"/>
      <c r="I142" s="168" t="s">
        <v>1316</v>
      </c>
      <c r="J142" s="219"/>
      <c r="K142" s="596"/>
      <c r="L142" s="728"/>
      <c r="M142" s="922"/>
      <c r="N142" s="676"/>
      <c r="O142" s="118"/>
      <c r="P142" s="118"/>
      <c r="AH142" s="42" t="n">
        <v>0</v>
      </c>
    </row>
    <row r="143" s="42" customFormat="true" ht="0.75" hidden="true" customHeight="true" outlineLevel="0" collapsed="false">
      <c r="A143" s="132"/>
      <c r="B143" s="132"/>
      <c r="C143" s="341" t="s">
        <v>1324</v>
      </c>
      <c r="D143" s="939"/>
      <c r="E143" s="295"/>
      <c r="F143" s="680"/>
      <c r="G143" s="938"/>
      <c r="H143" s="596"/>
      <c r="I143" s="168"/>
      <c r="J143" s="219"/>
      <c r="K143" s="596"/>
      <c r="L143" s="728"/>
      <c r="M143" s="922"/>
      <c r="N143" s="676"/>
      <c r="O143" s="118"/>
      <c r="P143" s="118"/>
      <c r="AH143" s="42" t="n">
        <v>0</v>
      </c>
    </row>
    <row r="144" s="42" customFormat="true" ht="18.75" hidden="true" customHeight="true" outlineLevel="0" collapsed="false">
      <c r="A144" s="132" t="s">
        <v>288</v>
      </c>
      <c r="B144" s="132" t="s">
        <v>289</v>
      </c>
      <c r="C144" s="341"/>
      <c r="D144" s="939"/>
      <c r="E144" s="295"/>
      <c r="F144" s="680" t="str">
        <f aca="false">INDEX(PT_DIFFERENTIATION_VTAR,MATCH(A144,PT_DIFFERENTIATION_VTAR_ID,0))</f>
        <v>Тариф на подключение (технологическое присоединение) к централизованной системе водоотведения</v>
      </c>
      <c r="G144" s="860" t="str">
        <f aca="false">INDEX(PT_DIFFERENTIATION_NTAR,MATCH(B144,PT_DIFFERENTIATION_NTAR_ID,0))</f>
        <v/>
      </c>
      <c r="H144" s="358"/>
      <c r="I144" s="927"/>
      <c r="J144" s="928"/>
      <c r="K144" s="371"/>
      <c r="L144" s="358" t="s">
        <v>319</v>
      </c>
      <c r="M144" s="922"/>
      <c r="N144" s="676"/>
      <c r="O144" s="118"/>
      <c r="P144" s="118"/>
      <c r="AH144" s="42" t="n">
        <v>0</v>
      </c>
    </row>
    <row r="145" s="42" customFormat="true" ht="18.75" hidden="true" customHeight="true" outlineLevel="0" collapsed="false">
      <c r="A145" s="132"/>
      <c r="B145" s="132"/>
      <c r="C145" s="341" t="s">
        <v>1317</v>
      </c>
      <c r="D145" s="939"/>
      <c r="E145" s="295"/>
      <c r="F145" s="680"/>
      <c r="G145" s="860"/>
      <c r="H145" s="596"/>
      <c r="I145" s="168" t="s">
        <v>1316</v>
      </c>
      <c r="J145" s="219"/>
      <c r="K145" s="596"/>
      <c r="L145" s="728"/>
      <c r="M145" s="922"/>
      <c r="N145" s="676"/>
      <c r="O145" s="118"/>
      <c r="P145" s="118"/>
      <c r="AH145" s="42" t="n">
        <v>0</v>
      </c>
    </row>
    <row r="146" s="42" customFormat="true" ht="0.75" hidden="false" customHeight="true" outlineLevel="0" collapsed="false">
      <c r="A146" s="132"/>
      <c r="B146" s="132"/>
      <c r="C146" s="341" t="s">
        <v>1324</v>
      </c>
      <c r="D146" s="939"/>
      <c r="E146" s="295"/>
      <c r="F146" s="680"/>
      <c r="G146" s="938"/>
      <c r="H146" s="596"/>
      <c r="I146" s="168"/>
      <c r="J146" s="219"/>
      <c r="K146" s="596"/>
      <c r="L146" s="728"/>
      <c r="M146" s="922"/>
      <c r="N146" s="676"/>
      <c r="O146" s="118"/>
      <c r="P146" s="118"/>
      <c r="AH146" s="42" t="n">
        <v>1</v>
      </c>
    </row>
    <row r="147" customFormat="false" ht="19.5" hidden="false" customHeight="true" outlineLevel="0" collapsed="false">
      <c r="A147" s="132"/>
      <c r="B147" s="132"/>
      <c r="D147" s="464"/>
      <c r="E147" s="295" t="s">
        <v>90</v>
      </c>
      <c r="F147" s="942" t="str">
        <f aca="false">"Годовой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942"/>
      <c r="H147" s="942"/>
      <c r="I147" s="942"/>
      <c r="J147" s="942"/>
      <c r="K147" s="942"/>
      <c r="L147" s="942"/>
      <c r="M147" s="722"/>
      <c r="N147" s="676"/>
      <c r="AH147" s="42" t="n">
        <v>19</v>
      </c>
    </row>
    <row r="148" s="42" customFormat="true" ht="60.75" hidden="true" customHeight="true" outlineLevel="0" collapsed="false">
      <c r="A148" s="132" t="s">
        <v>170</v>
      </c>
      <c r="B148" s="132" t="s">
        <v>171</v>
      </c>
      <c r="C148" s="341"/>
      <c r="D148" s="939"/>
      <c r="E148" s="295"/>
      <c r="F148" s="680" t="str">
        <f aca="false">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860" t="str">
        <f aca="false">INDEX(PT_DIFFERENTIATION_NTAR,MATCH(B148,PT_DIFFERENTIATION_NTAR_ID,0))</f>
        <v/>
      </c>
      <c r="H148" s="358"/>
      <c r="I148" s="927"/>
      <c r="J148" s="928"/>
      <c r="K148" s="371"/>
      <c r="L148" s="358" t="s">
        <v>319</v>
      </c>
      <c r="M148" s="911"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676"/>
      <c r="O148" s="118"/>
      <c r="P148" s="118"/>
      <c r="AH148" s="42" t="n">
        <v>0</v>
      </c>
    </row>
    <row r="149" s="42" customFormat="true" ht="18.75" hidden="true" customHeight="true" outlineLevel="0" collapsed="false">
      <c r="A149" s="132"/>
      <c r="B149" s="132"/>
      <c r="C149" s="341" t="s">
        <v>1317</v>
      </c>
      <c r="D149" s="939"/>
      <c r="E149" s="295"/>
      <c r="F149" s="680"/>
      <c r="G149" s="860"/>
      <c r="H149" s="596"/>
      <c r="I149" s="168" t="s">
        <v>1316</v>
      </c>
      <c r="J149" s="219"/>
      <c r="K149" s="596"/>
      <c r="L149" s="728"/>
      <c r="M149" s="911"/>
      <c r="N149" s="676"/>
      <c r="O149" s="118"/>
      <c r="P149" s="118"/>
      <c r="AH149" s="42" t="n">
        <v>0</v>
      </c>
    </row>
    <row r="150" s="42" customFormat="true" ht="0.75" hidden="true" customHeight="true" outlineLevel="0" collapsed="false">
      <c r="A150" s="132"/>
      <c r="B150" s="132"/>
      <c r="C150" s="341" t="s">
        <v>1324</v>
      </c>
      <c r="D150" s="939"/>
      <c r="E150" s="295"/>
      <c r="F150" s="680"/>
      <c r="G150" s="938"/>
      <c r="H150" s="596"/>
      <c r="I150" s="168"/>
      <c r="J150" s="219"/>
      <c r="K150" s="596"/>
      <c r="L150" s="728"/>
      <c r="M150" s="911"/>
      <c r="N150" s="676"/>
      <c r="O150" s="118"/>
      <c r="P150" s="118"/>
      <c r="AH150" s="42" t="n">
        <v>0</v>
      </c>
    </row>
    <row r="151" s="42" customFormat="true" ht="45" hidden="true" customHeight="true" outlineLevel="0" collapsed="false">
      <c r="A151" s="132" t="s">
        <v>175</v>
      </c>
      <c r="B151" s="132" t="s">
        <v>176</v>
      </c>
      <c r="C151" s="341"/>
      <c r="D151" s="939"/>
      <c r="E151" s="295"/>
      <c r="F151" s="680" t="str">
        <f aca="false">INDEX(PT_DIFFERENTIATION_VTAR,MATCH(A151,PT_DIFFERENTIATION_VTAR_ID,0))</f>
        <v/>
      </c>
      <c r="G151" s="860" t="str">
        <f aca="false">INDEX(PT_DIFFERENTIATION_NTAR,MATCH(B151,PT_DIFFERENTIATION_NTAR_ID,0))</f>
        <v/>
      </c>
      <c r="H151" s="358"/>
      <c r="I151" s="927"/>
      <c r="J151" s="928"/>
      <c r="K151" s="371"/>
      <c r="L151" s="358" t="s">
        <v>319</v>
      </c>
      <c r="M151" s="911"/>
      <c r="N151" s="676"/>
      <c r="O151" s="118"/>
      <c r="P151" s="118"/>
      <c r="AH151" s="42" t="n">
        <v>0</v>
      </c>
    </row>
    <row r="152" s="42" customFormat="true" ht="18.75" hidden="true" customHeight="true" outlineLevel="0" collapsed="false">
      <c r="A152" s="132"/>
      <c r="B152" s="132"/>
      <c r="C152" s="341" t="s">
        <v>1317</v>
      </c>
      <c r="D152" s="939"/>
      <c r="E152" s="295"/>
      <c r="F152" s="680"/>
      <c r="G152" s="860"/>
      <c r="H152" s="596"/>
      <c r="I152" s="168" t="s">
        <v>1316</v>
      </c>
      <c r="J152" s="219"/>
      <c r="K152" s="596"/>
      <c r="L152" s="728"/>
      <c r="M152" s="944"/>
      <c r="N152" s="676"/>
      <c r="O152" s="118"/>
      <c r="P152" s="118"/>
      <c r="AH152" s="42" t="n">
        <v>0</v>
      </c>
    </row>
    <row r="153" s="42" customFormat="true" ht="0.75" hidden="true" customHeight="true" outlineLevel="0" collapsed="false">
      <c r="A153" s="132"/>
      <c r="B153" s="132"/>
      <c r="C153" s="341" t="s">
        <v>1324</v>
      </c>
      <c r="D153" s="939"/>
      <c r="E153" s="295"/>
      <c r="F153" s="680"/>
      <c r="G153" s="938"/>
      <c r="H153" s="596"/>
      <c r="I153" s="168"/>
      <c r="J153" s="219"/>
      <c r="K153" s="596"/>
      <c r="L153" s="728"/>
      <c r="M153" s="922"/>
      <c r="N153" s="676"/>
      <c r="O153" s="118"/>
      <c r="P153" s="118"/>
      <c r="AH153" s="42" t="n">
        <v>0</v>
      </c>
    </row>
    <row r="154" s="42" customFormat="true" ht="45" hidden="true" customHeight="true" outlineLevel="0" collapsed="false">
      <c r="A154" s="132" t="s">
        <v>182</v>
      </c>
      <c r="B154" s="132" t="s">
        <v>183</v>
      </c>
      <c r="C154" s="341"/>
      <c r="D154" s="939"/>
      <c r="E154" s="295"/>
      <c r="F154" s="680" t="str">
        <f aca="false">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860" t="str">
        <f aca="false">INDEX(PT_DIFFERENTIATION_NTAR,MATCH(B154,PT_DIFFERENTIATION_NTAR_ID,0))</f>
        <v/>
      </c>
      <c r="H154" s="358"/>
      <c r="I154" s="927"/>
      <c r="J154" s="928"/>
      <c r="K154" s="371"/>
      <c r="L154" s="358" t="s">
        <v>319</v>
      </c>
      <c r="M154" s="922"/>
      <c r="N154" s="676"/>
      <c r="O154" s="118"/>
      <c r="P154" s="118"/>
      <c r="AH154" s="42" t="n">
        <v>0</v>
      </c>
    </row>
    <row r="155" s="42" customFormat="true" ht="18.75" hidden="true" customHeight="true" outlineLevel="0" collapsed="false">
      <c r="A155" s="132"/>
      <c r="B155" s="132"/>
      <c r="C155" s="341" t="s">
        <v>1317</v>
      </c>
      <c r="D155" s="939"/>
      <c r="E155" s="295"/>
      <c r="F155" s="680"/>
      <c r="G155" s="860"/>
      <c r="H155" s="596"/>
      <c r="I155" s="168" t="s">
        <v>1316</v>
      </c>
      <c r="J155" s="219"/>
      <c r="K155" s="596"/>
      <c r="L155" s="728"/>
      <c r="M155" s="922"/>
      <c r="N155" s="676"/>
      <c r="O155" s="118"/>
      <c r="P155" s="118"/>
      <c r="AH155" s="42" t="n">
        <v>0</v>
      </c>
    </row>
    <row r="156" s="42" customFormat="true" ht="0.75" hidden="true" customHeight="true" outlineLevel="0" collapsed="false">
      <c r="A156" s="132"/>
      <c r="B156" s="132"/>
      <c r="C156" s="341" t="s">
        <v>1324</v>
      </c>
      <c r="D156" s="939"/>
      <c r="E156" s="295"/>
      <c r="F156" s="680"/>
      <c r="G156" s="938"/>
      <c r="H156" s="596"/>
      <c r="I156" s="168"/>
      <c r="J156" s="219"/>
      <c r="K156" s="596"/>
      <c r="L156" s="728"/>
      <c r="M156" s="922"/>
      <c r="N156" s="676"/>
      <c r="O156" s="118"/>
      <c r="P156" s="118"/>
      <c r="AH156" s="42" t="n">
        <v>0</v>
      </c>
    </row>
    <row r="157" s="42" customFormat="true" ht="45" hidden="true" customHeight="true" outlineLevel="0" collapsed="false">
      <c r="A157" s="132" t="s">
        <v>188</v>
      </c>
      <c r="B157" s="132" t="s">
        <v>189</v>
      </c>
      <c r="C157" s="341"/>
      <c r="D157" s="939"/>
      <c r="E157" s="295"/>
      <c r="F157" s="680" t="str">
        <f aca="false">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860" t="str">
        <f aca="false">INDEX(PT_DIFFERENTIATION_NTAR,MATCH(B157,PT_DIFFERENTIATION_NTAR_ID,0))</f>
        <v/>
      </c>
      <c r="H157" s="358"/>
      <c r="I157" s="927"/>
      <c r="J157" s="928"/>
      <c r="K157" s="371"/>
      <c r="L157" s="358" t="s">
        <v>319</v>
      </c>
      <c r="M157" s="922"/>
      <c r="N157" s="676"/>
      <c r="O157" s="118"/>
      <c r="P157" s="118"/>
      <c r="AH157" s="42" t="n">
        <v>0</v>
      </c>
    </row>
    <row r="158" s="42" customFormat="true" ht="18.75" hidden="true" customHeight="true" outlineLevel="0" collapsed="false">
      <c r="A158" s="132"/>
      <c r="B158" s="132"/>
      <c r="C158" s="341" t="s">
        <v>1317</v>
      </c>
      <c r="D158" s="939"/>
      <c r="E158" s="295"/>
      <c r="F158" s="680"/>
      <c r="G158" s="860"/>
      <c r="H158" s="596"/>
      <c r="I158" s="168" t="s">
        <v>1316</v>
      </c>
      <c r="J158" s="219"/>
      <c r="K158" s="596"/>
      <c r="L158" s="728"/>
      <c r="M158" s="922"/>
      <c r="N158" s="676"/>
      <c r="O158" s="118"/>
      <c r="P158" s="118"/>
      <c r="AH158" s="42" t="n">
        <v>0</v>
      </c>
    </row>
    <row r="159" s="42" customFormat="true" ht="0.75" hidden="true" customHeight="true" outlineLevel="0" collapsed="false">
      <c r="A159" s="132"/>
      <c r="B159" s="132"/>
      <c r="C159" s="341" t="s">
        <v>1324</v>
      </c>
      <c r="D159" s="939"/>
      <c r="E159" s="295"/>
      <c r="F159" s="680"/>
      <c r="G159" s="938"/>
      <c r="H159" s="596"/>
      <c r="I159" s="168"/>
      <c r="J159" s="219"/>
      <c r="K159" s="596"/>
      <c r="L159" s="728"/>
      <c r="M159" s="922"/>
      <c r="N159" s="676"/>
      <c r="O159" s="118"/>
      <c r="P159" s="118"/>
      <c r="AH159" s="42" t="n">
        <v>0</v>
      </c>
    </row>
    <row r="160" s="42" customFormat="true" ht="18.75" hidden="true" customHeight="true" outlineLevel="0" collapsed="false">
      <c r="A160" s="132" t="s">
        <v>194</v>
      </c>
      <c r="B160" s="132" t="s">
        <v>195</v>
      </c>
      <c r="C160" s="341"/>
      <c r="D160" s="939"/>
      <c r="E160" s="295"/>
      <c r="F160" s="680" t="str">
        <f aca="false">INDEX(PT_DIFFERENTIATION_VTAR,MATCH(A160,PT_DIFFERENTIATION_VTAR_ID,0))</f>
        <v>Тарифы на услуги по передаче тепловой энергии</v>
      </c>
      <c r="G160" s="860" t="str">
        <f aca="false">INDEX(PT_DIFFERENTIATION_NTAR,MATCH(B160,PT_DIFFERENTIATION_NTAR_ID,0))</f>
        <v/>
      </c>
      <c r="H160" s="358"/>
      <c r="I160" s="927"/>
      <c r="J160" s="928"/>
      <c r="K160" s="371"/>
      <c r="L160" s="358" t="s">
        <v>319</v>
      </c>
      <c r="M160" s="922"/>
      <c r="N160" s="676"/>
      <c r="O160" s="118"/>
      <c r="P160" s="118"/>
      <c r="AH160" s="42" t="n">
        <v>0</v>
      </c>
    </row>
    <row r="161" s="42" customFormat="true" ht="18.75" hidden="true" customHeight="true" outlineLevel="0" collapsed="false">
      <c r="A161" s="132"/>
      <c r="B161" s="132"/>
      <c r="C161" s="341" t="s">
        <v>1317</v>
      </c>
      <c r="D161" s="939"/>
      <c r="E161" s="295"/>
      <c r="F161" s="680"/>
      <c r="G161" s="860"/>
      <c r="H161" s="596"/>
      <c r="I161" s="168" t="s">
        <v>1316</v>
      </c>
      <c r="J161" s="219"/>
      <c r="K161" s="596"/>
      <c r="L161" s="728"/>
      <c r="M161" s="922"/>
      <c r="N161" s="676"/>
      <c r="O161" s="118"/>
      <c r="P161" s="118"/>
      <c r="AH161" s="42" t="n">
        <v>0</v>
      </c>
    </row>
    <row r="162" s="42" customFormat="true" ht="0.75" hidden="true" customHeight="true" outlineLevel="0" collapsed="false">
      <c r="A162" s="132"/>
      <c r="B162" s="132"/>
      <c r="C162" s="341" t="s">
        <v>1324</v>
      </c>
      <c r="D162" s="939"/>
      <c r="E162" s="295"/>
      <c r="F162" s="680"/>
      <c r="G162" s="938"/>
      <c r="H162" s="596"/>
      <c r="I162" s="168"/>
      <c r="J162" s="219"/>
      <c r="K162" s="596"/>
      <c r="L162" s="728"/>
      <c r="M162" s="922"/>
      <c r="N162" s="676"/>
      <c r="O162" s="118"/>
      <c r="P162" s="118"/>
      <c r="AH162" s="42" t="n">
        <v>0</v>
      </c>
    </row>
    <row r="163" s="42" customFormat="true" ht="18.75" hidden="true" customHeight="true" outlineLevel="0" collapsed="false">
      <c r="A163" s="132" t="s">
        <v>200</v>
      </c>
      <c r="B163" s="132" t="s">
        <v>201</v>
      </c>
      <c r="C163" s="341"/>
      <c r="D163" s="939"/>
      <c r="E163" s="295"/>
      <c r="F163" s="680" t="str">
        <f aca="false">INDEX(PT_DIFFERENTIATION_VTAR,MATCH(A163,PT_DIFFERENTIATION_VTAR_ID,0))</f>
        <v>Тарифы на услуги по передаче теплоносителя</v>
      </c>
      <c r="G163" s="860" t="str">
        <f aca="false">INDEX(PT_DIFFERENTIATION_NTAR,MATCH(B163,PT_DIFFERENTIATION_NTAR_ID,0))</f>
        <v/>
      </c>
      <c r="H163" s="358"/>
      <c r="I163" s="927"/>
      <c r="J163" s="928"/>
      <c r="K163" s="371"/>
      <c r="L163" s="358" t="s">
        <v>319</v>
      </c>
      <c r="M163" s="922"/>
      <c r="N163" s="676"/>
      <c r="O163" s="118"/>
      <c r="P163" s="118"/>
      <c r="AH163" s="42" t="n">
        <v>0</v>
      </c>
    </row>
    <row r="164" s="42" customFormat="true" ht="18.75" hidden="true" customHeight="true" outlineLevel="0" collapsed="false">
      <c r="A164" s="132"/>
      <c r="B164" s="132"/>
      <c r="C164" s="341" t="s">
        <v>1317</v>
      </c>
      <c r="D164" s="939"/>
      <c r="E164" s="295"/>
      <c r="F164" s="680"/>
      <c r="G164" s="860"/>
      <c r="H164" s="596"/>
      <c r="I164" s="168" t="s">
        <v>1316</v>
      </c>
      <c r="J164" s="219"/>
      <c r="K164" s="596"/>
      <c r="L164" s="728"/>
      <c r="M164" s="922"/>
      <c r="N164" s="676"/>
      <c r="O164" s="118"/>
      <c r="P164" s="118"/>
      <c r="AH164" s="42" t="n">
        <v>0</v>
      </c>
    </row>
    <row r="165" s="42" customFormat="true" ht="0.75" hidden="true" customHeight="true" outlineLevel="0" collapsed="false">
      <c r="A165" s="132"/>
      <c r="B165" s="132"/>
      <c r="C165" s="341" t="s">
        <v>1324</v>
      </c>
      <c r="D165" s="939"/>
      <c r="E165" s="295"/>
      <c r="F165" s="680"/>
      <c r="G165" s="938"/>
      <c r="H165" s="596"/>
      <c r="I165" s="168"/>
      <c r="J165" s="219"/>
      <c r="K165" s="596"/>
      <c r="L165" s="728"/>
      <c r="M165" s="922"/>
      <c r="N165" s="676"/>
      <c r="O165" s="118"/>
      <c r="P165" s="118"/>
      <c r="AH165" s="42" t="n">
        <v>0</v>
      </c>
    </row>
    <row r="166" s="42" customFormat="true" ht="18.75" hidden="true" customHeight="true" outlineLevel="0" collapsed="false">
      <c r="A166" s="132" t="s">
        <v>206</v>
      </c>
      <c r="B166" s="132" t="s">
        <v>207</v>
      </c>
      <c r="C166" s="341"/>
      <c r="D166" s="939"/>
      <c r="E166" s="295"/>
      <c r="F166" s="680" t="str">
        <f aca="false">INDEX(PT_DIFFERENTIATION_VTAR,MATCH(A166,PT_DIFFERENTIATION_VTAR_ID,0))</f>
        <v>Плата за услуги по поддержанию резервной тепловой мощности при отсутствии потребления тепловой энергии</v>
      </c>
      <c r="G166" s="860" t="str">
        <f aca="false">INDEX(PT_DIFFERENTIATION_NTAR,MATCH(B166,PT_DIFFERENTIATION_NTAR_ID,0))</f>
        <v/>
      </c>
      <c r="H166" s="358"/>
      <c r="I166" s="927"/>
      <c r="J166" s="928"/>
      <c r="K166" s="371"/>
      <c r="L166" s="358" t="s">
        <v>319</v>
      </c>
      <c r="M166" s="922"/>
      <c r="N166" s="676"/>
      <c r="O166" s="118"/>
      <c r="P166" s="118"/>
      <c r="AH166" s="42" t="n">
        <v>0</v>
      </c>
    </row>
    <row r="167" s="42" customFormat="true" ht="18.75" hidden="true" customHeight="true" outlineLevel="0" collapsed="false">
      <c r="A167" s="132"/>
      <c r="B167" s="132"/>
      <c r="C167" s="341" t="s">
        <v>1317</v>
      </c>
      <c r="D167" s="939"/>
      <c r="E167" s="295"/>
      <c r="F167" s="680"/>
      <c r="G167" s="860"/>
      <c r="H167" s="596"/>
      <c r="I167" s="168" t="s">
        <v>1316</v>
      </c>
      <c r="J167" s="219"/>
      <c r="K167" s="596"/>
      <c r="L167" s="728"/>
      <c r="M167" s="922"/>
      <c r="N167" s="676"/>
      <c r="O167" s="118"/>
      <c r="P167" s="118"/>
      <c r="AH167" s="42" t="n">
        <v>0</v>
      </c>
    </row>
    <row r="168" s="42" customFormat="true" ht="0.75" hidden="true" customHeight="true" outlineLevel="0" collapsed="false">
      <c r="A168" s="132"/>
      <c r="B168" s="132"/>
      <c r="C168" s="341" t="s">
        <v>1324</v>
      </c>
      <c r="D168" s="939"/>
      <c r="E168" s="295"/>
      <c r="F168" s="680"/>
      <c r="G168" s="938"/>
      <c r="H168" s="596"/>
      <c r="I168" s="168"/>
      <c r="J168" s="219"/>
      <c r="K168" s="596"/>
      <c r="L168" s="728"/>
      <c r="M168" s="922"/>
      <c r="N168" s="676"/>
      <c r="O168" s="118"/>
      <c r="P168" s="118"/>
      <c r="AH168" s="42" t="n">
        <v>0</v>
      </c>
    </row>
    <row r="169" s="42" customFormat="true" ht="18.75" hidden="true" customHeight="true" outlineLevel="0" collapsed="false">
      <c r="A169" s="132" t="s">
        <v>212</v>
      </c>
      <c r="B169" s="132" t="s">
        <v>213</v>
      </c>
      <c r="C169" s="341"/>
      <c r="D169" s="939"/>
      <c r="E169" s="295"/>
      <c r="F169" s="680" t="str">
        <f aca="false">INDEX(PT_DIFFERENTIATION_VTAR,MATCH(A169,PT_DIFFERENTIATION_VTAR_ID,0))</f>
        <v>Плата за подключение (технологическое присоединение) к системе теплоснабжения</v>
      </c>
      <c r="G169" s="860" t="str">
        <f aca="false">INDEX(PT_DIFFERENTIATION_NTAR,MATCH(B169,PT_DIFFERENTIATION_NTAR_ID,0))</f>
        <v/>
      </c>
      <c r="H169" s="358"/>
      <c r="I169" s="927"/>
      <c r="J169" s="928"/>
      <c r="K169" s="371"/>
      <c r="L169" s="358" t="s">
        <v>319</v>
      </c>
      <c r="M169" s="922"/>
      <c r="N169" s="676"/>
      <c r="O169" s="118"/>
      <c r="P169" s="118"/>
      <c r="AH169" s="42" t="n">
        <v>0</v>
      </c>
    </row>
    <row r="170" s="42" customFormat="true" ht="18.75" hidden="true" customHeight="true" outlineLevel="0" collapsed="false">
      <c r="A170" s="132"/>
      <c r="B170" s="132"/>
      <c r="C170" s="341" t="s">
        <v>1317</v>
      </c>
      <c r="D170" s="939"/>
      <c r="E170" s="295"/>
      <c r="F170" s="680"/>
      <c r="G170" s="860"/>
      <c r="H170" s="596"/>
      <c r="I170" s="168" t="s">
        <v>1316</v>
      </c>
      <c r="J170" s="219"/>
      <c r="K170" s="596"/>
      <c r="L170" s="728"/>
      <c r="M170" s="922"/>
      <c r="N170" s="676"/>
      <c r="O170" s="118"/>
      <c r="P170" s="118"/>
      <c r="AH170" s="42" t="n">
        <v>0</v>
      </c>
    </row>
    <row r="171" s="42" customFormat="true" ht="0.75" hidden="true" customHeight="true" outlineLevel="0" collapsed="false">
      <c r="A171" s="132"/>
      <c r="B171" s="132"/>
      <c r="C171" s="341" t="s">
        <v>1324</v>
      </c>
      <c r="D171" s="939"/>
      <c r="E171" s="295"/>
      <c r="F171" s="680"/>
      <c r="G171" s="938"/>
      <c r="H171" s="596"/>
      <c r="I171" s="168"/>
      <c r="J171" s="219"/>
      <c r="K171" s="596"/>
      <c r="L171" s="728"/>
      <c r="M171" s="922"/>
      <c r="N171" s="676"/>
      <c r="O171" s="118"/>
      <c r="P171" s="118"/>
      <c r="AH171" s="42" t="n">
        <v>0</v>
      </c>
    </row>
    <row r="172" s="42" customFormat="true" ht="18.75" hidden="true" customHeight="true" outlineLevel="0" collapsed="false">
      <c r="A172" s="132" t="s">
        <v>218</v>
      </c>
      <c r="B172" s="132" t="s">
        <v>219</v>
      </c>
      <c r="C172" s="341"/>
      <c r="D172" s="939"/>
      <c r="E172" s="295"/>
      <c r="F172" s="680" t="str">
        <f aca="false">INDEX(PT_DIFFERENTIATION_VTAR,MATCH(A172,PT_DIFFERENTIATION_VTAR_ID,0))</f>
        <v>Плата за подключение (технологическое присоединение) к системе теплоснабжения (индивидуальная)</v>
      </c>
      <c r="G172" s="860" t="str">
        <f aca="false">INDEX(PT_DIFFERENTIATION_NTAR,MATCH(B172,PT_DIFFERENTIATION_NTAR_ID,0))</f>
        <v/>
      </c>
      <c r="H172" s="358"/>
      <c r="I172" s="927"/>
      <c r="J172" s="928"/>
      <c r="K172" s="371"/>
      <c r="L172" s="358" t="s">
        <v>319</v>
      </c>
      <c r="M172" s="922"/>
      <c r="N172" s="676"/>
      <c r="O172" s="118"/>
      <c r="P172" s="118"/>
      <c r="AH172" s="42" t="n">
        <v>0</v>
      </c>
    </row>
    <row r="173" s="42" customFormat="true" ht="18.75" hidden="true" customHeight="true" outlineLevel="0" collapsed="false">
      <c r="A173" s="132"/>
      <c r="B173" s="132"/>
      <c r="C173" s="341" t="s">
        <v>1317</v>
      </c>
      <c r="D173" s="939"/>
      <c r="E173" s="295"/>
      <c r="F173" s="680"/>
      <c r="G173" s="860"/>
      <c r="H173" s="596"/>
      <c r="I173" s="168" t="s">
        <v>1316</v>
      </c>
      <c r="J173" s="219"/>
      <c r="K173" s="596"/>
      <c r="L173" s="728"/>
      <c r="M173" s="922"/>
      <c r="N173" s="676"/>
      <c r="O173" s="118"/>
      <c r="P173" s="118"/>
      <c r="AH173" s="42" t="n">
        <v>0</v>
      </c>
    </row>
    <row r="174" s="42" customFormat="true" ht="0.75" hidden="true" customHeight="true" outlineLevel="0" collapsed="false">
      <c r="A174" s="132"/>
      <c r="B174" s="132"/>
      <c r="C174" s="341" t="s">
        <v>1324</v>
      </c>
      <c r="D174" s="939"/>
      <c r="E174" s="295"/>
      <c r="F174" s="680"/>
      <c r="G174" s="938"/>
      <c r="H174" s="596"/>
      <c r="I174" s="168"/>
      <c r="J174" s="219"/>
      <c r="K174" s="596"/>
      <c r="L174" s="728"/>
      <c r="M174" s="922"/>
      <c r="N174" s="676"/>
      <c r="O174" s="118"/>
      <c r="P174" s="118"/>
      <c r="AH174" s="42" t="n">
        <v>0</v>
      </c>
    </row>
    <row r="175" s="42" customFormat="true" ht="18.75" hidden="true" customHeight="true" outlineLevel="0" collapsed="false">
      <c r="A175" s="132" t="s">
        <v>238</v>
      </c>
      <c r="B175" s="132" t="s">
        <v>239</v>
      </c>
      <c r="C175" s="341"/>
      <c r="D175" s="939"/>
      <c r="E175" s="295"/>
      <c r="F175" s="680" t="str">
        <f aca="false">INDEX(PT_DIFFERENTIATION_VTAR,MATCH(A175,PT_DIFFERENTIATION_VTAR_ID,0))</f>
        <v>Тариф на питьевую воду (питьевое водоснабжение)</v>
      </c>
      <c r="G175" s="860" t="str">
        <f aca="false">INDEX(PT_DIFFERENTIATION_NTAR,MATCH(B175,PT_DIFFERENTIATION_NTAR_ID,0))</f>
        <v/>
      </c>
      <c r="H175" s="358"/>
      <c r="I175" s="927"/>
      <c r="J175" s="928"/>
      <c r="K175" s="371"/>
      <c r="L175" s="358" t="s">
        <v>319</v>
      </c>
      <c r="M175" s="922"/>
      <c r="N175" s="676"/>
      <c r="O175" s="118"/>
      <c r="P175" s="118"/>
      <c r="AH175" s="42" t="n">
        <v>0</v>
      </c>
    </row>
    <row r="176" s="42" customFormat="true" ht="18.75" hidden="true" customHeight="true" outlineLevel="0" collapsed="false">
      <c r="A176" s="132"/>
      <c r="B176" s="132"/>
      <c r="C176" s="341" t="s">
        <v>1317</v>
      </c>
      <c r="D176" s="939"/>
      <c r="E176" s="295"/>
      <c r="F176" s="680"/>
      <c r="G176" s="860"/>
      <c r="H176" s="596"/>
      <c r="I176" s="168" t="s">
        <v>1316</v>
      </c>
      <c r="J176" s="219"/>
      <c r="K176" s="596"/>
      <c r="L176" s="728"/>
      <c r="M176" s="922"/>
      <c r="N176" s="676"/>
      <c r="O176" s="118"/>
      <c r="P176" s="118"/>
      <c r="AH176" s="42" t="n">
        <v>0</v>
      </c>
    </row>
    <row r="177" s="42" customFormat="true" ht="0.75" hidden="true" customHeight="true" outlineLevel="0" collapsed="false">
      <c r="A177" s="132"/>
      <c r="B177" s="132"/>
      <c r="C177" s="341" t="s">
        <v>1324</v>
      </c>
      <c r="D177" s="939"/>
      <c r="E177" s="295"/>
      <c r="F177" s="680"/>
      <c r="G177" s="938"/>
      <c r="H177" s="596"/>
      <c r="I177" s="168"/>
      <c r="J177" s="219"/>
      <c r="K177" s="596"/>
      <c r="L177" s="728"/>
      <c r="M177" s="922"/>
      <c r="N177" s="676"/>
      <c r="O177" s="118"/>
      <c r="P177" s="118"/>
      <c r="AH177" s="42" t="n">
        <v>0</v>
      </c>
    </row>
    <row r="178" s="42" customFormat="true" ht="18.75" hidden="true" customHeight="true" outlineLevel="0" collapsed="false">
      <c r="A178" s="132" t="s">
        <v>243</v>
      </c>
      <c r="B178" s="132" t="s">
        <v>244</v>
      </c>
      <c r="C178" s="341"/>
      <c r="D178" s="939"/>
      <c r="E178" s="295"/>
      <c r="F178" s="680" t="str">
        <f aca="false">INDEX(PT_DIFFERENTIATION_VTAR,MATCH(A178,PT_DIFFERENTIATION_VTAR_ID,0))</f>
        <v>Тариф на техническую воду</v>
      </c>
      <c r="G178" s="860" t="str">
        <f aca="false">INDEX(PT_DIFFERENTIATION_NTAR,MATCH(B178,PT_DIFFERENTIATION_NTAR_ID,0))</f>
        <v/>
      </c>
      <c r="H178" s="358"/>
      <c r="I178" s="927"/>
      <c r="J178" s="928"/>
      <c r="K178" s="371"/>
      <c r="L178" s="358" t="s">
        <v>319</v>
      </c>
      <c r="M178" s="922"/>
      <c r="N178" s="676"/>
      <c r="O178" s="118"/>
      <c r="P178" s="118"/>
      <c r="AH178" s="42" t="n">
        <v>0</v>
      </c>
    </row>
    <row r="179" s="42" customFormat="true" ht="18.75" hidden="true" customHeight="true" outlineLevel="0" collapsed="false">
      <c r="A179" s="132"/>
      <c r="B179" s="132"/>
      <c r="C179" s="341" t="s">
        <v>1317</v>
      </c>
      <c r="D179" s="939"/>
      <c r="E179" s="295"/>
      <c r="F179" s="680"/>
      <c r="G179" s="860"/>
      <c r="H179" s="596"/>
      <c r="I179" s="168" t="s">
        <v>1316</v>
      </c>
      <c r="J179" s="219"/>
      <c r="K179" s="596"/>
      <c r="L179" s="728"/>
      <c r="M179" s="922"/>
      <c r="N179" s="676"/>
      <c r="O179" s="118"/>
      <c r="P179" s="118"/>
      <c r="AH179" s="42" t="n">
        <v>0</v>
      </c>
    </row>
    <row r="180" s="42" customFormat="true" ht="0.75" hidden="true" customHeight="true" outlineLevel="0" collapsed="false">
      <c r="A180" s="132"/>
      <c r="B180" s="132"/>
      <c r="C180" s="341" t="s">
        <v>1324</v>
      </c>
      <c r="D180" s="939"/>
      <c r="E180" s="295"/>
      <c r="F180" s="680"/>
      <c r="G180" s="938"/>
      <c r="H180" s="596"/>
      <c r="I180" s="168"/>
      <c r="J180" s="219"/>
      <c r="K180" s="596"/>
      <c r="L180" s="728"/>
      <c r="M180" s="922"/>
      <c r="N180" s="676"/>
      <c r="O180" s="118"/>
      <c r="P180" s="118"/>
      <c r="AH180" s="42" t="n">
        <v>0</v>
      </c>
    </row>
    <row r="181" s="42" customFormat="true" ht="18.75" hidden="true" customHeight="true" outlineLevel="0" collapsed="false">
      <c r="A181" s="132" t="s">
        <v>248</v>
      </c>
      <c r="B181" s="132" t="s">
        <v>249</v>
      </c>
      <c r="C181" s="341"/>
      <c r="D181" s="939"/>
      <c r="E181" s="295"/>
      <c r="F181" s="680" t="str">
        <f aca="false">INDEX(PT_DIFFERENTIATION_VTAR,MATCH(A181,PT_DIFFERENTIATION_VTAR_ID,0))</f>
        <v>Тариф на транспортировку воды</v>
      </c>
      <c r="G181" s="860" t="str">
        <f aca="false">INDEX(PT_DIFFERENTIATION_NTAR,MATCH(B181,PT_DIFFERENTIATION_NTAR_ID,0))</f>
        <v/>
      </c>
      <c r="H181" s="358"/>
      <c r="I181" s="927"/>
      <c r="J181" s="928"/>
      <c r="K181" s="371"/>
      <c r="L181" s="358" t="s">
        <v>319</v>
      </c>
      <c r="M181" s="922"/>
      <c r="N181" s="676"/>
      <c r="O181" s="118"/>
      <c r="P181" s="118"/>
      <c r="AH181" s="42" t="n">
        <v>0</v>
      </c>
    </row>
    <row r="182" s="42" customFormat="true" ht="18.75" hidden="true" customHeight="true" outlineLevel="0" collapsed="false">
      <c r="A182" s="132"/>
      <c r="B182" s="132"/>
      <c r="C182" s="341" t="s">
        <v>1317</v>
      </c>
      <c r="D182" s="939"/>
      <c r="E182" s="295"/>
      <c r="F182" s="680"/>
      <c r="G182" s="860"/>
      <c r="H182" s="596"/>
      <c r="I182" s="168" t="s">
        <v>1316</v>
      </c>
      <c r="J182" s="219"/>
      <c r="K182" s="596"/>
      <c r="L182" s="728"/>
      <c r="M182" s="922"/>
      <c r="N182" s="676"/>
      <c r="O182" s="118"/>
      <c r="P182" s="118"/>
      <c r="AH182" s="42" t="n">
        <v>0</v>
      </c>
    </row>
    <row r="183" s="42" customFormat="true" ht="0.75" hidden="true" customHeight="true" outlineLevel="0" collapsed="false">
      <c r="A183" s="132"/>
      <c r="B183" s="132"/>
      <c r="C183" s="341" t="s">
        <v>1324</v>
      </c>
      <c r="D183" s="939"/>
      <c r="E183" s="295"/>
      <c r="F183" s="680"/>
      <c r="G183" s="938"/>
      <c r="H183" s="596"/>
      <c r="I183" s="168"/>
      <c r="J183" s="219"/>
      <c r="K183" s="596"/>
      <c r="L183" s="728"/>
      <c r="M183" s="922"/>
      <c r="N183" s="676"/>
      <c r="O183" s="118"/>
      <c r="P183" s="118"/>
      <c r="AH183" s="42" t="n">
        <v>0</v>
      </c>
    </row>
    <row r="184" s="42" customFormat="true" ht="18.75" hidden="true" customHeight="true" outlineLevel="0" collapsed="false">
      <c r="A184" s="132" t="s">
        <v>253</v>
      </c>
      <c r="B184" s="132" t="s">
        <v>254</v>
      </c>
      <c r="C184" s="341"/>
      <c r="D184" s="939"/>
      <c r="E184" s="295"/>
      <c r="F184" s="680" t="str">
        <f aca="false">INDEX(PT_DIFFERENTIATION_VTAR,MATCH(A184,PT_DIFFERENTIATION_VTAR_ID,0))</f>
        <v>Тариф на подвоз воды</v>
      </c>
      <c r="G184" s="860" t="str">
        <f aca="false">INDEX(PT_DIFFERENTIATION_NTAR,MATCH(B184,PT_DIFFERENTIATION_NTAR_ID,0))</f>
        <v/>
      </c>
      <c r="H184" s="358"/>
      <c r="I184" s="927"/>
      <c r="J184" s="928"/>
      <c r="K184" s="371"/>
      <c r="L184" s="358" t="s">
        <v>319</v>
      </c>
      <c r="M184" s="922"/>
      <c r="N184" s="676"/>
      <c r="O184" s="118"/>
      <c r="P184" s="118"/>
      <c r="AH184" s="42" t="n">
        <v>0</v>
      </c>
    </row>
    <row r="185" s="42" customFormat="true" ht="18.75" hidden="true" customHeight="true" outlineLevel="0" collapsed="false">
      <c r="A185" s="132"/>
      <c r="B185" s="132"/>
      <c r="C185" s="341" t="s">
        <v>1317</v>
      </c>
      <c r="D185" s="939"/>
      <c r="E185" s="295"/>
      <c r="F185" s="680"/>
      <c r="G185" s="860"/>
      <c r="H185" s="596"/>
      <c r="I185" s="168" t="s">
        <v>1316</v>
      </c>
      <c r="J185" s="219"/>
      <c r="K185" s="596"/>
      <c r="L185" s="728"/>
      <c r="M185" s="922"/>
      <c r="N185" s="676"/>
      <c r="O185" s="118"/>
      <c r="P185" s="118"/>
      <c r="AH185" s="42" t="n">
        <v>0</v>
      </c>
    </row>
    <row r="186" s="42" customFormat="true" ht="0.75" hidden="true" customHeight="true" outlineLevel="0" collapsed="false">
      <c r="A186" s="132"/>
      <c r="B186" s="132"/>
      <c r="C186" s="341" t="s">
        <v>1324</v>
      </c>
      <c r="D186" s="939"/>
      <c r="E186" s="295"/>
      <c r="F186" s="680"/>
      <c r="G186" s="938"/>
      <c r="H186" s="596"/>
      <c r="I186" s="168"/>
      <c r="J186" s="219"/>
      <c r="K186" s="596"/>
      <c r="L186" s="728"/>
      <c r="M186" s="922"/>
      <c r="N186" s="676"/>
      <c r="O186" s="118"/>
      <c r="P186" s="118"/>
      <c r="AH186" s="42" t="n">
        <v>0</v>
      </c>
    </row>
    <row r="187" s="42" customFormat="true" ht="18.75" hidden="true" customHeight="true" outlineLevel="0" collapsed="false">
      <c r="A187" s="132" t="s">
        <v>258</v>
      </c>
      <c r="B187" s="132" t="s">
        <v>259</v>
      </c>
      <c r="C187" s="341"/>
      <c r="D187" s="939"/>
      <c r="E187" s="295"/>
      <c r="F187" s="680" t="str">
        <f aca="false">INDEX(PT_DIFFERENTIATION_VTAR,MATCH(A187,PT_DIFFERENTIATION_VTAR_ID,0))</f>
        <v>Тариф на подключение (технологическое присоединение) к централизованной системе холодного водоснабжения</v>
      </c>
      <c r="G187" s="860" t="str">
        <f aca="false">INDEX(PT_DIFFERENTIATION_NTAR,MATCH(B187,PT_DIFFERENTIATION_NTAR_ID,0))</f>
        <v/>
      </c>
      <c r="H187" s="358"/>
      <c r="I187" s="927"/>
      <c r="J187" s="928"/>
      <c r="K187" s="371"/>
      <c r="L187" s="358" t="s">
        <v>319</v>
      </c>
      <c r="M187" s="922"/>
      <c r="N187" s="676"/>
      <c r="O187" s="118"/>
      <c r="P187" s="118"/>
      <c r="AH187" s="42" t="n">
        <v>0</v>
      </c>
    </row>
    <row r="188" s="42" customFormat="true" ht="18.75" hidden="true" customHeight="true" outlineLevel="0" collapsed="false">
      <c r="A188" s="132"/>
      <c r="B188" s="132"/>
      <c r="C188" s="341" t="s">
        <v>1317</v>
      </c>
      <c r="D188" s="939"/>
      <c r="E188" s="295"/>
      <c r="F188" s="680"/>
      <c r="G188" s="860"/>
      <c r="H188" s="596"/>
      <c r="I188" s="168" t="s">
        <v>1316</v>
      </c>
      <c r="J188" s="219"/>
      <c r="K188" s="596"/>
      <c r="L188" s="728"/>
      <c r="M188" s="922"/>
      <c r="N188" s="676"/>
      <c r="O188" s="118"/>
      <c r="P188" s="118"/>
      <c r="AH188" s="42" t="n">
        <v>0</v>
      </c>
    </row>
    <row r="189" s="42" customFormat="true" ht="0.75" hidden="true" customHeight="true" outlineLevel="0" collapsed="false">
      <c r="A189" s="132"/>
      <c r="B189" s="132"/>
      <c r="C189" s="341" t="s">
        <v>1324</v>
      </c>
      <c r="D189" s="939"/>
      <c r="E189" s="295"/>
      <c r="F189" s="680"/>
      <c r="G189" s="938"/>
      <c r="H189" s="596"/>
      <c r="I189" s="168"/>
      <c r="J189" s="219"/>
      <c r="K189" s="596"/>
      <c r="L189" s="728"/>
      <c r="M189" s="922"/>
      <c r="N189" s="676"/>
      <c r="O189" s="118"/>
      <c r="P189" s="118"/>
      <c r="AH189" s="42" t="n">
        <v>0</v>
      </c>
    </row>
    <row r="190" s="42" customFormat="true" ht="18.75" hidden="true" customHeight="true" outlineLevel="0" collapsed="false">
      <c r="A190" s="132" t="s">
        <v>263</v>
      </c>
      <c r="B190" s="132" t="s">
        <v>264</v>
      </c>
      <c r="C190" s="341"/>
      <c r="D190" s="939"/>
      <c r="E190" s="295"/>
      <c r="F190" s="680" t="str">
        <f aca="false">INDEX(PT_DIFFERENTIATION_VTAR,MATCH(A190,PT_DIFFERENTIATION_VTAR_ID,0))</f>
        <v>Тариф на горячую воду (горячее водоснабжение)</v>
      </c>
      <c r="G190" s="860" t="str">
        <f aca="false">INDEX(PT_DIFFERENTIATION_NTAR,MATCH(B190,PT_DIFFERENTIATION_NTAR_ID,0))</f>
        <v/>
      </c>
      <c r="H190" s="358"/>
      <c r="I190" s="927"/>
      <c r="J190" s="928"/>
      <c r="K190" s="371"/>
      <c r="L190" s="358" t="s">
        <v>319</v>
      </c>
      <c r="M190" s="922"/>
      <c r="N190" s="676"/>
      <c r="O190" s="118"/>
      <c r="P190" s="118"/>
      <c r="AH190" s="42" t="n">
        <v>0</v>
      </c>
    </row>
    <row r="191" s="42" customFormat="true" ht="18.75" hidden="true" customHeight="true" outlineLevel="0" collapsed="false">
      <c r="A191" s="132"/>
      <c r="B191" s="132"/>
      <c r="C191" s="341" t="s">
        <v>1317</v>
      </c>
      <c r="D191" s="939"/>
      <c r="E191" s="295"/>
      <c r="F191" s="680"/>
      <c r="G191" s="860"/>
      <c r="H191" s="596"/>
      <c r="I191" s="168" t="s">
        <v>1316</v>
      </c>
      <c r="J191" s="219"/>
      <c r="K191" s="596"/>
      <c r="L191" s="728"/>
      <c r="M191" s="922"/>
      <c r="N191" s="676"/>
      <c r="O191" s="118"/>
      <c r="P191" s="118"/>
      <c r="AH191" s="42" t="n">
        <v>0</v>
      </c>
    </row>
    <row r="192" s="42" customFormat="true" ht="0.75" hidden="true" customHeight="true" outlineLevel="0" collapsed="false">
      <c r="A192" s="132"/>
      <c r="B192" s="132"/>
      <c r="C192" s="341" t="s">
        <v>1324</v>
      </c>
      <c r="D192" s="939"/>
      <c r="E192" s="295"/>
      <c r="F192" s="680"/>
      <c r="G192" s="938"/>
      <c r="H192" s="596"/>
      <c r="I192" s="168"/>
      <c r="J192" s="219"/>
      <c r="K192" s="596"/>
      <c r="L192" s="728"/>
      <c r="M192" s="922"/>
      <c r="N192" s="676"/>
      <c r="O192" s="118"/>
      <c r="P192" s="118"/>
      <c r="AH192" s="42" t="n">
        <v>0</v>
      </c>
    </row>
    <row r="193" s="42" customFormat="true" ht="18.75" hidden="true" customHeight="true" outlineLevel="0" collapsed="false">
      <c r="A193" s="132" t="s">
        <v>268</v>
      </c>
      <c r="B193" s="132" t="s">
        <v>269</v>
      </c>
      <c r="C193" s="341"/>
      <c r="D193" s="939"/>
      <c r="E193" s="295"/>
      <c r="F193" s="680" t="str">
        <f aca="false">INDEX(PT_DIFFERENTIATION_VTAR,MATCH(A193,PT_DIFFERENTIATION_VTAR_ID,0))</f>
        <v>Тариф на транспортировку горячей воды</v>
      </c>
      <c r="G193" s="860" t="str">
        <f aca="false">INDEX(PT_DIFFERENTIATION_NTAR,MATCH(B193,PT_DIFFERENTIATION_NTAR_ID,0))</f>
        <v/>
      </c>
      <c r="H193" s="358"/>
      <c r="I193" s="927"/>
      <c r="J193" s="928"/>
      <c r="K193" s="371"/>
      <c r="L193" s="358" t="s">
        <v>319</v>
      </c>
      <c r="M193" s="922"/>
      <c r="N193" s="676"/>
      <c r="O193" s="118"/>
      <c r="P193" s="118"/>
      <c r="AH193" s="42" t="n">
        <v>0</v>
      </c>
    </row>
    <row r="194" s="42" customFormat="true" ht="18.75" hidden="true" customHeight="true" outlineLevel="0" collapsed="false">
      <c r="A194" s="132"/>
      <c r="B194" s="132"/>
      <c r="C194" s="341" t="s">
        <v>1317</v>
      </c>
      <c r="D194" s="939"/>
      <c r="E194" s="295"/>
      <c r="F194" s="680"/>
      <c r="G194" s="860"/>
      <c r="H194" s="596"/>
      <c r="I194" s="168" t="s">
        <v>1316</v>
      </c>
      <c r="J194" s="219"/>
      <c r="K194" s="596"/>
      <c r="L194" s="728"/>
      <c r="M194" s="922"/>
      <c r="N194" s="676"/>
      <c r="O194" s="118"/>
      <c r="P194" s="118"/>
      <c r="AH194" s="42" t="n">
        <v>0</v>
      </c>
    </row>
    <row r="195" s="42" customFormat="true" ht="0.75" hidden="true" customHeight="true" outlineLevel="0" collapsed="false">
      <c r="A195" s="132"/>
      <c r="B195" s="132"/>
      <c r="C195" s="341" t="s">
        <v>1324</v>
      </c>
      <c r="D195" s="939"/>
      <c r="E195" s="295"/>
      <c r="F195" s="680"/>
      <c r="G195" s="938"/>
      <c r="H195" s="596"/>
      <c r="I195" s="168"/>
      <c r="J195" s="219"/>
      <c r="K195" s="596"/>
      <c r="L195" s="728"/>
      <c r="M195" s="922"/>
      <c r="N195" s="676"/>
      <c r="O195" s="118"/>
      <c r="P195" s="118"/>
      <c r="AH195" s="42" t="n">
        <v>0</v>
      </c>
    </row>
    <row r="196" s="42" customFormat="true" ht="18.75" hidden="true" customHeight="true" outlineLevel="0" collapsed="false">
      <c r="A196" s="132" t="s">
        <v>273</v>
      </c>
      <c r="B196" s="132" t="s">
        <v>274</v>
      </c>
      <c r="C196" s="341"/>
      <c r="D196" s="939"/>
      <c r="E196" s="295"/>
      <c r="F196" s="680" t="str">
        <f aca="false">INDEX(PT_DIFFERENTIATION_VTAR,MATCH(A196,PT_DIFFERENTIATION_VTAR_ID,0))</f>
        <v>Тариф на подключение (технологическое присоединение) к централизованной системе горячего водоснабжения</v>
      </c>
      <c r="G196" s="860" t="str">
        <f aca="false">INDEX(PT_DIFFERENTIATION_NTAR,MATCH(B196,PT_DIFFERENTIATION_NTAR_ID,0))</f>
        <v/>
      </c>
      <c r="H196" s="358"/>
      <c r="I196" s="927"/>
      <c r="J196" s="928"/>
      <c r="K196" s="371"/>
      <c r="L196" s="358" t="s">
        <v>319</v>
      </c>
      <c r="M196" s="922"/>
      <c r="N196" s="676"/>
      <c r="O196" s="118"/>
      <c r="P196" s="118"/>
      <c r="AH196" s="42" t="n">
        <v>0</v>
      </c>
    </row>
    <row r="197" s="42" customFormat="true" ht="18.75" hidden="true" customHeight="true" outlineLevel="0" collapsed="false">
      <c r="A197" s="132"/>
      <c r="B197" s="132"/>
      <c r="C197" s="341" t="s">
        <v>1317</v>
      </c>
      <c r="D197" s="939"/>
      <c r="E197" s="295"/>
      <c r="F197" s="680"/>
      <c r="G197" s="860"/>
      <c r="H197" s="596"/>
      <c r="I197" s="168" t="s">
        <v>1316</v>
      </c>
      <c r="J197" s="219"/>
      <c r="K197" s="596"/>
      <c r="L197" s="728"/>
      <c r="M197" s="922"/>
      <c r="N197" s="676"/>
      <c r="O197" s="118"/>
      <c r="P197" s="118"/>
      <c r="AH197" s="42" t="n">
        <v>0</v>
      </c>
    </row>
    <row r="198" s="42" customFormat="true" ht="0.75" hidden="true" customHeight="true" outlineLevel="0" collapsed="false">
      <c r="A198" s="132"/>
      <c r="B198" s="132"/>
      <c r="C198" s="341" t="s">
        <v>1324</v>
      </c>
      <c r="D198" s="939"/>
      <c r="E198" s="295"/>
      <c r="F198" s="680"/>
      <c r="G198" s="938"/>
      <c r="H198" s="596"/>
      <c r="I198" s="168"/>
      <c r="J198" s="219"/>
      <c r="K198" s="596"/>
      <c r="L198" s="728"/>
      <c r="M198" s="922"/>
      <c r="N198" s="676"/>
      <c r="O198" s="118"/>
      <c r="P198" s="118"/>
      <c r="AH198" s="42" t="n">
        <v>0</v>
      </c>
    </row>
    <row r="199" s="42" customFormat="true" ht="18.75" hidden="true" customHeight="true" outlineLevel="0" collapsed="false">
      <c r="A199" s="132" t="s">
        <v>278</v>
      </c>
      <c r="B199" s="132" t="s">
        <v>279</v>
      </c>
      <c r="C199" s="341"/>
      <c r="D199" s="939"/>
      <c r="E199" s="295"/>
      <c r="F199" s="680" t="str">
        <f aca="false">INDEX(PT_DIFFERENTIATION_VTAR,MATCH(A199,PT_DIFFERENTIATION_VTAR_ID,0))</f>
        <v>Тариф на водоотведение</v>
      </c>
      <c r="G199" s="860" t="str">
        <f aca="false">INDEX(PT_DIFFERENTIATION_NTAR,MATCH(B199,PT_DIFFERENTIATION_NTAR_ID,0))</f>
        <v/>
      </c>
      <c r="H199" s="358"/>
      <c r="I199" s="927"/>
      <c r="J199" s="928"/>
      <c r="K199" s="371"/>
      <c r="L199" s="358" t="s">
        <v>319</v>
      </c>
      <c r="M199" s="922"/>
      <c r="N199" s="676"/>
      <c r="O199" s="118"/>
      <c r="P199" s="118"/>
      <c r="AH199" s="42" t="n">
        <v>0</v>
      </c>
    </row>
    <row r="200" s="42" customFormat="true" ht="18.75" hidden="true" customHeight="true" outlineLevel="0" collapsed="false">
      <c r="A200" s="132"/>
      <c r="B200" s="132"/>
      <c r="C200" s="341" t="s">
        <v>1317</v>
      </c>
      <c r="D200" s="939"/>
      <c r="E200" s="295"/>
      <c r="F200" s="680"/>
      <c r="G200" s="860"/>
      <c r="H200" s="596"/>
      <c r="I200" s="168" t="s">
        <v>1316</v>
      </c>
      <c r="J200" s="219"/>
      <c r="K200" s="596"/>
      <c r="L200" s="728"/>
      <c r="M200" s="922"/>
      <c r="N200" s="676"/>
      <c r="O200" s="118"/>
      <c r="P200" s="118"/>
      <c r="AH200" s="42" t="n">
        <v>0</v>
      </c>
    </row>
    <row r="201" s="42" customFormat="true" ht="0.75" hidden="true" customHeight="true" outlineLevel="0" collapsed="false">
      <c r="A201" s="132"/>
      <c r="B201" s="132"/>
      <c r="C201" s="341" t="s">
        <v>1324</v>
      </c>
      <c r="D201" s="939"/>
      <c r="E201" s="295"/>
      <c r="F201" s="680"/>
      <c r="G201" s="938"/>
      <c r="H201" s="596"/>
      <c r="I201" s="168"/>
      <c r="J201" s="219"/>
      <c r="K201" s="596"/>
      <c r="L201" s="728"/>
      <c r="M201" s="922"/>
      <c r="N201" s="676"/>
      <c r="O201" s="118"/>
      <c r="P201" s="118"/>
      <c r="AH201" s="42" t="n">
        <v>0</v>
      </c>
    </row>
    <row r="202" s="42" customFormat="true" ht="18.75" hidden="true" customHeight="true" outlineLevel="0" collapsed="false">
      <c r="A202" s="132" t="s">
        <v>283</v>
      </c>
      <c r="B202" s="132" t="s">
        <v>284</v>
      </c>
      <c r="C202" s="341"/>
      <c r="D202" s="939"/>
      <c r="E202" s="295"/>
      <c r="F202" s="680" t="str">
        <f aca="false">INDEX(PT_DIFFERENTIATION_VTAR,MATCH(A202,PT_DIFFERENTIATION_VTAR_ID,0))</f>
        <v>Тариф на транспортировку сточных вод</v>
      </c>
      <c r="G202" s="860" t="str">
        <f aca="false">INDEX(PT_DIFFERENTIATION_NTAR,MATCH(B202,PT_DIFFERENTIATION_NTAR_ID,0))</f>
        <v/>
      </c>
      <c r="H202" s="358"/>
      <c r="I202" s="927"/>
      <c r="J202" s="928"/>
      <c r="K202" s="371"/>
      <c r="L202" s="358" t="s">
        <v>319</v>
      </c>
      <c r="M202" s="922"/>
      <c r="N202" s="676"/>
      <c r="O202" s="118"/>
      <c r="P202" s="118"/>
      <c r="AH202" s="42" t="n">
        <v>0</v>
      </c>
    </row>
    <row r="203" s="42" customFormat="true" ht="18.75" hidden="true" customHeight="true" outlineLevel="0" collapsed="false">
      <c r="A203" s="132"/>
      <c r="B203" s="132"/>
      <c r="C203" s="341" t="s">
        <v>1317</v>
      </c>
      <c r="D203" s="939"/>
      <c r="E203" s="295"/>
      <c r="F203" s="680"/>
      <c r="G203" s="860"/>
      <c r="H203" s="596"/>
      <c r="I203" s="168" t="s">
        <v>1316</v>
      </c>
      <c r="J203" s="219"/>
      <c r="K203" s="596"/>
      <c r="L203" s="728"/>
      <c r="M203" s="922"/>
      <c r="N203" s="676"/>
      <c r="O203" s="118"/>
      <c r="P203" s="118"/>
      <c r="AH203" s="42" t="n">
        <v>0</v>
      </c>
    </row>
    <row r="204" s="42" customFormat="true" ht="0.75" hidden="true" customHeight="true" outlineLevel="0" collapsed="false">
      <c r="A204" s="132"/>
      <c r="B204" s="132"/>
      <c r="C204" s="341" t="s">
        <v>1324</v>
      </c>
      <c r="D204" s="939"/>
      <c r="E204" s="295"/>
      <c r="F204" s="680"/>
      <c r="G204" s="938"/>
      <c r="H204" s="596"/>
      <c r="I204" s="168"/>
      <c r="J204" s="219"/>
      <c r="K204" s="596"/>
      <c r="L204" s="728"/>
      <c r="M204" s="922"/>
      <c r="N204" s="676"/>
      <c r="O204" s="118"/>
      <c r="P204" s="118"/>
      <c r="AH204" s="42" t="n">
        <v>0</v>
      </c>
    </row>
    <row r="205" s="42" customFormat="true" ht="18.75" hidden="true" customHeight="true" outlineLevel="0" collapsed="false">
      <c r="A205" s="132" t="s">
        <v>288</v>
      </c>
      <c r="B205" s="132" t="s">
        <v>289</v>
      </c>
      <c r="C205" s="341"/>
      <c r="D205" s="939"/>
      <c r="E205" s="295"/>
      <c r="F205" s="680" t="str">
        <f aca="false">INDEX(PT_DIFFERENTIATION_VTAR,MATCH(A205,PT_DIFFERENTIATION_VTAR_ID,0))</f>
        <v>Тариф на подключение (технологическое присоединение) к централизованной системе водоотведения</v>
      </c>
      <c r="G205" s="860" t="str">
        <f aca="false">INDEX(PT_DIFFERENTIATION_NTAR,MATCH(B205,PT_DIFFERENTIATION_NTAR_ID,0))</f>
        <v/>
      </c>
      <c r="H205" s="358"/>
      <c r="I205" s="927"/>
      <c r="J205" s="928"/>
      <c r="K205" s="371"/>
      <c r="L205" s="358" t="s">
        <v>319</v>
      </c>
      <c r="M205" s="922"/>
      <c r="N205" s="676"/>
      <c r="O205" s="118"/>
      <c r="P205" s="118"/>
      <c r="AH205" s="42" t="n">
        <v>0</v>
      </c>
    </row>
    <row r="206" s="42" customFormat="true" ht="18.75" hidden="true" customHeight="true" outlineLevel="0" collapsed="false">
      <c r="A206" s="132"/>
      <c r="B206" s="132"/>
      <c r="C206" s="341" t="s">
        <v>1317</v>
      </c>
      <c r="D206" s="939"/>
      <c r="E206" s="295"/>
      <c r="F206" s="680"/>
      <c r="G206" s="860"/>
      <c r="H206" s="596"/>
      <c r="I206" s="168" t="s">
        <v>1316</v>
      </c>
      <c r="J206" s="219"/>
      <c r="K206" s="596"/>
      <c r="L206" s="728"/>
      <c r="M206" s="922"/>
      <c r="N206" s="676"/>
      <c r="O206" s="118"/>
      <c r="P206" s="118"/>
      <c r="AH206" s="42" t="n">
        <v>0</v>
      </c>
    </row>
    <row r="207" s="42" customFormat="true" ht="0.75" hidden="false" customHeight="true" outlineLevel="0" collapsed="false">
      <c r="A207" s="132"/>
      <c r="B207" s="132"/>
      <c r="C207" s="341" t="s">
        <v>1324</v>
      </c>
      <c r="D207" s="939"/>
      <c r="E207" s="295"/>
      <c r="F207" s="680"/>
      <c r="G207" s="938"/>
      <c r="H207" s="596"/>
      <c r="I207" s="168"/>
      <c r="J207" s="219"/>
      <c r="K207" s="596"/>
      <c r="L207" s="728"/>
      <c r="M207" s="922"/>
      <c r="N207" s="676"/>
      <c r="O207" s="118"/>
      <c r="P207" s="118"/>
      <c r="AH207" s="42" t="n">
        <v>1</v>
      </c>
    </row>
    <row r="208" customFormat="false" ht="27" hidden="false" customHeight="true" outlineLevel="0" collapsed="false">
      <c r="A208" s="132"/>
      <c r="B208" s="132"/>
      <c r="D208" s="464"/>
      <c r="E208" s="295" t="s">
        <v>121</v>
      </c>
      <c r="F208" s="942" t="str">
        <f aca="false">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942"/>
      <c r="H208" s="942"/>
      <c r="I208" s="942"/>
      <c r="J208" s="942"/>
      <c r="K208" s="942"/>
      <c r="L208" s="942"/>
      <c r="M208" s="722"/>
      <c r="N208" s="676"/>
      <c r="AH208" s="42" t="n">
        <v>26</v>
      </c>
    </row>
    <row r="209" s="42" customFormat="true" ht="60.75" hidden="true" customHeight="true" outlineLevel="0" collapsed="false">
      <c r="A209" s="132" t="s">
        <v>170</v>
      </c>
      <c r="B209" s="132" t="s">
        <v>171</v>
      </c>
      <c r="C209" s="341"/>
      <c r="D209" s="939"/>
      <c r="E209" s="295"/>
      <c r="F209" s="680" t="str">
        <f aca="false">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860" t="str">
        <f aca="false">INDEX(PT_DIFFERENTIATION_NTAR,MATCH(B209,PT_DIFFERENTIATION_NTAR_ID,0))</f>
        <v/>
      </c>
      <c r="H209" s="358"/>
      <c r="I209" s="927"/>
      <c r="J209" s="928"/>
      <c r="K209" s="371"/>
      <c r="L209" s="358" t="s">
        <v>319</v>
      </c>
      <c r="M209" s="911"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676"/>
      <c r="O209" s="118"/>
      <c r="P209" s="118"/>
      <c r="AH209" s="42" t="n">
        <v>0</v>
      </c>
    </row>
    <row r="210" s="42" customFormat="true" ht="18.75" hidden="true" customHeight="true" outlineLevel="0" collapsed="false">
      <c r="A210" s="132"/>
      <c r="B210" s="132"/>
      <c r="C210" s="341" t="s">
        <v>1317</v>
      </c>
      <c r="D210" s="939"/>
      <c r="E210" s="295"/>
      <c r="F210" s="680"/>
      <c r="G210" s="860"/>
      <c r="H210" s="596"/>
      <c r="I210" s="168" t="s">
        <v>1316</v>
      </c>
      <c r="J210" s="219"/>
      <c r="K210" s="596"/>
      <c r="L210" s="728"/>
      <c r="M210" s="911"/>
      <c r="N210" s="676"/>
      <c r="O210" s="118"/>
      <c r="P210" s="118"/>
      <c r="AH210" s="42" t="n">
        <v>0</v>
      </c>
    </row>
    <row r="211" s="42" customFormat="true" ht="0.75" hidden="true" customHeight="true" outlineLevel="0" collapsed="false">
      <c r="A211" s="132"/>
      <c r="B211" s="132"/>
      <c r="C211" s="341" t="s">
        <v>1324</v>
      </c>
      <c r="D211" s="939"/>
      <c r="E211" s="295"/>
      <c r="F211" s="680"/>
      <c r="G211" s="938"/>
      <c r="H211" s="596"/>
      <c r="I211" s="168"/>
      <c r="J211" s="219"/>
      <c r="K211" s="596"/>
      <c r="L211" s="728"/>
      <c r="M211" s="911"/>
      <c r="N211" s="676"/>
      <c r="O211" s="118"/>
      <c r="P211" s="118"/>
      <c r="AH211" s="42" t="n">
        <v>0</v>
      </c>
    </row>
    <row r="212" s="42" customFormat="true" ht="45" hidden="true" customHeight="true" outlineLevel="0" collapsed="false">
      <c r="A212" s="132" t="s">
        <v>175</v>
      </c>
      <c r="B212" s="132" t="s">
        <v>176</v>
      </c>
      <c r="C212" s="341"/>
      <c r="D212" s="939"/>
      <c r="E212" s="295"/>
      <c r="F212" s="680" t="str">
        <f aca="false">INDEX(PT_DIFFERENTIATION_VTAR,MATCH(A212,PT_DIFFERENTIATION_VTAR_ID,0))</f>
        <v/>
      </c>
      <c r="G212" s="860" t="str">
        <f aca="false">INDEX(PT_DIFFERENTIATION_NTAR,MATCH(B212,PT_DIFFERENTIATION_NTAR_ID,0))</f>
        <v/>
      </c>
      <c r="H212" s="358"/>
      <c r="I212" s="927"/>
      <c r="J212" s="928"/>
      <c r="K212" s="371"/>
      <c r="L212" s="358" t="s">
        <v>319</v>
      </c>
      <c r="M212" s="911"/>
      <c r="N212" s="676"/>
      <c r="O212" s="118"/>
      <c r="P212" s="118"/>
      <c r="AH212" s="42" t="n">
        <v>0</v>
      </c>
    </row>
    <row r="213" s="42" customFormat="true" ht="18.75" hidden="true" customHeight="true" outlineLevel="0" collapsed="false">
      <c r="A213" s="132"/>
      <c r="B213" s="132"/>
      <c r="C213" s="341" t="s">
        <v>1317</v>
      </c>
      <c r="D213" s="939"/>
      <c r="E213" s="295"/>
      <c r="F213" s="680"/>
      <c r="G213" s="860"/>
      <c r="H213" s="596"/>
      <c r="I213" s="168" t="s">
        <v>1316</v>
      </c>
      <c r="J213" s="219"/>
      <c r="K213" s="596"/>
      <c r="L213" s="728"/>
      <c r="M213" s="944"/>
      <c r="N213" s="676"/>
      <c r="O213" s="118"/>
      <c r="P213" s="118"/>
      <c r="AH213" s="42" t="n">
        <v>0</v>
      </c>
    </row>
    <row r="214" s="42" customFormat="true" ht="0.75" hidden="true" customHeight="true" outlineLevel="0" collapsed="false">
      <c r="A214" s="132"/>
      <c r="B214" s="132"/>
      <c r="C214" s="341" t="s">
        <v>1324</v>
      </c>
      <c r="D214" s="939"/>
      <c r="E214" s="295"/>
      <c r="F214" s="680"/>
      <c r="G214" s="938"/>
      <c r="H214" s="596"/>
      <c r="I214" s="168"/>
      <c r="J214" s="219"/>
      <c r="K214" s="596"/>
      <c r="L214" s="728"/>
      <c r="M214" s="922"/>
      <c r="N214" s="676"/>
      <c r="O214" s="118"/>
      <c r="P214" s="118"/>
      <c r="AH214" s="42" t="n">
        <v>0</v>
      </c>
    </row>
    <row r="215" s="42" customFormat="true" ht="45" hidden="true" customHeight="true" outlineLevel="0" collapsed="false">
      <c r="A215" s="132" t="s">
        <v>182</v>
      </c>
      <c r="B215" s="132" t="s">
        <v>183</v>
      </c>
      <c r="C215" s="341"/>
      <c r="D215" s="939"/>
      <c r="E215" s="295"/>
      <c r="F215" s="680" t="str">
        <f aca="false">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860" t="str">
        <f aca="false">INDEX(PT_DIFFERENTIATION_NTAR,MATCH(B215,PT_DIFFERENTIATION_NTAR_ID,0))</f>
        <v/>
      </c>
      <c r="H215" s="358"/>
      <c r="I215" s="927"/>
      <c r="J215" s="928"/>
      <c r="K215" s="371"/>
      <c r="L215" s="358" t="s">
        <v>319</v>
      </c>
      <c r="M215" s="922"/>
      <c r="N215" s="676"/>
      <c r="O215" s="118"/>
      <c r="P215" s="118"/>
      <c r="AH215" s="42" t="n">
        <v>0</v>
      </c>
    </row>
    <row r="216" s="42" customFormat="true" ht="18.75" hidden="true" customHeight="true" outlineLevel="0" collapsed="false">
      <c r="A216" s="132"/>
      <c r="B216" s="132"/>
      <c r="C216" s="341" t="s">
        <v>1317</v>
      </c>
      <c r="D216" s="939"/>
      <c r="E216" s="295"/>
      <c r="F216" s="680"/>
      <c r="G216" s="860"/>
      <c r="H216" s="596"/>
      <c r="I216" s="168" t="s">
        <v>1316</v>
      </c>
      <c r="J216" s="219"/>
      <c r="K216" s="596"/>
      <c r="L216" s="728"/>
      <c r="M216" s="922"/>
      <c r="N216" s="676"/>
      <c r="O216" s="118"/>
      <c r="P216" s="118"/>
      <c r="AH216" s="42" t="n">
        <v>0</v>
      </c>
    </row>
    <row r="217" s="42" customFormat="true" ht="0.75" hidden="true" customHeight="true" outlineLevel="0" collapsed="false">
      <c r="A217" s="132"/>
      <c r="B217" s="132"/>
      <c r="C217" s="341" t="s">
        <v>1324</v>
      </c>
      <c r="D217" s="939"/>
      <c r="E217" s="295"/>
      <c r="F217" s="680"/>
      <c r="G217" s="938"/>
      <c r="H217" s="596"/>
      <c r="I217" s="168"/>
      <c r="J217" s="219"/>
      <c r="K217" s="596"/>
      <c r="L217" s="728"/>
      <c r="M217" s="922"/>
      <c r="N217" s="676"/>
      <c r="O217" s="118"/>
      <c r="P217" s="118"/>
      <c r="AH217" s="42" t="n">
        <v>0</v>
      </c>
    </row>
    <row r="218" s="42" customFormat="true" ht="45" hidden="true" customHeight="true" outlineLevel="0" collapsed="false">
      <c r="A218" s="132" t="s">
        <v>188</v>
      </c>
      <c r="B218" s="132" t="s">
        <v>189</v>
      </c>
      <c r="C218" s="341"/>
      <c r="D218" s="939"/>
      <c r="E218" s="295"/>
      <c r="F218" s="680" t="str">
        <f aca="false">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860" t="str">
        <f aca="false">INDEX(PT_DIFFERENTIATION_NTAR,MATCH(B218,PT_DIFFERENTIATION_NTAR_ID,0))</f>
        <v/>
      </c>
      <c r="H218" s="358"/>
      <c r="I218" s="927"/>
      <c r="J218" s="928"/>
      <c r="K218" s="371"/>
      <c r="L218" s="358" t="s">
        <v>319</v>
      </c>
      <c r="M218" s="922"/>
      <c r="N218" s="676"/>
      <c r="O218" s="118"/>
      <c r="P218" s="118"/>
      <c r="AH218" s="42" t="n">
        <v>0</v>
      </c>
    </row>
    <row r="219" s="42" customFormat="true" ht="18.75" hidden="true" customHeight="true" outlineLevel="0" collapsed="false">
      <c r="A219" s="132"/>
      <c r="B219" s="132"/>
      <c r="C219" s="341" t="s">
        <v>1317</v>
      </c>
      <c r="D219" s="939"/>
      <c r="E219" s="295"/>
      <c r="F219" s="680"/>
      <c r="G219" s="860"/>
      <c r="H219" s="596"/>
      <c r="I219" s="168" t="s">
        <v>1316</v>
      </c>
      <c r="J219" s="219"/>
      <c r="K219" s="596"/>
      <c r="L219" s="728"/>
      <c r="M219" s="922"/>
      <c r="N219" s="676"/>
      <c r="O219" s="118"/>
      <c r="P219" s="118"/>
      <c r="AH219" s="42" t="n">
        <v>0</v>
      </c>
    </row>
    <row r="220" s="42" customFormat="true" ht="0.75" hidden="true" customHeight="true" outlineLevel="0" collapsed="false">
      <c r="A220" s="132"/>
      <c r="B220" s="132"/>
      <c r="C220" s="341" t="s">
        <v>1324</v>
      </c>
      <c r="D220" s="939"/>
      <c r="E220" s="295"/>
      <c r="F220" s="680"/>
      <c r="G220" s="938"/>
      <c r="H220" s="596"/>
      <c r="I220" s="168"/>
      <c r="J220" s="219"/>
      <c r="K220" s="596"/>
      <c r="L220" s="728"/>
      <c r="M220" s="922"/>
      <c r="N220" s="676"/>
      <c r="O220" s="118"/>
      <c r="P220" s="118"/>
      <c r="AH220" s="42" t="n">
        <v>0</v>
      </c>
    </row>
    <row r="221" s="42" customFormat="true" ht="18.75" hidden="true" customHeight="true" outlineLevel="0" collapsed="false">
      <c r="A221" s="132" t="s">
        <v>194</v>
      </c>
      <c r="B221" s="132" t="s">
        <v>195</v>
      </c>
      <c r="C221" s="341"/>
      <c r="D221" s="939"/>
      <c r="E221" s="295"/>
      <c r="F221" s="680" t="str">
        <f aca="false">INDEX(PT_DIFFERENTIATION_VTAR,MATCH(A221,PT_DIFFERENTIATION_VTAR_ID,0))</f>
        <v>Тарифы на услуги по передаче тепловой энергии</v>
      </c>
      <c r="G221" s="860" t="str">
        <f aca="false">INDEX(PT_DIFFERENTIATION_NTAR,MATCH(B221,PT_DIFFERENTIATION_NTAR_ID,0))</f>
        <v/>
      </c>
      <c r="H221" s="358"/>
      <c r="I221" s="927"/>
      <c r="J221" s="928"/>
      <c r="K221" s="371"/>
      <c r="L221" s="358" t="s">
        <v>319</v>
      </c>
      <c r="M221" s="922"/>
      <c r="N221" s="676"/>
      <c r="O221" s="118"/>
      <c r="P221" s="118"/>
      <c r="AH221" s="42" t="n">
        <v>0</v>
      </c>
    </row>
    <row r="222" s="42" customFormat="true" ht="18.75" hidden="true" customHeight="true" outlineLevel="0" collapsed="false">
      <c r="A222" s="132"/>
      <c r="B222" s="132"/>
      <c r="C222" s="341" t="s">
        <v>1317</v>
      </c>
      <c r="D222" s="939"/>
      <c r="E222" s="295"/>
      <c r="F222" s="680"/>
      <c r="G222" s="860"/>
      <c r="H222" s="596"/>
      <c r="I222" s="168" t="s">
        <v>1316</v>
      </c>
      <c r="J222" s="219"/>
      <c r="K222" s="596"/>
      <c r="L222" s="728"/>
      <c r="M222" s="922"/>
      <c r="N222" s="676"/>
      <c r="O222" s="118"/>
      <c r="P222" s="118"/>
      <c r="AH222" s="42" t="n">
        <v>0</v>
      </c>
    </row>
    <row r="223" s="42" customFormat="true" ht="0.75" hidden="true" customHeight="true" outlineLevel="0" collapsed="false">
      <c r="A223" s="132"/>
      <c r="B223" s="132"/>
      <c r="C223" s="341" t="s">
        <v>1324</v>
      </c>
      <c r="D223" s="939"/>
      <c r="E223" s="295"/>
      <c r="F223" s="680"/>
      <c r="G223" s="938"/>
      <c r="H223" s="596"/>
      <c r="I223" s="168"/>
      <c r="J223" s="219"/>
      <c r="K223" s="596"/>
      <c r="L223" s="728"/>
      <c r="M223" s="922"/>
      <c r="N223" s="676"/>
      <c r="O223" s="118"/>
      <c r="P223" s="118"/>
      <c r="AH223" s="42" t="n">
        <v>0</v>
      </c>
    </row>
    <row r="224" s="42" customFormat="true" ht="18.75" hidden="true" customHeight="true" outlineLevel="0" collapsed="false">
      <c r="A224" s="132" t="s">
        <v>200</v>
      </c>
      <c r="B224" s="132" t="s">
        <v>201</v>
      </c>
      <c r="C224" s="341"/>
      <c r="D224" s="939"/>
      <c r="E224" s="295"/>
      <c r="F224" s="680" t="str">
        <f aca="false">INDEX(PT_DIFFERENTIATION_VTAR,MATCH(A224,PT_DIFFERENTIATION_VTAR_ID,0))</f>
        <v>Тарифы на услуги по передаче теплоносителя</v>
      </c>
      <c r="G224" s="860" t="str">
        <f aca="false">INDEX(PT_DIFFERENTIATION_NTAR,MATCH(B224,PT_DIFFERENTIATION_NTAR_ID,0))</f>
        <v/>
      </c>
      <c r="H224" s="358"/>
      <c r="I224" s="927"/>
      <c r="J224" s="928"/>
      <c r="K224" s="371"/>
      <c r="L224" s="358" t="s">
        <v>319</v>
      </c>
      <c r="M224" s="922"/>
      <c r="N224" s="676"/>
      <c r="O224" s="118"/>
      <c r="P224" s="118"/>
      <c r="AH224" s="42" t="n">
        <v>0</v>
      </c>
    </row>
    <row r="225" s="42" customFormat="true" ht="18.75" hidden="true" customHeight="true" outlineLevel="0" collapsed="false">
      <c r="A225" s="132"/>
      <c r="B225" s="132"/>
      <c r="C225" s="341" t="s">
        <v>1317</v>
      </c>
      <c r="D225" s="939"/>
      <c r="E225" s="295"/>
      <c r="F225" s="680"/>
      <c r="G225" s="860"/>
      <c r="H225" s="596"/>
      <c r="I225" s="168" t="s">
        <v>1316</v>
      </c>
      <c r="J225" s="219"/>
      <c r="K225" s="596"/>
      <c r="L225" s="728"/>
      <c r="M225" s="922"/>
      <c r="N225" s="676"/>
      <c r="O225" s="118"/>
      <c r="P225" s="118"/>
      <c r="AH225" s="42" t="n">
        <v>0</v>
      </c>
    </row>
    <row r="226" s="42" customFormat="true" ht="0.75" hidden="true" customHeight="true" outlineLevel="0" collapsed="false">
      <c r="A226" s="132"/>
      <c r="B226" s="132"/>
      <c r="C226" s="341" t="s">
        <v>1324</v>
      </c>
      <c r="D226" s="939"/>
      <c r="E226" s="295"/>
      <c r="F226" s="680"/>
      <c r="G226" s="938"/>
      <c r="H226" s="596"/>
      <c r="I226" s="168"/>
      <c r="J226" s="219"/>
      <c r="K226" s="596"/>
      <c r="L226" s="728"/>
      <c r="M226" s="922"/>
      <c r="N226" s="676"/>
      <c r="O226" s="118"/>
      <c r="P226" s="118"/>
      <c r="AH226" s="42" t="n">
        <v>0</v>
      </c>
    </row>
    <row r="227" s="42" customFormat="true" ht="18.75" hidden="true" customHeight="true" outlineLevel="0" collapsed="false">
      <c r="A227" s="132" t="s">
        <v>206</v>
      </c>
      <c r="B227" s="132" t="s">
        <v>207</v>
      </c>
      <c r="C227" s="341"/>
      <c r="D227" s="939"/>
      <c r="E227" s="295"/>
      <c r="F227" s="680" t="str">
        <f aca="false">INDEX(PT_DIFFERENTIATION_VTAR,MATCH(A227,PT_DIFFERENTIATION_VTAR_ID,0))</f>
        <v>Плата за услуги по поддержанию резервной тепловой мощности при отсутствии потребления тепловой энергии</v>
      </c>
      <c r="G227" s="860" t="str">
        <f aca="false">INDEX(PT_DIFFERENTIATION_NTAR,MATCH(B227,PT_DIFFERENTIATION_NTAR_ID,0))</f>
        <v/>
      </c>
      <c r="H227" s="358"/>
      <c r="I227" s="927"/>
      <c r="J227" s="928"/>
      <c r="K227" s="371"/>
      <c r="L227" s="358" t="s">
        <v>319</v>
      </c>
      <c r="M227" s="922"/>
      <c r="N227" s="676"/>
      <c r="O227" s="118"/>
      <c r="P227" s="118"/>
      <c r="AH227" s="42" t="n">
        <v>0</v>
      </c>
    </row>
    <row r="228" s="42" customFormat="true" ht="18.75" hidden="true" customHeight="true" outlineLevel="0" collapsed="false">
      <c r="A228" s="132"/>
      <c r="B228" s="132"/>
      <c r="C228" s="341" t="s">
        <v>1317</v>
      </c>
      <c r="D228" s="939"/>
      <c r="E228" s="295"/>
      <c r="F228" s="680"/>
      <c r="G228" s="860"/>
      <c r="H228" s="596"/>
      <c r="I228" s="168" t="s">
        <v>1316</v>
      </c>
      <c r="J228" s="219"/>
      <c r="K228" s="596"/>
      <c r="L228" s="728"/>
      <c r="M228" s="922"/>
      <c r="N228" s="676"/>
      <c r="O228" s="118"/>
      <c r="P228" s="118"/>
      <c r="AH228" s="42" t="n">
        <v>0</v>
      </c>
    </row>
    <row r="229" s="42" customFormat="true" ht="0.75" hidden="true" customHeight="true" outlineLevel="0" collapsed="false">
      <c r="A229" s="132"/>
      <c r="B229" s="132"/>
      <c r="C229" s="341" t="s">
        <v>1324</v>
      </c>
      <c r="D229" s="939"/>
      <c r="E229" s="295"/>
      <c r="F229" s="680"/>
      <c r="G229" s="938"/>
      <c r="H229" s="596"/>
      <c r="I229" s="168"/>
      <c r="J229" s="219"/>
      <c r="K229" s="596"/>
      <c r="L229" s="728"/>
      <c r="M229" s="922"/>
      <c r="N229" s="676"/>
      <c r="O229" s="118"/>
      <c r="P229" s="118"/>
      <c r="AH229" s="42" t="n">
        <v>0</v>
      </c>
    </row>
    <row r="230" s="42" customFormat="true" ht="18.75" hidden="true" customHeight="true" outlineLevel="0" collapsed="false">
      <c r="A230" s="132" t="s">
        <v>212</v>
      </c>
      <c r="B230" s="132" t="s">
        <v>213</v>
      </c>
      <c r="C230" s="341"/>
      <c r="D230" s="939"/>
      <c r="E230" s="295"/>
      <c r="F230" s="680" t="str">
        <f aca="false">INDEX(PT_DIFFERENTIATION_VTAR,MATCH(A230,PT_DIFFERENTIATION_VTAR_ID,0))</f>
        <v>Плата за подключение (технологическое присоединение) к системе теплоснабжения</v>
      </c>
      <c r="G230" s="860" t="str">
        <f aca="false">INDEX(PT_DIFFERENTIATION_NTAR,MATCH(B230,PT_DIFFERENTIATION_NTAR_ID,0))</f>
        <v/>
      </c>
      <c r="H230" s="358"/>
      <c r="I230" s="927"/>
      <c r="J230" s="928"/>
      <c r="K230" s="371"/>
      <c r="L230" s="358" t="s">
        <v>319</v>
      </c>
      <c r="M230" s="922"/>
      <c r="N230" s="676"/>
      <c r="O230" s="118"/>
      <c r="P230" s="118"/>
      <c r="AH230" s="42" t="n">
        <v>0</v>
      </c>
    </row>
    <row r="231" s="42" customFormat="true" ht="18.75" hidden="true" customHeight="true" outlineLevel="0" collapsed="false">
      <c r="A231" s="132"/>
      <c r="B231" s="132"/>
      <c r="C231" s="341" t="s">
        <v>1317</v>
      </c>
      <c r="D231" s="939"/>
      <c r="E231" s="295"/>
      <c r="F231" s="680"/>
      <c r="G231" s="860"/>
      <c r="H231" s="596"/>
      <c r="I231" s="168" t="s">
        <v>1316</v>
      </c>
      <c r="J231" s="219"/>
      <c r="K231" s="596"/>
      <c r="L231" s="728"/>
      <c r="M231" s="922"/>
      <c r="N231" s="676"/>
      <c r="O231" s="118"/>
      <c r="P231" s="118"/>
      <c r="AH231" s="42" t="n">
        <v>0</v>
      </c>
    </row>
    <row r="232" s="42" customFormat="true" ht="0.75" hidden="true" customHeight="true" outlineLevel="0" collapsed="false">
      <c r="A232" s="132"/>
      <c r="B232" s="132"/>
      <c r="C232" s="341" t="s">
        <v>1324</v>
      </c>
      <c r="D232" s="939"/>
      <c r="E232" s="295"/>
      <c r="F232" s="680"/>
      <c r="G232" s="938"/>
      <c r="H232" s="596"/>
      <c r="I232" s="168"/>
      <c r="J232" s="219"/>
      <c r="K232" s="596"/>
      <c r="L232" s="728"/>
      <c r="M232" s="922"/>
      <c r="N232" s="676"/>
      <c r="O232" s="118"/>
      <c r="P232" s="118"/>
      <c r="AH232" s="42" t="n">
        <v>0</v>
      </c>
    </row>
    <row r="233" s="42" customFormat="true" ht="18.75" hidden="true" customHeight="true" outlineLevel="0" collapsed="false">
      <c r="A233" s="132" t="s">
        <v>218</v>
      </c>
      <c r="B233" s="132" t="s">
        <v>219</v>
      </c>
      <c r="C233" s="341"/>
      <c r="D233" s="939"/>
      <c r="E233" s="295"/>
      <c r="F233" s="680" t="str">
        <f aca="false">INDEX(PT_DIFFERENTIATION_VTAR,MATCH(A233,PT_DIFFERENTIATION_VTAR_ID,0))</f>
        <v>Плата за подключение (технологическое присоединение) к системе теплоснабжения (индивидуальная)</v>
      </c>
      <c r="G233" s="860" t="str">
        <f aca="false">INDEX(PT_DIFFERENTIATION_NTAR,MATCH(B233,PT_DIFFERENTIATION_NTAR_ID,0))</f>
        <v/>
      </c>
      <c r="H233" s="358"/>
      <c r="I233" s="927"/>
      <c r="J233" s="928"/>
      <c r="K233" s="371"/>
      <c r="L233" s="358" t="s">
        <v>319</v>
      </c>
      <c r="M233" s="922"/>
      <c r="N233" s="676"/>
      <c r="O233" s="118"/>
      <c r="P233" s="118"/>
      <c r="AH233" s="42" t="n">
        <v>0</v>
      </c>
    </row>
    <row r="234" s="42" customFormat="true" ht="18.75" hidden="true" customHeight="true" outlineLevel="0" collapsed="false">
      <c r="A234" s="132"/>
      <c r="B234" s="132"/>
      <c r="C234" s="341" t="s">
        <v>1317</v>
      </c>
      <c r="D234" s="939"/>
      <c r="E234" s="295"/>
      <c r="F234" s="680"/>
      <c r="G234" s="860"/>
      <c r="H234" s="596"/>
      <c r="I234" s="168" t="s">
        <v>1316</v>
      </c>
      <c r="J234" s="219"/>
      <c r="K234" s="596"/>
      <c r="L234" s="728"/>
      <c r="M234" s="922"/>
      <c r="N234" s="676"/>
      <c r="O234" s="118"/>
      <c r="P234" s="118"/>
      <c r="AH234" s="42" t="n">
        <v>0</v>
      </c>
    </row>
    <row r="235" s="42" customFormat="true" ht="0.75" hidden="true" customHeight="true" outlineLevel="0" collapsed="false">
      <c r="A235" s="132"/>
      <c r="B235" s="132"/>
      <c r="C235" s="341" t="s">
        <v>1324</v>
      </c>
      <c r="D235" s="939"/>
      <c r="E235" s="295"/>
      <c r="F235" s="680"/>
      <c r="G235" s="938"/>
      <c r="H235" s="596"/>
      <c r="I235" s="168"/>
      <c r="J235" s="219"/>
      <c r="K235" s="596"/>
      <c r="L235" s="728"/>
      <c r="M235" s="922"/>
      <c r="N235" s="676"/>
      <c r="O235" s="118"/>
      <c r="P235" s="118"/>
      <c r="AH235" s="42" t="n">
        <v>0</v>
      </c>
    </row>
    <row r="236" s="42" customFormat="true" ht="18.75" hidden="true" customHeight="true" outlineLevel="0" collapsed="false">
      <c r="A236" s="132" t="s">
        <v>238</v>
      </c>
      <c r="B236" s="132" t="s">
        <v>239</v>
      </c>
      <c r="C236" s="341"/>
      <c r="D236" s="939"/>
      <c r="E236" s="295"/>
      <c r="F236" s="680" t="str">
        <f aca="false">INDEX(PT_DIFFERENTIATION_VTAR,MATCH(A236,PT_DIFFERENTIATION_VTAR_ID,0))</f>
        <v>Тариф на питьевую воду (питьевое водоснабжение)</v>
      </c>
      <c r="G236" s="860" t="str">
        <f aca="false">INDEX(PT_DIFFERENTIATION_NTAR,MATCH(B236,PT_DIFFERENTIATION_NTAR_ID,0))</f>
        <v/>
      </c>
      <c r="H236" s="358"/>
      <c r="I236" s="927"/>
      <c r="J236" s="928"/>
      <c r="K236" s="371"/>
      <c r="L236" s="358" t="s">
        <v>319</v>
      </c>
      <c r="M236" s="922"/>
      <c r="N236" s="676"/>
      <c r="O236" s="118"/>
      <c r="P236" s="118"/>
      <c r="AH236" s="42" t="n">
        <v>0</v>
      </c>
    </row>
    <row r="237" s="42" customFormat="true" ht="18.75" hidden="true" customHeight="true" outlineLevel="0" collapsed="false">
      <c r="A237" s="132"/>
      <c r="B237" s="132"/>
      <c r="C237" s="341" t="s">
        <v>1317</v>
      </c>
      <c r="D237" s="939"/>
      <c r="E237" s="295"/>
      <c r="F237" s="680"/>
      <c r="G237" s="860"/>
      <c r="H237" s="596"/>
      <c r="I237" s="168" t="s">
        <v>1316</v>
      </c>
      <c r="J237" s="219"/>
      <c r="K237" s="596"/>
      <c r="L237" s="728"/>
      <c r="M237" s="922"/>
      <c r="N237" s="676"/>
      <c r="O237" s="118"/>
      <c r="P237" s="118"/>
      <c r="AH237" s="42" t="n">
        <v>0</v>
      </c>
    </row>
    <row r="238" s="42" customFormat="true" ht="0.75" hidden="true" customHeight="true" outlineLevel="0" collapsed="false">
      <c r="A238" s="132"/>
      <c r="B238" s="132"/>
      <c r="C238" s="341" t="s">
        <v>1324</v>
      </c>
      <c r="D238" s="939"/>
      <c r="E238" s="295"/>
      <c r="F238" s="680"/>
      <c r="G238" s="938"/>
      <c r="H238" s="596"/>
      <c r="I238" s="168"/>
      <c r="J238" s="219"/>
      <c r="K238" s="596"/>
      <c r="L238" s="728"/>
      <c r="M238" s="922"/>
      <c r="N238" s="676"/>
      <c r="O238" s="118"/>
      <c r="P238" s="118"/>
      <c r="AH238" s="42" t="n">
        <v>0</v>
      </c>
    </row>
    <row r="239" s="42" customFormat="true" ht="18.75" hidden="true" customHeight="true" outlineLevel="0" collapsed="false">
      <c r="A239" s="132" t="s">
        <v>243</v>
      </c>
      <c r="B239" s="132" t="s">
        <v>244</v>
      </c>
      <c r="C239" s="341"/>
      <c r="D239" s="939"/>
      <c r="E239" s="295"/>
      <c r="F239" s="680" t="str">
        <f aca="false">INDEX(PT_DIFFERENTIATION_VTAR,MATCH(A239,PT_DIFFERENTIATION_VTAR_ID,0))</f>
        <v>Тариф на техническую воду</v>
      </c>
      <c r="G239" s="860" t="str">
        <f aca="false">INDEX(PT_DIFFERENTIATION_NTAR,MATCH(B239,PT_DIFFERENTIATION_NTAR_ID,0))</f>
        <v/>
      </c>
      <c r="H239" s="358"/>
      <c r="I239" s="927"/>
      <c r="J239" s="928"/>
      <c r="K239" s="371"/>
      <c r="L239" s="358" t="s">
        <v>319</v>
      </c>
      <c r="M239" s="922"/>
      <c r="N239" s="676"/>
      <c r="O239" s="118"/>
      <c r="P239" s="118"/>
      <c r="AH239" s="42" t="n">
        <v>0</v>
      </c>
    </row>
    <row r="240" s="42" customFormat="true" ht="18.75" hidden="true" customHeight="true" outlineLevel="0" collapsed="false">
      <c r="A240" s="132"/>
      <c r="B240" s="132"/>
      <c r="C240" s="341" t="s">
        <v>1317</v>
      </c>
      <c r="D240" s="939"/>
      <c r="E240" s="295"/>
      <c r="F240" s="680"/>
      <c r="G240" s="860"/>
      <c r="H240" s="596"/>
      <c r="I240" s="168" t="s">
        <v>1316</v>
      </c>
      <c r="J240" s="219"/>
      <c r="K240" s="596"/>
      <c r="L240" s="728"/>
      <c r="M240" s="922"/>
      <c r="N240" s="676"/>
      <c r="O240" s="118"/>
      <c r="P240" s="118"/>
      <c r="AH240" s="42" t="n">
        <v>0</v>
      </c>
    </row>
    <row r="241" s="42" customFormat="true" ht="0.75" hidden="true" customHeight="true" outlineLevel="0" collapsed="false">
      <c r="A241" s="132"/>
      <c r="B241" s="132"/>
      <c r="C241" s="341" t="s">
        <v>1324</v>
      </c>
      <c r="D241" s="939"/>
      <c r="E241" s="295"/>
      <c r="F241" s="680"/>
      <c r="G241" s="938"/>
      <c r="H241" s="596"/>
      <c r="I241" s="168"/>
      <c r="J241" s="219"/>
      <c r="K241" s="596"/>
      <c r="L241" s="728"/>
      <c r="M241" s="922"/>
      <c r="N241" s="676"/>
      <c r="O241" s="118"/>
      <c r="P241" s="118"/>
      <c r="AH241" s="42" t="n">
        <v>0</v>
      </c>
    </row>
    <row r="242" s="42" customFormat="true" ht="18.75" hidden="true" customHeight="true" outlineLevel="0" collapsed="false">
      <c r="A242" s="132" t="s">
        <v>248</v>
      </c>
      <c r="B242" s="132" t="s">
        <v>249</v>
      </c>
      <c r="C242" s="341"/>
      <c r="D242" s="939"/>
      <c r="E242" s="295"/>
      <c r="F242" s="680" t="str">
        <f aca="false">INDEX(PT_DIFFERENTIATION_VTAR,MATCH(A242,PT_DIFFERENTIATION_VTAR_ID,0))</f>
        <v>Тариф на транспортировку воды</v>
      </c>
      <c r="G242" s="860" t="str">
        <f aca="false">INDEX(PT_DIFFERENTIATION_NTAR,MATCH(B242,PT_DIFFERENTIATION_NTAR_ID,0))</f>
        <v/>
      </c>
      <c r="H242" s="358"/>
      <c r="I242" s="927"/>
      <c r="J242" s="928"/>
      <c r="K242" s="371"/>
      <c r="L242" s="358" t="s">
        <v>319</v>
      </c>
      <c r="M242" s="922"/>
      <c r="N242" s="676"/>
      <c r="O242" s="118"/>
      <c r="P242" s="118"/>
      <c r="AH242" s="42" t="n">
        <v>0</v>
      </c>
    </row>
    <row r="243" s="42" customFormat="true" ht="18.75" hidden="true" customHeight="true" outlineLevel="0" collapsed="false">
      <c r="A243" s="132"/>
      <c r="B243" s="132"/>
      <c r="C243" s="341" t="s">
        <v>1317</v>
      </c>
      <c r="D243" s="939"/>
      <c r="E243" s="295"/>
      <c r="F243" s="680"/>
      <c r="G243" s="860"/>
      <c r="H243" s="596"/>
      <c r="I243" s="168" t="s">
        <v>1316</v>
      </c>
      <c r="J243" s="219"/>
      <c r="K243" s="596"/>
      <c r="L243" s="728"/>
      <c r="M243" s="922"/>
      <c r="N243" s="676"/>
      <c r="O243" s="118"/>
      <c r="P243" s="118"/>
      <c r="AH243" s="42" t="n">
        <v>0</v>
      </c>
    </row>
    <row r="244" s="42" customFormat="true" ht="0.75" hidden="true" customHeight="true" outlineLevel="0" collapsed="false">
      <c r="A244" s="132"/>
      <c r="B244" s="132"/>
      <c r="C244" s="341" t="s">
        <v>1324</v>
      </c>
      <c r="D244" s="939"/>
      <c r="E244" s="295"/>
      <c r="F244" s="680"/>
      <c r="G244" s="938"/>
      <c r="H244" s="596"/>
      <c r="I244" s="168"/>
      <c r="J244" s="219"/>
      <c r="K244" s="596"/>
      <c r="L244" s="728"/>
      <c r="M244" s="922"/>
      <c r="N244" s="676"/>
      <c r="O244" s="118"/>
      <c r="P244" s="118"/>
      <c r="AH244" s="42" t="n">
        <v>0</v>
      </c>
    </row>
    <row r="245" s="42" customFormat="true" ht="18.75" hidden="true" customHeight="true" outlineLevel="0" collapsed="false">
      <c r="A245" s="132" t="s">
        <v>253</v>
      </c>
      <c r="B245" s="132" t="s">
        <v>254</v>
      </c>
      <c r="C245" s="341"/>
      <c r="D245" s="939"/>
      <c r="E245" s="295"/>
      <c r="F245" s="680" t="str">
        <f aca="false">INDEX(PT_DIFFERENTIATION_VTAR,MATCH(A245,PT_DIFFERENTIATION_VTAR_ID,0))</f>
        <v>Тариф на подвоз воды</v>
      </c>
      <c r="G245" s="860" t="str">
        <f aca="false">INDEX(PT_DIFFERENTIATION_NTAR,MATCH(B245,PT_DIFFERENTIATION_NTAR_ID,0))</f>
        <v/>
      </c>
      <c r="H245" s="358"/>
      <c r="I245" s="927"/>
      <c r="J245" s="928"/>
      <c r="K245" s="371"/>
      <c r="L245" s="358" t="s">
        <v>319</v>
      </c>
      <c r="M245" s="922"/>
      <c r="N245" s="676"/>
      <c r="O245" s="118"/>
      <c r="P245" s="118"/>
      <c r="AH245" s="42" t="n">
        <v>0</v>
      </c>
    </row>
    <row r="246" s="42" customFormat="true" ht="18.75" hidden="true" customHeight="true" outlineLevel="0" collapsed="false">
      <c r="A246" s="132"/>
      <c r="B246" s="132"/>
      <c r="C246" s="341" t="s">
        <v>1317</v>
      </c>
      <c r="D246" s="939"/>
      <c r="E246" s="295"/>
      <c r="F246" s="680"/>
      <c r="G246" s="860"/>
      <c r="H246" s="596"/>
      <c r="I246" s="168" t="s">
        <v>1316</v>
      </c>
      <c r="J246" s="219"/>
      <c r="K246" s="596"/>
      <c r="L246" s="728"/>
      <c r="M246" s="922"/>
      <c r="N246" s="676"/>
      <c r="O246" s="118"/>
      <c r="P246" s="118"/>
      <c r="AH246" s="42" t="n">
        <v>0</v>
      </c>
    </row>
    <row r="247" s="42" customFormat="true" ht="0.75" hidden="true" customHeight="true" outlineLevel="0" collapsed="false">
      <c r="A247" s="132"/>
      <c r="B247" s="132"/>
      <c r="C247" s="341" t="s">
        <v>1324</v>
      </c>
      <c r="D247" s="939"/>
      <c r="E247" s="295"/>
      <c r="F247" s="680"/>
      <c r="G247" s="938"/>
      <c r="H247" s="596"/>
      <c r="I247" s="168"/>
      <c r="J247" s="219"/>
      <c r="K247" s="596"/>
      <c r="L247" s="728"/>
      <c r="M247" s="922"/>
      <c r="N247" s="676"/>
      <c r="O247" s="118"/>
      <c r="P247" s="118"/>
      <c r="AH247" s="42" t="n">
        <v>0</v>
      </c>
    </row>
    <row r="248" s="42" customFormat="true" ht="18.75" hidden="true" customHeight="true" outlineLevel="0" collapsed="false">
      <c r="A248" s="132" t="s">
        <v>258</v>
      </c>
      <c r="B248" s="132" t="s">
        <v>259</v>
      </c>
      <c r="C248" s="341"/>
      <c r="D248" s="939"/>
      <c r="E248" s="295"/>
      <c r="F248" s="680" t="str">
        <f aca="false">INDEX(PT_DIFFERENTIATION_VTAR,MATCH(A248,PT_DIFFERENTIATION_VTAR_ID,0))</f>
        <v>Тариф на подключение (технологическое присоединение) к централизованной системе холодного водоснабжения</v>
      </c>
      <c r="G248" s="860" t="str">
        <f aca="false">INDEX(PT_DIFFERENTIATION_NTAR,MATCH(B248,PT_DIFFERENTIATION_NTAR_ID,0))</f>
        <v/>
      </c>
      <c r="H248" s="358"/>
      <c r="I248" s="927"/>
      <c r="J248" s="928"/>
      <c r="K248" s="371"/>
      <c r="L248" s="358" t="s">
        <v>319</v>
      </c>
      <c r="M248" s="922"/>
      <c r="N248" s="676"/>
      <c r="O248" s="118"/>
      <c r="P248" s="118"/>
      <c r="AH248" s="42" t="n">
        <v>0</v>
      </c>
    </row>
    <row r="249" s="42" customFormat="true" ht="18.75" hidden="true" customHeight="true" outlineLevel="0" collapsed="false">
      <c r="A249" s="132"/>
      <c r="B249" s="132"/>
      <c r="C249" s="341" t="s">
        <v>1317</v>
      </c>
      <c r="D249" s="939"/>
      <c r="E249" s="295"/>
      <c r="F249" s="680"/>
      <c r="G249" s="860"/>
      <c r="H249" s="596"/>
      <c r="I249" s="168" t="s">
        <v>1316</v>
      </c>
      <c r="J249" s="219"/>
      <c r="K249" s="596"/>
      <c r="L249" s="728"/>
      <c r="M249" s="922"/>
      <c r="N249" s="676"/>
      <c r="O249" s="118"/>
      <c r="P249" s="118"/>
      <c r="AH249" s="42" t="n">
        <v>0</v>
      </c>
    </row>
    <row r="250" s="42" customFormat="true" ht="0.75" hidden="true" customHeight="true" outlineLevel="0" collapsed="false">
      <c r="A250" s="132"/>
      <c r="B250" s="132"/>
      <c r="C250" s="341" t="s">
        <v>1324</v>
      </c>
      <c r="D250" s="939"/>
      <c r="E250" s="295"/>
      <c r="F250" s="680"/>
      <c r="G250" s="938"/>
      <c r="H250" s="596"/>
      <c r="I250" s="168"/>
      <c r="J250" s="219"/>
      <c r="K250" s="596"/>
      <c r="L250" s="728"/>
      <c r="M250" s="922"/>
      <c r="N250" s="676"/>
      <c r="O250" s="118"/>
      <c r="P250" s="118"/>
      <c r="AH250" s="42" t="n">
        <v>0</v>
      </c>
    </row>
    <row r="251" s="42" customFormat="true" ht="18.75" hidden="true" customHeight="true" outlineLevel="0" collapsed="false">
      <c r="A251" s="132" t="s">
        <v>263</v>
      </c>
      <c r="B251" s="132" t="s">
        <v>264</v>
      </c>
      <c r="C251" s="341"/>
      <c r="D251" s="939"/>
      <c r="E251" s="295"/>
      <c r="F251" s="680" t="str">
        <f aca="false">INDEX(PT_DIFFERENTIATION_VTAR,MATCH(A251,PT_DIFFERENTIATION_VTAR_ID,0))</f>
        <v>Тариф на горячую воду (горячее водоснабжение)</v>
      </c>
      <c r="G251" s="860" t="str">
        <f aca="false">INDEX(PT_DIFFERENTIATION_NTAR,MATCH(B251,PT_DIFFERENTIATION_NTAR_ID,0))</f>
        <v/>
      </c>
      <c r="H251" s="358"/>
      <c r="I251" s="927"/>
      <c r="J251" s="928"/>
      <c r="K251" s="371"/>
      <c r="L251" s="358" t="s">
        <v>319</v>
      </c>
      <c r="M251" s="922"/>
      <c r="N251" s="676"/>
      <c r="O251" s="118"/>
      <c r="P251" s="118"/>
      <c r="AH251" s="42" t="n">
        <v>0</v>
      </c>
    </row>
    <row r="252" s="42" customFormat="true" ht="18.75" hidden="true" customHeight="true" outlineLevel="0" collapsed="false">
      <c r="A252" s="132"/>
      <c r="B252" s="132"/>
      <c r="C252" s="341" t="s">
        <v>1317</v>
      </c>
      <c r="D252" s="939"/>
      <c r="E252" s="295"/>
      <c r="F252" s="680"/>
      <c r="G252" s="860"/>
      <c r="H252" s="596"/>
      <c r="I252" s="168" t="s">
        <v>1316</v>
      </c>
      <c r="J252" s="219"/>
      <c r="K252" s="596"/>
      <c r="L252" s="728"/>
      <c r="M252" s="922"/>
      <c r="N252" s="676"/>
      <c r="O252" s="118"/>
      <c r="P252" s="118"/>
      <c r="AH252" s="42" t="n">
        <v>0</v>
      </c>
    </row>
    <row r="253" s="42" customFormat="true" ht="0.75" hidden="true" customHeight="true" outlineLevel="0" collapsed="false">
      <c r="A253" s="132"/>
      <c r="B253" s="132"/>
      <c r="C253" s="341" t="s">
        <v>1324</v>
      </c>
      <c r="D253" s="939"/>
      <c r="E253" s="295"/>
      <c r="F253" s="680"/>
      <c r="G253" s="938"/>
      <c r="H253" s="596"/>
      <c r="I253" s="168"/>
      <c r="J253" s="219"/>
      <c r="K253" s="596"/>
      <c r="L253" s="728"/>
      <c r="M253" s="922"/>
      <c r="N253" s="676"/>
      <c r="O253" s="118"/>
      <c r="P253" s="118"/>
      <c r="AH253" s="42" t="n">
        <v>0</v>
      </c>
    </row>
    <row r="254" s="42" customFormat="true" ht="18.75" hidden="true" customHeight="true" outlineLevel="0" collapsed="false">
      <c r="A254" s="132" t="s">
        <v>268</v>
      </c>
      <c r="B254" s="132" t="s">
        <v>269</v>
      </c>
      <c r="C254" s="341"/>
      <c r="D254" s="939"/>
      <c r="E254" s="295"/>
      <c r="F254" s="680" t="str">
        <f aca="false">INDEX(PT_DIFFERENTIATION_VTAR,MATCH(A254,PT_DIFFERENTIATION_VTAR_ID,0))</f>
        <v>Тариф на транспортировку горячей воды</v>
      </c>
      <c r="G254" s="860" t="str">
        <f aca="false">INDEX(PT_DIFFERENTIATION_NTAR,MATCH(B254,PT_DIFFERENTIATION_NTAR_ID,0))</f>
        <v/>
      </c>
      <c r="H254" s="358"/>
      <c r="I254" s="927"/>
      <c r="J254" s="928"/>
      <c r="K254" s="371"/>
      <c r="L254" s="358" t="s">
        <v>319</v>
      </c>
      <c r="M254" s="922"/>
      <c r="N254" s="676"/>
      <c r="O254" s="118"/>
      <c r="P254" s="118"/>
      <c r="AH254" s="42" t="n">
        <v>0</v>
      </c>
    </row>
    <row r="255" s="42" customFormat="true" ht="18.75" hidden="true" customHeight="true" outlineLevel="0" collapsed="false">
      <c r="A255" s="132"/>
      <c r="B255" s="132"/>
      <c r="C255" s="341" t="s">
        <v>1317</v>
      </c>
      <c r="D255" s="939"/>
      <c r="E255" s="295"/>
      <c r="F255" s="680"/>
      <c r="G255" s="860"/>
      <c r="H255" s="596"/>
      <c r="I255" s="168" t="s">
        <v>1316</v>
      </c>
      <c r="J255" s="219"/>
      <c r="K255" s="596"/>
      <c r="L255" s="728"/>
      <c r="M255" s="922"/>
      <c r="N255" s="676"/>
      <c r="O255" s="118"/>
      <c r="P255" s="118"/>
      <c r="AH255" s="42" t="n">
        <v>0</v>
      </c>
    </row>
    <row r="256" s="42" customFormat="true" ht="0.75" hidden="true" customHeight="true" outlineLevel="0" collapsed="false">
      <c r="A256" s="132"/>
      <c r="B256" s="132"/>
      <c r="C256" s="341" t="s">
        <v>1324</v>
      </c>
      <c r="D256" s="939"/>
      <c r="E256" s="295"/>
      <c r="F256" s="680"/>
      <c r="G256" s="938"/>
      <c r="H256" s="596"/>
      <c r="I256" s="168"/>
      <c r="J256" s="219"/>
      <c r="K256" s="596"/>
      <c r="L256" s="728"/>
      <c r="M256" s="922"/>
      <c r="N256" s="676"/>
      <c r="O256" s="118"/>
      <c r="P256" s="118"/>
      <c r="AH256" s="42" t="n">
        <v>0</v>
      </c>
    </row>
    <row r="257" s="42" customFormat="true" ht="18.75" hidden="true" customHeight="true" outlineLevel="0" collapsed="false">
      <c r="A257" s="132" t="s">
        <v>273</v>
      </c>
      <c r="B257" s="132" t="s">
        <v>274</v>
      </c>
      <c r="C257" s="341"/>
      <c r="D257" s="939"/>
      <c r="E257" s="295"/>
      <c r="F257" s="680" t="str">
        <f aca="false">INDEX(PT_DIFFERENTIATION_VTAR,MATCH(A257,PT_DIFFERENTIATION_VTAR_ID,0))</f>
        <v>Тариф на подключение (технологическое присоединение) к централизованной системе горячего водоснабжения</v>
      </c>
      <c r="G257" s="860" t="str">
        <f aca="false">INDEX(PT_DIFFERENTIATION_NTAR,MATCH(B257,PT_DIFFERENTIATION_NTAR_ID,0))</f>
        <v/>
      </c>
      <c r="H257" s="358"/>
      <c r="I257" s="927"/>
      <c r="J257" s="928"/>
      <c r="K257" s="371"/>
      <c r="L257" s="358" t="s">
        <v>319</v>
      </c>
      <c r="M257" s="922"/>
      <c r="N257" s="676"/>
      <c r="O257" s="118"/>
      <c r="P257" s="118"/>
      <c r="AH257" s="42" t="n">
        <v>0</v>
      </c>
    </row>
    <row r="258" s="42" customFormat="true" ht="18.75" hidden="true" customHeight="true" outlineLevel="0" collapsed="false">
      <c r="A258" s="132"/>
      <c r="B258" s="132"/>
      <c r="C258" s="341" t="s">
        <v>1317</v>
      </c>
      <c r="D258" s="939"/>
      <c r="E258" s="295"/>
      <c r="F258" s="680"/>
      <c r="G258" s="860"/>
      <c r="H258" s="596"/>
      <c r="I258" s="168" t="s">
        <v>1316</v>
      </c>
      <c r="J258" s="219"/>
      <c r="K258" s="596"/>
      <c r="L258" s="728"/>
      <c r="M258" s="922"/>
      <c r="N258" s="676"/>
      <c r="O258" s="118"/>
      <c r="P258" s="118"/>
      <c r="AH258" s="42" t="n">
        <v>0</v>
      </c>
    </row>
    <row r="259" s="42" customFormat="true" ht="0.75" hidden="true" customHeight="true" outlineLevel="0" collapsed="false">
      <c r="A259" s="132"/>
      <c r="B259" s="132"/>
      <c r="C259" s="341" t="s">
        <v>1324</v>
      </c>
      <c r="D259" s="939"/>
      <c r="E259" s="295"/>
      <c r="F259" s="680"/>
      <c r="G259" s="938"/>
      <c r="H259" s="596"/>
      <c r="I259" s="168"/>
      <c r="J259" s="219"/>
      <c r="K259" s="596"/>
      <c r="L259" s="728"/>
      <c r="M259" s="922"/>
      <c r="N259" s="676"/>
      <c r="O259" s="118"/>
      <c r="P259" s="118"/>
      <c r="AH259" s="42" t="n">
        <v>0</v>
      </c>
    </row>
    <row r="260" s="42" customFormat="true" ht="18.75" hidden="true" customHeight="true" outlineLevel="0" collapsed="false">
      <c r="A260" s="132" t="s">
        <v>278</v>
      </c>
      <c r="B260" s="132" t="s">
        <v>279</v>
      </c>
      <c r="C260" s="341"/>
      <c r="D260" s="939"/>
      <c r="E260" s="295"/>
      <c r="F260" s="680" t="str">
        <f aca="false">INDEX(PT_DIFFERENTIATION_VTAR,MATCH(A260,PT_DIFFERENTIATION_VTAR_ID,0))</f>
        <v>Тариф на водоотведение</v>
      </c>
      <c r="G260" s="860" t="str">
        <f aca="false">INDEX(PT_DIFFERENTIATION_NTAR,MATCH(B260,PT_DIFFERENTIATION_NTAR_ID,0))</f>
        <v/>
      </c>
      <c r="H260" s="358"/>
      <c r="I260" s="927"/>
      <c r="J260" s="928"/>
      <c r="K260" s="371"/>
      <c r="L260" s="358" t="s">
        <v>319</v>
      </c>
      <c r="M260" s="922"/>
      <c r="N260" s="676"/>
      <c r="O260" s="118"/>
      <c r="P260" s="118"/>
      <c r="AH260" s="42" t="n">
        <v>0</v>
      </c>
    </row>
    <row r="261" s="42" customFormat="true" ht="18.75" hidden="true" customHeight="true" outlineLevel="0" collapsed="false">
      <c r="A261" s="132"/>
      <c r="B261" s="132"/>
      <c r="C261" s="341" t="s">
        <v>1317</v>
      </c>
      <c r="D261" s="939"/>
      <c r="E261" s="295"/>
      <c r="F261" s="680"/>
      <c r="G261" s="860"/>
      <c r="H261" s="596"/>
      <c r="I261" s="168" t="s">
        <v>1316</v>
      </c>
      <c r="J261" s="219"/>
      <c r="K261" s="596"/>
      <c r="L261" s="728"/>
      <c r="M261" s="922"/>
      <c r="N261" s="676"/>
      <c r="O261" s="118"/>
      <c r="P261" s="118"/>
      <c r="AH261" s="42" t="n">
        <v>0</v>
      </c>
    </row>
    <row r="262" s="42" customFormat="true" ht="0.75" hidden="true" customHeight="true" outlineLevel="0" collapsed="false">
      <c r="A262" s="132"/>
      <c r="B262" s="132"/>
      <c r="C262" s="341" t="s">
        <v>1324</v>
      </c>
      <c r="D262" s="939"/>
      <c r="E262" s="295"/>
      <c r="F262" s="680"/>
      <c r="G262" s="938"/>
      <c r="H262" s="596"/>
      <c r="I262" s="168"/>
      <c r="J262" s="219"/>
      <c r="K262" s="596"/>
      <c r="L262" s="728"/>
      <c r="M262" s="922"/>
      <c r="N262" s="676"/>
      <c r="O262" s="118"/>
      <c r="P262" s="118"/>
      <c r="AH262" s="42" t="n">
        <v>0</v>
      </c>
    </row>
    <row r="263" s="42" customFormat="true" ht="18.75" hidden="true" customHeight="true" outlineLevel="0" collapsed="false">
      <c r="A263" s="132" t="s">
        <v>283</v>
      </c>
      <c r="B263" s="132" t="s">
        <v>284</v>
      </c>
      <c r="C263" s="341"/>
      <c r="D263" s="939"/>
      <c r="E263" s="295"/>
      <c r="F263" s="680" t="str">
        <f aca="false">INDEX(PT_DIFFERENTIATION_VTAR,MATCH(A263,PT_DIFFERENTIATION_VTAR_ID,0))</f>
        <v>Тариф на транспортировку сточных вод</v>
      </c>
      <c r="G263" s="860" t="str">
        <f aca="false">INDEX(PT_DIFFERENTIATION_NTAR,MATCH(B263,PT_DIFFERENTIATION_NTAR_ID,0))</f>
        <v/>
      </c>
      <c r="H263" s="358"/>
      <c r="I263" s="927"/>
      <c r="J263" s="928"/>
      <c r="K263" s="371"/>
      <c r="L263" s="358" t="s">
        <v>319</v>
      </c>
      <c r="M263" s="922"/>
      <c r="N263" s="676"/>
      <c r="O263" s="118"/>
      <c r="P263" s="118"/>
      <c r="AH263" s="42" t="n">
        <v>0</v>
      </c>
    </row>
    <row r="264" s="42" customFormat="true" ht="18.75" hidden="true" customHeight="true" outlineLevel="0" collapsed="false">
      <c r="A264" s="132"/>
      <c r="B264" s="132"/>
      <c r="C264" s="341" t="s">
        <v>1317</v>
      </c>
      <c r="D264" s="939"/>
      <c r="E264" s="295"/>
      <c r="F264" s="680"/>
      <c r="G264" s="860"/>
      <c r="H264" s="596"/>
      <c r="I264" s="168" t="s">
        <v>1316</v>
      </c>
      <c r="J264" s="219"/>
      <c r="K264" s="596"/>
      <c r="L264" s="728"/>
      <c r="M264" s="922"/>
      <c r="N264" s="676"/>
      <c r="O264" s="118"/>
      <c r="P264" s="118"/>
      <c r="AH264" s="42" t="n">
        <v>0</v>
      </c>
    </row>
    <row r="265" s="42" customFormat="true" ht="0.75" hidden="true" customHeight="true" outlineLevel="0" collapsed="false">
      <c r="A265" s="132"/>
      <c r="B265" s="132"/>
      <c r="C265" s="341" t="s">
        <v>1324</v>
      </c>
      <c r="D265" s="939"/>
      <c r="E265" s="295"/>
      <c r="F265" s="680"/>
      <c r="G265" s="938"/>
      <c r="H265" s="596"/>
      <c r="I265" s="168"/>
      <c r="J265" s="219"/>
      <c r="K265" s="596"/>
      <c r="L265" s="728"/>
      <c r="M265" s="922"/>
      <c r="N265" s="676"/>
      <c r="O265" s="118"/>
      <c r="P265" s="118"/>
      <c r="AH265" s="42" t="n">
        <v>0</v>
      </c>
    </row>
    <row r="266" s="42" customFormat="true" ht="18.75" hidden="true" customHeight="true" outlineLevel="0" collapsed="false">
      <c r="A266" s="132" t="s">
        <v>288</v>
      </c>
      <c r="B266" s="132" t="s">
        <v>289</v>
      </c>
      <c r="C266" s="341"/>
      <c r="D266" s="939"/>
      <c r="E266" s="295"/>
      <c r="F266" s="680" t="str">
        <f aca="false">INDEX(PT_DIFFERENTIATION_VTAR,MATCH(A266,PT_DIFFERENTIATION_VTAR_ID,0))</f>
        <v>Тариф на подключение (технологическое присоединение) к централизованной системе водоотведения</v>
      </c>
      <c r="G266" s="860" t="str">
        <f aca="false">INDEX(PT_DIFFERENTIATION_NTAR,MATCH(B266,PT_DIFFERENTIATION_NTAR_ID,0))</f>
        <v/>
      </c>
      <c r="H266" s="358"/>
      <c r="I266" s="927"/>
      <c r="J266" s="928"/>
      <c r="K266" s="371"/>
      <c r="L266" s="358" t="s">
        <v>319</v>
      </c>
      <c r="M266" s="922"/>
      <c r="N266" s="676"/>
      <c r="O266" s="118"/>
      <c r="P266" s="118"/>
      <c r="AH266" s="42" t="n">
        <v>0</v>
      </c>
    </row>
    <row r="267" s="42" customFormat="true" ht="18.75" hidden="true" customHeight="true" outlineLevel="0" collapsed="false">
      <c r="A267" s="132"/>
      <c r="B267" s="132"/>
      <c r="C267" s="341" t="s">
        <v>1317</v>
      </c>
      <c r="D267" s="939"/>
      <c r="E267" s="295"/>
      <c r="F267" s="680"/>
      <c r="G267" s="860"/>
      <c r="H267" s="596"/>
      <c r="I267" s="168" t="s">
        <v>1316</v>
      </c>
      <c r="J267" s="219"/>
      <c r="K267" s="596"/>
      <c r="L267" s="728"/>
      <c r="M267" s="922"/>
      <c r="N267" s="676"/>
      <c r="O267" s="118"/>
      <c r="P267" s="118"/>
      <c r="AH267" s="42" t="n">
        <v>0</v>
      </c>
    </row>
    <row r="268" s="42" customFormat="true" ht="0.75" hidden="false" customHeight="true" outlineLevel="0" collapsed="false">
      <c r="A268" s="132"/>
      <c r="B268" s="132"/>
      <c r="C268" s="341" t="s">
        <v>1324</v>
      </c>
      <c r="D268" s="939"/>
      <c r="E268" s="295"/>
      <c r="F268" s="680"/>
      <c r="G268" s="938"/>
      <c r="H268" s="596"/>
      <c r="I268" s="168"/>
      <c r="J268" s="219"/>
      <c r="K268" s="596"/>
      <c r="L268" s="728"/>
      <c r="M268" s="922"/>
      <c r="N268" s="676"/>
      <c r="O268" s="118"/>
      <c r="P268" s="118"/>
      <c r="AH268" s="42" t="n">
        <v>1</v>
      </c>
    </row>
    <row r="269" customFormat="false" ht="27" hidden="false" customHeight="true" outlineLevel="0" collapsed="false">
      <c r="A269" s="132"/>
      <c r="B269" s="132"/>
      <c r="D269" s="464"/>
      <c r="E269" s="295" t="s">
        <v>91</v>
      </c>
      <c r="F269" s="942" t="str">
        <f aca="false">"Размер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942"/>
      <c r="H269" s="942"/>
      <c r="I269" s="942"/>
      <c r="J269" s="942"/>
      <c r="K269" s="942"/>
      <c r="L269" s="942"/>
      <c r="M269" s="722"/>
      <c r="N269" s="676"/>
      <c r="AH269" s="42" t="n">
        <v>26</v>
      </c>
    </row>
    <row r="270" s="42" customFormat="true" ht="60.75" hidden="true" customHeight="true" outlineLevel="0" collapsed="false">
      <c r="A270" s="132" t="s">
        <v>170</v>
      </c>
      <c r="B270" s="132" t="s">
        <v>171</v>
      </c>
      <c r="C270" s="341"/>
      <c r="D270" s="939"/>
      <c r="E270" s="295"/>
      <c r="F270" s="680" t="str">
        <f aca="false">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860" t="str">
        <f aca="false">INDEX(PT_DIFFERENTIATION_NTAR,MATCH(B270,PT_DIFFERENTIATION_NTAR_ID,0))</f>
        <v/>
      </c>
      <c r="H270" s="358"/>
      <c r="I270" s="927"/>
      <c r="J270" s="928"/>
      <c r="K270" s="371"/>
      <c r="L270" s="358" t="s">
        <v>319</v>
      </c>
      <c r="M270" s="911"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76"/>
      <c r="O270" s="118"/>
      <c r="P270" s="118"/>
      <c r="AH270" s="42" t="n">
        <v>0</v>
      </c>
    </row>
    <row r="271" s="42" customFormat="true" ht="18.75" hidden="true" customHeight="true" outlineLevel="0" collapsed="false">
      <c r="A271" s="132"/>
      <c r="B271" s="132"/>
      <c r="C271" s="341" t="s">
        <v>1317</v>
      </c>
      <c r="D271" s="939"/>
      <c r="E271" s="295"/>
      <c r="F271" s="680"/>
      <c r="G271" s="860"/>
      <c r="H271" s="596"/>
      <c r="I271" s="168" t="s">
        <v>1316</v>
      </c>
      <c r="J271" s="219"/>
      <c r="K271" s="596"/>
      <c r="L271" s="728"/>
      <c r="M271" s="911"/>
      <c r="N271" s="676"/>
      <c r="O271" s="118"/>
      <c r="P271" s="118"/>
      <c r="AH271" s="42" t="n">
        <v>0</v>
      </c>
    </row>
    <row r="272" s="42" customFormat="true" ht="0.75" hidden="true" customHeight="true" outlineLevel="0" collapsed="false">
      <c r="A272" s="132"/>
      <c r="B272" s="132"/>
      <c r="C272" s="341" t="s">
        <v>1324</v>
      </c>
      <c r="D272" s="939"/>
      <c r="E272" s="295"/>
      <c r="F272" s="680"/>
      <c r="G272" s="938"/>
      <c r="H272" s="596"/>
      <c r="I272" s="168"/>
      <c r="J272" s="219"/>
      <c r="K272" s="596"/>
      <c r="L272" s="728"/>
      <c r="M272" s="911"/>
      <c r="N272" s="676"/>
      <c r="O272" s="118"/>
      <c r="P272" s="118"/>
      <c r="AH272" s="42" t="n">
        <v>0</v>
      </c>
    </row>
    <row r="273" s="42" customFormat="true" ht="45" hidden="true" customHeight="true" outlineLevel="0" collapsed="false">
      <c r="A273" s="132" t="s">
        <v>175</v>
      </c>
      <c r="B273" s="132" t="s">
        <v>176</v>
      </c>
      <c r="C273" s="341"/>
      <c r="D273" s="939"/>
      <c r="E273" s="295"/>
      <c r="F273" s="680" t="str">
        <f aca="false">INDEX(PT_DIFFERENTIATION_VTAR,MATCH(A273,PT_DIFFERENTIATION_VTAR_ID,0))</f>
        <v/>
      </c>
      <c r="G273" s="860" t="str">
        <f aca="false">INDEX(PT_DIFFERENTIATION_NTAR,MATCH(B273,PT_DIFFERENTIATION_NTAR_ID,0))</f>
        <v/>
      </c>
      <c r="H273" s="358"/>
      <c r="I273" s="927"/>
      <c r="J273" s="928"/>
      <c r="K273" s="371"/>
      <c r="L273" s="358" t="s">
        <v>319</v>
      </c>
      <c r="M273" s="911"/>
      <c r="N273" s="676"/>
      <c r="O273" s="118"/>
      <c r="P273" s="118"/>
      <c r="AH273" s="42" t="n">
        <v>0</v>
      </c>
    </row>
    <row r="274" s="42" customFormat="true" ht="18.75" hidden="true" customHeight="true" outlineLevel="0" collapsed="false">
      <c r="A274" s="132"/>
      <c r="B274" s="132"/>
      <c r="C274" s="341" t="s">
        <v>1317</v>
      </c>
      <c r="D274" s="939"/>
      <c r="E274" s="295"/>
      <c r="F274" s="680"/>
      <c r="G274" s="860"/>
      <c r="H274" s="596"/>
      <c r="I274" s="168" t="s">
        <v>1316</v>
      </c>
      <c r="J274" s="219"/>
      <c r="K274" s="596"/>
      <c r="L274" s="728"/>
      <c r="M274" s="944"/>
      <c r="N274" s="676"/>
      <c r="O274" s="118"/>
      <c r="P274" s="118"/>
      <c r="AH274" s="42" t="n">
        <v>0</v>
      </c>
    </row>
    <row r="275" s="42" customFormat="true" ht="0.75" hidden="true" customHeight="true" outlineLevel="0" collapsed="false">
      <c r="A275" s="132"/>
      <c r="B275" s="132"/>
      <c r="C275" s="341" t="s">
        <v>1324</v>
      </c>
      <c r="D275" s="939"/>
      <c r="E275" s="295"/>
      <c r="F275" s="680"/>
      <c r="G275" s="938"/>
      <c r="H275" s="596"/>
      <c r="I275" s="168"/>
      <c r="J275" s="219"/>
      <c r="K275" s="596"/>
      <c r="L275" s="728"/>
      <c r="M275" s="922"/>
      <c r="N275" s="676"/>
      <c r="O275" s="118"/>
      <c r="P275" s="118"/>
      <c r="AH275" s="42" t="n">
        <v>0</v>
      </c>
    </row>
    <row r="276" s="42" customFormat="true" ht="45" hidden="true" customHeight="true" outlineLevel="0" collapsed="false">
      <c r="A276" s="132" t="s">
        <v>182</v>
      </c>
      <c r="B276" s="132" t="s">
        <v>183</v>
      </c>
      <c r="C276" s="341"/>
      <c r="D276" s="939"/>
      <c r="E276" s="295"/>
      <c r="F276" s="680" t="str">
        <f aca="false">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860" t="str">
        <f aca="false">INDEX(PT_DIFFERENTIATION_NTAR,MATCH(B276,PT_DIFFERENTIATION_NTAR_ID,0))</f>
        <v/>
      </c>
      <c r="H276" s="358"/>
      <c r="I276" s="927"/>
      <c r="J276" s="928"/>
      <c r="K276" s="371"/>
      <c r="L276" s="358" t="s">
        <v>319</v>
      </c>
      <c r="M276" s="922"/>
      <c r="N276" s="676"/>
      <c r="O276" s="118"/>
      <c r="P276" s="118"/>
      <c r="AH276" s="42" t="n">
        <v>0</v>
      </c>
    </row>
    <row r="277" s="42" customFormat="true" ht="18.75" hidden="true" customHeight="true" outlineLevel="0" collapsed="false">
      <c r="A277" s="132"/>
      <c r="B277" s="132"/>
      <c r="C277" s="341" t="s">
        <v>1317</v>
      </c>
      <c r="D277" s="939"/>
      <c r="E277" s="295"/>
      <c r="F277" s="680"/>
      <c r="G277" s="860"/>
      <c r="H277" s="596"/>
      <c r="I277" s="168" t="s">
        <v>1316</v>
      </c>
      <c r="J277" s="219"/>
      <c r="K277" s="596"/>
      <c r="L277" s="728"/>
      <c r="M277" s="922"/>
      <c r="N277" s="676"/>
      <c r="O277" s="118"/>
      <c r="P277" s="118"/>
      <c r="AH277" s="42" t="n">
        <v>0</v>
      </c>
    </row>
    <row r="278" s="42" customFormat="true" ht="0.75" hidden="true" customHeight="true" outlineLevel="0" collapsed="false">
      <c r="A278" s="132"/>
      <c r="B278" s="132"/>
      <c r="C278" s="341" t="s">
        <v>1324</v>
      </c>
      <c r="D278" s="939"/>
      <c r="E278" s="295"/>
      <c r="F278" s="680"/>
      <c r="G278" s="938"/>
      <c r="H278" s="596"/>
      <c r="I278" s="168"/>
      <c r="J278" s="219"/>
      <c r="K278" s="596"/>
      <c r="L278" s="728"/>
      <c r="M278" s="922"/>
      <c r="N278" s="676"/>
      <c r="O278" s="118"/>
      <c r="P278" s="118"/>
      <c r="AH278" s="42" t="n">
        <v>0</v>
      </c>
    </row>
    <row r="279" s="42" customFormat="true" ht="45" hidden="true" customHeight="true" outlineLevel="0" collapsed="false">
      <c r="A279" s="132" t="s">
        <v>188</v>
      </c>
      <c r="B279" s="132" t="s">
        <v>189</v>
      </c>
      <c r="C279" s="341"/>
      <c r="D279" s="939"/>
      <c r="E279" s="295"/>
      <c r="F279" s="680" t="str">
        <f aca="false">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860" t="str">
        <f aca="false">INDEX(PT_DIFFERENTIATION_NTAR,MATCH(B279,PT_DIFFERENTIATION_NTAR_ID,0))</f>
        <v/>
      </c>
      <c r="H279" s="358"/>
      <c r="I279" s="927"/>
      <c r="J279" s="928"/>
      <c r="K279" s="371"/>
      <c r="L279" s="358" t="s">
        <v>319</v>
      </c>
      <c r="M279" s="922"/>
      <c r="N279" s="676"/>
      <c r="O279" s="118"/>
      <c r="P279" s="118"/>
      <c r="AH279" s="42" t="n">
        <v>0</v>
      </c>
    </row>
    <row r="280" s="42" customFormat="true" ht="18.75" hidden="true" customHeight="true" outlineLevel="0" collapsed="false">
      <c r="A280" s="132"/>
      <c r="B280" s="132"/>
      <c r="C280" s="341" t="s">
        <v>1317</v>
      </c>
      <c r="D280" s="939"/>
      <c r="E280" s="295"/>
      <c r="F280" s="680"/>
      <c r="G280" s="860"/>
      <c r="H280" s="596"/>
      <c r="I280" s="168" t="s">
        <v>1316</v>
      </c>
      <c r="J280" s="219"/>
      <c r="K280" s="596"/>
      <c r="L280" s="728"/>
      <c r="M280" s="922"/>
      <c r="N280" s="676"/>
      <c r="O280" s="118"/>
      <c r="P280" s="118"/>
      <c r="AH280" s="42" t="n">
        <v>0</v>
      </c>
    </row>
    <row r="281" s="42" customFormat="true" ht="0.75" hidden="true" customHeight="true" outlineLevel="0" collapsed="false">
      <c r="A281" s="132"/>
      <c r="B281" s="132"/>
      <c r="C281" s="341" t="s">
        <v>1324</v>
      </c>
      <c r="D281" s="939"/>
      <c r="E281" s="295"/>
      <c r="F281" s="680"/>
      <c r="G281" s="938"/>
      <c r="H281" s="596"/>
      <c r="I281" s="168"/>
      <c r="J281" s="219"/>
      <c r="K281" s="596"/>
      <c r="L281" s="728"/>
      <c r="M281" s="922"/>
      <c r="N281" s="676"/>
      <c r="O281" s="118"/>
      <c r="P281" s="118"/>
      <c r="AH281" s="42" t="n">
        <v>0</v>
      </c>
    </row>
    <row r="282" s="42" customFormat="true" ht="18.75" hidden="true" customHeight="true" outlineLevel="0" collapsed="false">
      <c r="A282" s="132" t="s">
        <v>194</v>
      </c>
      <c r="B282" s="132" t="s">
        <v>195</v>
      </c>
      <c r="C282" s="341"/>
      <c r="D282" s="939"/>
      <c r="E282" s="295"/>
      <c r="F282" s="680" t="str">
        <f aca="false">INDEX(PT_DIFFERENTIATION_VTAR,MATCH(A282,PT_DIFFERENTIATION_VTAR_ID,0))</f>
        <v>Тарифы на услуги по передаче тепловой энергии</v>
      </c>
      <c r="G282" s="860" t="str">
        <f aca="false">INDEX(PT_DIFFERENTIATION_NTAR,MATCH(B282,PT_DIFFERENTIATION_NTAR_ID,0))</f>
        <v/>
      </c>
      <c r="H282" s="358"/>
      <c r="I282" s="927"/>
      <c r="J282" s="928"/>
      <c r="K282" s="371"/>
      <c r="L282" s="358" t="s">
        <v>319</v>
      </c>
      <c r="M282" s="922"/>
      <c r="N282" s="676"/>
      <c r="O282" s="118"/>
      <c r="P282" s="118"/>
      <c r="AH282" s="42" t="n">
        <v>0</v>
      </c>
    </row>
    <row r="283" s="42" customFormat="true" ht="18.75" hidden="true" customHeight="true" outlineLevel="0" collapsed="false">
      <c r="A283" s="132"/>
      <c r="B283" s="132"/>
      <c r="C283" s="341" t="s">
        <v>1317</v>
      </c>
      <c r="D283" s="939"/>
      <c r="E283" s="295"/>
      <c r="F283" s="680"/>
      <c r="G283" s="860"/>
      <c r="H283" s="596"/>
      <c r="I283" s="168" t="s">
        <v>1316</v>
      </c>
      <c r="J283" s="219"/>
      <c r="K283" s="596"/>
      <c r="L283" s="728"/>
      <c r="M283" s="922"/>
      <c r="N283" s="676"/>
      <c r="O283" s="118"/>
      <c r="P283" s="118"/>
      <c r="AH283" s="42" t="n">
        <v>0</v>
      </c>
    </row>
    <row r="284" s="42" customFormat="true" ht="0.75" hidden="true" customHeight="true" outlineLevel="0" collapsed="false">
      <c r="A284" s="132"/>
      <c r="B284" s="132"/>
      <c r="C284" s="341" t="s">
        <v>1324</v>
      </c>
      <c r="D284" s="939"/>
      <c r="E284" s="295"/>
      <c r="F284" s="680"/>
      <c r="G284" s="938"/>
      <c r="H284" s="596"/>
      <c r="I284" s="168"/>
      <c r="J284" s="219"/>
      <c r="K284" s="596"/>
      <c r="L284" s="728"/>
      <c r="M284" s="922"/>
      <c r="N284" s="676"/>
      <c r="O284" s="118"/>
      <c r="P284" s="118"/>
      <c r="AH284" s="42" t="n">
        <v>0</v>
      </c>
    </row>
    <row r="285" s="42" customFormat="true" ht="18.75" hidden="true" customHeight="true" outlineLevel="0" collapsed="false">
      <c r="A285" s="132" t="s">
        <v>200</v>
      </c>
      <c r="B285" s="132" t="s">
        <v>201</v>
      </c>
      <c r="C285" s="341"/>
      <c r="D285" s="939"/>
      <c r="E285" s="295"/>
      <c r="F285" s="680" t="str">
        <f aca="false">INDEX(PT_DIFFERENTIATION_VTAR,MATCH(A285,PT_DIFFERENTIATION_VTAR_ID,0))</f>
        <v>Тарифы на услуги по передаче теплоносителя</v>
      </c>
      <c r="G285" s="860" t="str">
        <f aca="false">INDEX(PT_DIFFERENTIATION_NTAR,MATCH(B285,PT_DIFFERENTIATION_NTAR_ID,0))</f>
        <v/>
      </c>
      <c r="H285" s="358"/>
      <c r="I285" s="927"/>
      <c r="J285" s="928"/>
      <c r="K285" s="371"/>
      <c r="L285" s="358" t="s">
        <v>319</v>
      </c>
      <c r="M285" s="922"/>
      <c r="N285" s="676"/>
      <c r="O285" s="118"/>
      <c r="P285" s="118"/>
      <c r="AH285" s="42" t="n">
        <v>0</v>
      </c>
    </row>
    <row r="286" s="42" customFormat="true" ht="18.75" hidden="true" customHeight="true" outlineLevel="0" collapsed="false">
      <c r="A286" s="132"/>
      <c r="B286" s="132"/>
      <c r="C286" s="341" t="s">
        <v>1317</v>
      </c>
      <c r="D286" s="939"/>
      <c r="E286" s="295"/>
      <c r="F286" s="680"/>
      <c r="G286" s="860"/>
      <c r="H286" s="596"/>
      <c r="I286" s="168" t="s">
        <v>1316</v>
      </c>
      <c r="J286" s="219"/>
      <c r="K286" s="596"/>
      <c r="L286" s="728"/>
      <c r="M286" s="922"/>
      <c r="N286" s="676"/>
      <c r="O286" s="118"/>
      <c r="P286" s="118"/>
      <c r="AH286" s="42" t="n">
        <v>0</v>
      </c>
    </row>
    <row r="287" s="42" customFormat="true" ht="0.75" hidden="true" customHeight="true" outlineLevel="0" collapsed="false">
      <c r="A287" s="132"/>
      <c r="B287" s="132"/>
      <c r="C287" s="341" t="s">
        <v>1324</v>
      </c>
      <c r="D287" s="939"/>
      <c r="E287" s="295"/>
      <c r="F287" s="680"/>
      <c r="G287" s="938"/>
      <c r="H287" s="596"/>
      <c r="I287" s="168"/>
      <c r="J287" s="219"/>
      <c r="K287" s="596"/>
      <c r="L287" s="728"/>
      <c r="M287" s="922"/>
      <c r="N287" s="676"/>
      <c r="O287" s="118"/>
      <c r="P287" s="118"/>
      <c r="AH287" s="42" t="n">
        <v>0</v>
      </c>
    </row>
    <row r="288" s="42" customFormat="true" ht="18.75" hidden="true" customHeight="true" outlineLevel="0" collapsed="false">
      <c r="A288" s="132" t="s">
        <v>206</v>
      </c>
      <c r="B288" s="132" t="s">
        <v>207</v>
      </c>
      <c r="C288" s="341"/>
      <c r="D288" s="939"/>
      <c r="E288" s="295"/>
      <c r="F288" s="680" t="str">
        <f aca="false">INDEX(PT_DIFFERENTIATION_VTAR,MATCH(A288,PT_DIFFERENTIATION_VTAR_ID,0))</f>
        <v>Плата за услуги по поддержанию резервной тепловой мощности при отсутствии потребления тепловой энергии</v>
      </c>
      <c r="G288" s="860" t="str">
        <f aca="false">INDEX(PT_DIFFERENTIATION_NTAR,MATCH(B288,PT_DIFFERENTIATION_NTAR_ID,0))</f>
        <v/>
      </c>
      <c r="H288" s="358"/>
      <c r="I288" s="927"/>
      <c r="J288" s="928"/>
      <c r="K288" s="371"/>
      <c r="L288" s="358" t="s">
        <v>319</v>
      </c>
      <c r="M288" s="922"/>
      <c r="N288" s="676"/>
      <c r="O288" s="118"/>
      <c r="P288" s="118"/>
      <c r="AH288" s="42" t="n">
        <v>0</v>
      </c>
    </row>
    <row r="289" s="42" customFormat="true" ht="18.75" hidden="true" customHeight="true" outlineLevel="0" collapsed="false">
      <c r="A289" s="132"/>
      <c r="B289" s="132"/>
      <c r="C289" s="341" t="s">
        <v>1317</v>
      </c>
      <c r="D289" s="939"/>
      <c r="E289" s="295"/>
      <c r="F289" s="680"/>
      <c r="G289" s="860"/>
      <c r="H289" s="596"/>
      <c r="I289" s="168" t="s">
        <v>1316</v>
      </c>
      <c r="J289" s="219"/>
      <c r="K289" s="596"/>
      <c r="L289" s="728"/>
      <c r="M289" s="922"/>
      <c r="N289" s="676"/>
      <c r="O289" s="118"/>
      <c r="P289" s="118"/>
      <c r="AH289" s="42" t="n">
        <v>0</v>
      </c>
    </row>
    <row r="290" s="42" customFormat="true" ht="0.75" hidden="true" customHeight="true" outlineLevel="0" collapsed="false">
      <c r="A290" s="132"/>
      <c r="B290" s="132"/>
      <c r="C290" s="341" t="s">
        <v>1324</v>
      </c>
      <c r="D290" s="939"/>
      <c r="E290" s="295"/>
      <c r="F290" s="680"/>
      <c r="G290" s="938"/>
      <c r="H290" s="596"/>
      <c r="I290" s="168"/>
      <c r="J290" s="219"/>
      <c r="K290" s="596"/>
      <c r="L290" s="728"/>
      <c r="M290" s="922"/>
      <c r="N290" s="676"/>
      <c r="O290" s="118"/>
      <c r="P290" s="118"/>
      <c r="AH290" s="42" t="n">
        <v>0</v>
      </c>
    </row>
    <row r="291" s="42" customFormat="true" ht="18.75" hidden="true" customHeight="true" outlineLevel="0" collapsed="false">
      <c r="A291" s="132" t="s">
        <v>212</v>
      </c>
      <c r="B291" s="132" t="s">
        <v>213</v>
      </c>
      <c r="C291" s="341"/>
      <c r="D291" s="939"/>
      <c r="E291" s="295"/>
      <c r="F291" s="680" t="str">
        <f aca="false">INDEX(PT_DIFFERENTIATION_VTAR,MATCH(A291,PT_DIFFERENTIATION_VTAR_ID,0))</f>
        <v>Плата за подключение (технологическое присоединение) к системе теплоснабжения</v>
      </c>
      <c r="G291" s="860" t="str">
        <f aca="false">INDEX(PT_DIFFERENTIATION_NTAR,MATCH(B291,PT_DIFFERENTIATION_NTAR_ID,0))</f>
        <v/>
      </c>
      <c r="H291" s="358"/>
      <c r="I291" s="927"/>
      <c r="J291" s="928"/>
      <c r="K291" s="371"/>
      <c r="L291" s="358" t="s">
        <v>319</v>
      </c>
      <c r="M291" s="922"/>
      <c r="N291" s="676"/>
      <c r="O291" s="118"/>
      <c r="P291" s="118"/>
      <c r="AH291" s="42" t="n">
        <v>0</v>
      </c>
    </row>
    <row r="292" s="42" customFormat="true" ht="18.75" hidden="true" customHeight="true" outlineLevel="0" collapsed="false">
      <c r="A292" s="132"/>
      <c r="B292" s="132"/>
      <c r="C292" s="341" t="s">
        <v>1317</v>
      </c>
      <c r="D292" s="939"/>
      <c r="E292" s="295"/>
      <c r="F292" s="680"/>
      <c r="G292" s="860"/>
      <c r="H292" s="596"/>
      <c r="I292" s="168" t="s">
        <v>1316</v>
      </c>
      <c r="J292" s="219"/>
      <c r="K292" s="596"/>
      <c r="L292" s="728"/>
      <c r="M292" s="922"/>
      <c r="N292" s="676"/>
      <c r="O292" s="118"/>
      <c r="P292" s="118"/>
      <c r="AH292" s="42" t="n">
        <v>0</v>
      </c>
    </row>
    <row r="293" s="42" customFormat="true" ht="0.75" hidden="true" customHeight="true" outlineLevel="0" collapsed="false">
      <c r="A293" s="132"/>
      <c r="B293" s="132"/>
      <c r="C293" s="341" t="s">
        <v>1324</v>
      </c>
      <c r="D293" s="939"/>
      <c r="E293" s="295"/>
      <c r="F293" s="680"/>
      <c r="G293" s="938"/>
      <c r="H293" s="596"/>
      <c r="I293" s="168"/>
      <c r="J293" s="219"/>
      <c r="K293" s="596"/>
      <c r="L293" s="728"/>
      <c r="M293" s="922"/>
      <c r="N293" s="676"/>
      <c r="O293" s="118"/>
      <c r="P293" s="118"/>
      <c r="AH293" s="42" t="n">
        <v>0</v>
      </c>
    </row>
    <row r="294" s="42" customFormat="true" ht="18.75" hidden="true" customHeight="true" outlineLevel="0" collapsed="false">
      <c r="A294" s="132" t="s">
        <v>218</v>
      </c>
      <c r="B294" s="132" t="s">
        <v>219</v>
      </c>
      <c r="C294" s="341"/>
      <c r="D294" s="939"/>
      <c r="E294" s="295"/>
      <c r="F294" s="680" t="str">
        <f aca="false">INDEX(PT_DIFFERENTIATION_VTAR,MATCH(A294,PT_DIFFERENTIATION_VTAR_ID,0))</f>
        <v>Плата за подключение (технологическое присоединение) к системе теплоснабжения (индивидуальная)</v>
      </c>
      <c r="G294" s="860" t="str">
        <f aca="false">INDEX(PT_DIFFERENTIATION_NTAR,MATCH(B294,PT_DIFFERENTIATION_NTAR_ID,0))</f>
        <v/>
      </c>
      <c r="H294" s="358"/>
      <c r="I294" s="927"/>
      <c r="J294" s="928"/>
      <c r="K294" s="371"/>
      <c r="L294" s="358" t="s">
        <v>319</v>
      </c>
      <c r="M294" s="922"/>
      <c r="N294" s="676"/>
      <c r="O294" s="118"/>
      <c r="P294" s="118"/>
      <c r="AH294" s="42" t="n">
        <v>0</v>
      </c>
    </row>
    <row r="295" s="42" customFormat="true" ht="18.75" hidden="true" customHeight="true" outlineLevel="0" collapsed="false">
      <c r="A295" s="132"/>
      <c r="B295" s="132"/>
      <c r="C295" s="341" t="s">
        <v>1317</v>
      </c>
      <c r="D295" s="939"/>
      <c r="E295" s="295"/>
      <c r="F295" s="680"/>
      <c r="G295" s="860"/>
      <c r="H295" s="596"/>
      <c r="I295" s="168" t="s">
        <v>1316</v>
      </c>
      <c r="J295" s="219"/>
      <c r="K295" s="596"/>
      <c r="L295" s="728"/>
      <c r="M295" s="922"/>
      <c r="N295" s="676"/>
      <c r="O295" s="118"/>
      <c r="P295" s="118"/>
      <c r="AH295" s="42" t="n">
        <v>0</v>
      </c>
    </row>
    <row r="296" s="42" customFormat="true" ht="0.75" hidden="true" customHeight="true" outlineLevel="0" collapsed="false">
      <c r="A296" s="132"/>
      <c r="B296" s="132"/>
      <c r="C296" s="341" t="s">
        <v>1324</v>
      </c>
      <c r="D296" s="939"/>
      <c r="E296" s="295"/>
      <c r="F296" s="680"/>
      <c r="G296" s="938"/>
      <c r="H296" s="596"/>
      <c r="I296" s="168"/>
      <c r="J296" s="219"/>
      <c r="K296" s="596"/>
      <c r="L296" s="728"/>
      <c r="M296" s="922"/>
      <c r="N296" s="676"/>
      <c r="O296" s="118"/>
      <c r="P296" s="118"/>
      <c r="AH296" s="42" t="n">
        <v>0</v>
      </c>
    </row>
    <row r="297" s="42" customFormat="true" ht="18.75" hidden="true" customHeight="true" outlineLevel="0" collapsed="false">
      <c r="A297" s="132" t="s">
        <v>238</v>
      </c>
      <c r="B297" s="132" t="s">
        <v>239</v>
      </c>
      <c r="C297" s="341"/>
      <c r="D297" s="939"/>
      <c r="E297" s="295"/>
      <c r="F297" s="680" t="str">
        <f aca="false">INDEX(PT_DIFFERENTIATION_VTAR,MATCH(A297,PT_DIFFERENTIATION_VTAR_ID,0))</f>
        <v>Тариф на питьевую воду (питьевое водоснабжение)</v>
      </c>
      <c r="G297" s="860" t="str">
        <f aca="false">INDEX(PT_DIFFERENTIATION_NTAR,MATCH(B297,PT_DIFFERENTIATION_NTAR_ID,0))</f>
        <v/>
      </c>
      <c r="H297" s="358"/>
      <c r="I297" s="927"/>
      <c r="J297" s="928"/>
      <c r="K297" s="371"/>
      <c r="L297" s="358" t="s">
        <v>319</v>
      </c>
      <c r="M297" s="922"/>
      <c r="N297" s="676"/>
      <c r="O297" s="118"/>
      <c r="P297" s="118"/>
      <c r="AH297" s="42" t="n">
        <v>0</v>
      </c>
    </row>
    <row r="298" s="42" customFormat="true" ht="18.75" hidden="true" customHeight="true" outlineLevel="0" collapsed="false">
      <c r="A298" s="132"/>
      <c r="B298" s="132"/>
      <c r="C298" s="341" t="s">
        <v>1317</v>
      </c>
      <c r="D298" s="939"/>
      <c r="E298" s="295"/>
      <c r="F298" s="680"/>
      <c r="G298" s="860"/>
      <c r="H298" s="596"/>
      <c r="I298" s="168" t="s">
        <v>1316</v>
      </c>
      <c r="J298" s="219"/>
      <c r="K298" s="596"/>
      <c r="L298" s="728"/>
      <c r="M298" s="922"/>
      <c r="N298" s="676"/>
      <c r="O298" s="118"/>
      <c r="P298" s="118"/>
      <c r="AH298" s="42" t="n">
        <v>0</v>
      </c>
    </row>
    <row r="299" s="42" customFormat="true" ht="0.75" hidden="true" customHeight="true" outlineLevel="0" collapsed="false">
      <c r="A299" s="132"/>
      <c r="B299" s="132"/>
      <c r="C299" s="341" t="s">
        <v>1324</v>
      </c>
      <c r="D299" s="939"/>
      <c r="E299" s="295"/>
      <c r="F299" s="680"/>
      <c r="G299" s="938"/>
      <c r="H299" s="596"/>
      <c r="I299" s="168"/>
      <c r="J299" s="219"/>
      <c r="K299" s="596"/>
      <c r="L299" s="728"/>
      <c r="M299" s="922"/>
      <c r="N299" s="676"/>
      <c r="O299" s="118"/>
      <c r="P299" s="118"/>
      <c r="AH299" s="42" t="n">
        <v>0</v>
      </c>
    </row>
    <row r="300" s="42" customFormat="true" ht="18.75" hidden="true" customHeight="true" outlineLevel="0" collapsed="false">
      <c r="A300" s="132" t="s">
        <v>243</v>
      </c>
      <c r="B300" s="132" t="s">
        <v>244</v>
      </c>
      <c r="C300" s="341"/>
      <c r="D300" s="939"/>
      <c r="E300" s="295"/>
      <c r="F300" s="680" t="str">
        <f aca="false">INDEX(PT_DIFFERENTIATION_VTAR,MATCH(A300,PT_DIFFERENTIATION_VTAR_ID,0))</f>
        <v>Тариф на техническую воду</v>
      </c>
      <c r="G300" s="860" t="str">
        <f aca="false">INDEX(PT_DIFFERENTIATION_NTAR,MATCH(B300,PT_DIFFERENTIATION_NTAR_ID,0))</f>
        <v/>
      </c>
      <c r="H300" s="358"/>
      <c r="I300" s="927"/>
      <c r="J300" s="928"/>
      <c r="K300" s="371"/>
      <c r="L300" s="358" t="s">
        <v>319</v>
      </c>
      <c r="M300" s="922"/>
      <c r="N300" s="676"/>
      <c r="O300" s="118"/>
      <c r="P300" s="118"/>
      <c r="AH300" s="42" t="n">
        <v>0</v>
      </c>
    </row>
    <row r="301" s="42" customFormat="true" ht="18.75" hidden="true" customHeight="true" outlineLevel="0" collapsed="false">
      <c r="A301" s="132"/>
      <c r="B301" s="132"/>
      <c r="C301" s="341" t="s">
        <v>1317</v>
      </c>
      <c r="D301" s="939"/>
      <c r="E301" s="295"/>
      <c r="F301" s="680"/>
      <c r="G301" s="860"/>
      <c r="H301" s="596"/>
      <c r="I301" s="168" t="s">
        <v>1316</v>
      </c>
      <c r="J301" s="219"/>
      <c r="K301" s="596"/>
      <c r="L301" s="728"/>
      <c r="M301" s="922"/>
      <c r="N301" s="676"/>
      <c r="O301" s="118"/>
      <c r="P301" s="118"/>
      <c r="AH301" s="42" t="n">
        <v>0</v>
      </c>
    </row>
    <row r="302" s="42" customFormat="true" ht="0.75" hidden="true" customHeight="true" outlineLevel="0" collapsed="false">
      <c r="A302" s="132"/>
      <c r="B302" s="132"/>
      <c r="C302" s="341" t="s">
        <v>1324</v>
      </c>
      <c r="D302" s="939"/>
      <c r="E302" s="295"/>
      <c r="F302" s="680"/>
      <c r="G302" s="938"/>
      <c r="H302" s="596"/>
      <c r="I302" s="168"/>
      <c r="J302" s="219"/>
      <c r="K302" s="596"/>
      <c r="L302" s="728"/>
      <c r="M302" s="922"/>
      <c r="N302" s="676"/>
      <c r="O302" s="118"/>
      <c r="P302" s="118"/>
      <c r="AH302" s="42" t="n">
        <v>0</v>
      </c>
    </row>
    <row r="303" s="42" customFormat="true" ht="18.75" hidden="true" customHeight="true" outlineLevel="0" collapsed="false">
      <c r="A303" s="132" t="s">
        <v>248</v>
      </c>
      <c r="B303" s="132" t="s">
        <v>249</v>
      </c>
      <c r="C303" s="341"/>
      <c r="D303" s="939"/>
      <c r="E303" s="295"/>
      <c r="F303" s="680" t="str">
        <f aca="false">INDEX(PT_DIFFERENTIATION_VTAR,MATCH(A303,PT_DIFFERENTIATION_VTAR_ID,0))</f>
        <v>Тариф на транспортировку воды</v>
      </c>
      <c r="G303" s="860" t="str">
        <f aca="false">INDEX(PT_DIFFERENTIATION_NTAR,MATCH(B303,PT_DIFFERENTIATION_NTAR_ID,0))</f>
        <v/>
      </c>
      <c r="H303" s="358"/>
      <c r="I303" s="927"/>
      <c r="J303" s="928"/>
      <c r="K303" s="371"/>
      <c r="L303" s="358" t="s">
        <v>319</v>
      </c>
      <c r="M303" s="922"/>
      <c r="N303" s="676"/>
      <c r="O303" s="118"/>
      <c r="P303" s="118"/>
      <c r="AH303" s="42" t="n">
        <v>0</v>
      </c>
    </row>
    <row r="304" s="42" customFormat="true" ht="18.75" hidden="true" customHeight="true" outlineLevel="0" collapsed="false">
      <c r="A304" s="132"/>
      <c r="B304" s="132"/>
      <c r="C304" s="341" t="s">
        <v>1317</v>
      </c>
      <c r="D304" s="939"/>
      <c r="E304" s="295"/>
      <c r="F304" s="680"/>
      <c r="G304" s="860"/>
      <c r="H304" s="596"/>
      <c r="I304" s="168" t="s">
        <v>1316</v>
      </c>
      <c r="J304" s="219"/>
      <c r="K304" s="596"/>
      <c r="L304" s="728"/>
      <c r="M304" s="922"/>
      <c r="N304" s="676"/>
      <c r="O304" s="118"/>
      <c r="P304" s="118"/>
      <c r="AH304" s="42" t="n">
        <v>0</v>
      </c>
    </row>
    <row r="305" s="42" customFormat="true" ht="0.75" hidden="true" customHeight="true" outlineLevel="0" collapsed="false">
      <c r="A305" s="132"/>
      <c r="B305" s="132"/>
      <c r="C305" s="341" t="s">
        <v>1324</v>
      </c>
      <c r="D305" s="939"/>
      <c r="E305" s="295"/>
      <c r="F305" s="680"/>
      <c r="G305" s="938"/>
      <c r="H305" s="596"/>
      <c r="I305" s="168"/>
      <c r="J305" s="219"/>
      <c r="K305" s="596"/>
      <c r="L305" s="728"/>
      <c r="M305" s="922"/>
      <c r="N305" s="676"/>
      <c r="O305" s="118"/>
      <c r="P305" s="118"/>
      <c r="AH305" s="42" t="n">
        <v>0</v>
      </c>
    </row>
    <row r="306" s="42" customFormat="true" ht="18.75" hidden="true" customHeight="true" outlineLevel="0" collapsed="false">
      <c r="A306" s="132" t="s">
        <v>253</v>
      </c>
      <c r="B306" s="132" t="s">
        <v>254</v>
      </c>
      <c r="C306" s="341"/>
      <c r="D306" s="939"/>
      <c r="E306" s="295"/>
      <c r="F306" s="680" t="str">
        <f aca="false">INDEX(PT_DIFFERENTIATION_VTAR,MATCH(A306,PT_DIFFERENTIATION_VTAR_ID,0))</f>
        <v>Тариф на подвоз воды</v>
      </c>
      <c r="G306" s="860" t="str">
        <f aca="false">INDEX(PT_DIFFERENTIATION_NTAR,MATCH(B306,PT_DIFFERENTIATION_NTAR_ID,0))</f>
        <v/>
      </c>
      <c r="H306" s="358"/>
      <c r="I306" s="927"/>
      <c r="J306" s="928"/>
      <c r="K306" s="371"/>
      <c r="L306" s="358" t="s">
        <v>319</v>
      </c>
      <c r="M306" s="922"/>
      <c r="N306" s="676"/>
      <c r="O306" s="118"/>
      <c r="P306" s="118"/>
      <c r="AH306" s="42" t="n">
        <v>0</v>
      </c>
    </row>
    <row r="307" s="42" customFormat="true" ht="18.75" hidden="true" customHeight="true" outlineLevel="0" collapsed="false">
      <c r="A307" s="132"/>
      <c r="B307" s="132"/>
      <c r="C307" s="341" t="s">
        <v>1317</v>
      </c>
      <c r="D307" s="939"/>
      <c r="E307" s="295"/>
      <c r="F307" s="680"/>
      <c r="G307" s="860"/>
      <c r="H307" s="596"/>
      <c r="I307" s="168" t="s">
        <v>1316</v>
      </c>
      <c r="J307" s="219"/>
      <c r="K307" s="596"/>
      <c r="L307" s="728"/>
      <c r="M307" s="922"/>
      <c r="N307" s="676"/>
      <c r="O307" s="118"/>
      <c r="P307" s="118"/>
      <c r="AH307" s="42" t="n">
        <v>0</v>
      </c>
    </row>
    <row r="308" s="42" customFormat="true" ht="0.75" hidden="true" customHeight="true" outlineLevel="0" collapsed="false">
      <c r="A308" s="132"/>
      <c r="B308" s="132"/>
      <c r="C308" s="341" t="s">
        <v>1324</v>
      </c>
      <c r="D308" s="939"/>
      <c r="E308" s="295"/>
      <c r="F308" s="680"/>
      <c r="G308" s="938"/>
      <c r="H308" s="596"/>
      <c r="I308" s="168"/>
      <c r="J308" s="219"/>
      <c r="K308" s="596"/>
      <c r="L308" s="728"/>
      <c r="M308" s="922"/>
      <c r="N308" s="676"/>
      <c r="O308" s="118"/>
      <c r="P308" s="118"/>
      <c r="AH308" s="42" t="n">
        <v>0</v>
      </c>
    </row>
    <row r="309" s="42" customFormat="true" ht="18.75" hidden="true" customHeight="true" outlineLevel="0" collapsed="false">
      <c r="A309" s="132" t="s">
        <v>258</v>
      </c>
      <c r="B309" s="132" t="s">
        <v>259</v>
      </c>
      <c r="C309" s="341"/>
      <c r="D309" s="939"/>
      <c r="E309" s="295"/>
      <c r="F309" s="680" t="str">
        <f aca="false">INDEX(PT_DIFFERENTIATION_VTAR,MATCH(A309,PT_DIFFERENTIATION_VTAR_ID,0))</f>
        <v>Тариф на подключение (технологическое присоединение) к централизованной системе холодного водоснабжения</v>
      </c>
      <c r="G309" s="860" t="str">
        <f aca="false">INDEX(PT_DIFFERENTIATION_NTAR,MATCH(B309,PT_DIFFERENTIATION_NTAR_ID,0))</f>
        <v/>
      </c>
      <c r="H309" s="358"/>
      <c r="I309" s="927"/>
      <c r="J309" s="928"/>
      <c r="K309" s="371"/>
      <c r="L309" s="358" t="s">
        <v>319</v>
      </c>
      <c r="M309" s="922"/>
      <c r="N309" s="676"/>
      <c r="O309" s="118"/>
      <c r="P309" s="118"/>
      <c r="AH309" s="42" t="n">
        <v>0</v>
      </c>
    </row>
    <row r="310" s="42" customFormat="true" ht="18.75" hidden="true" customHeight="true" outlineLevel="0" collapsed="false">
      <c r="A310" s="132"/>
      <c r="B310" s="132"/>
      <c r="C310" s="341" t="s">
        <v>1317</v>
      </c>
      <c r="D310" s="939"/>
      <c r="E310" s="295"/>
      <c r="F310" s="680"/>
      <c r="G310" s="860"/>
      <c r="H310" s="596"/>
      <c r="I310" s="168" t="s">
        <v>1316</v>
      </c>
      <c r="J310" s="219"/>
      <c r="K310" s="596"/>
      <c r="L310" s="728"/>
      <c r="M310" s="922"/>
      <c r="N310" s="676"/>
      <c r="O310" s="118"/>
      <c r="P310" s="118"/>
      <c r="AH310" s="42" t="n">
        <v>0</v>
      </c>
    </row>
    <row r="311" s="42" customFormat="true" ht="0.75" hidden="true" customHeight="true" outlineLevel="0" collapsed="false">
      <c r="A311" s="132"/>
      <c r="B311" s="132"/>
      <c r="C311" s="341" t="s">
        <v>1324</v>
      </c>
      <c r="D311" s="939"/>
      <c r="E311" s="295"/>
      <c r="F311" s="680"/>
      <c r="G311" s="938"/>
      <c r="H311" s="596"/>
      <c r="I311" s="168"/>
      <c r="J311" s="219"/>
      <c r="K311" s="596"/>
      <c r="L311" s="728"/>
      <c r="M311" s="922"/>
      <c r="N311" s="676"/>
      <c r="O311" s="118"/>
      <c r="P311" s="118"/>
      <c r="AH311" s="42" t="n">
        <v>0</v>
      </c>
    </row>
    <row r="312" s="42" customFormat="true" ht="18.75" hidden="true" customHeight="true" outlineLevel="0" collapsed="false">
      <c r="A312" s="132" t="s">
        <v>263</v>
      </c>
      <c r="B312" s="132" t="s">
        <v>264</v>
      </c>
      <c r="C312" s="341"/>
      <c r="D312" s="939"/>
      <c r="E312" s="295"/>
      <c r="F312" s="680" t="str">
        <f aca="false">INDEX(PT_DIFFERENTIATION_VTAR,MATCH(A312,PT_DIFFERENTIATION_VTAR_ID,0))</f>
        <v>Тариф на горячую воду (горячее водоснабжение)</v>
      </c>
      <c r="G312" s="860" t="str">
        <f aca="false">INDEX(PT_DIFFERENTIATION_NTAR,MATCH(B312,PT_DIFFERENTIATION_NTAR_ID,0))</f>
        <v/>
      </c>
      <c r="H312" s="358"/>
      <c r="I312" s="927"/>
      <c r="J312" s="928"/>
      <c r="K312" s="371"/>
      <c r="L312" s="358" t="s">
        <v>319</v>
      </c>
      <c r="M312" s="922"/>
      <c r="N312" s="676"/>
      <c r="O312" s="118"/>
      <c r="P312" s="118"/>
      <c r="AH312" s="42" t="n">
        <v>0</v>
      </c>
    </row>
    <row r="313" s="42" customFormat="true" ht="18.75" hidden="true" customHeight="true" outlineLevel="0" collapsed="false">
      <c r="A313" s="132"/>
      <c r="B313" s="132"/>
      <c r="C313" s="341" t="s">
        <v>1317</v>
      </c>
      <c r="D313" s="939"/>
      <c r="E313" s="295"/>
      <c r="F313" s="680"/>
      <c r="G313" s="860"/>
      <c r="H313" s="596"/>
      <c r="I313" s="168" t="s">
        <v>1316</v>
      </c>
      <c r="J313" s="219"/>
      <c r="K313" s="596"/>
      <c r="L313" s="728"/>
      <c r="M313" s="922"/>
      <c r="N313" s="676"/>
      <c r="O313" s="118"/>
      <c r="P313" s="118"/>
      <c r="AH313" s="42" t="n">
        <v>0</v>
      </c>
    </row>
    <row r="314" s="42" customFormat="true" ht="0.75" hidden="true" customHeight="true" outlineLevel="0" collapsed="false">
      <c r="A314" s="132"/>
      <c r="B314" s="132"/>
      <c r="C314" s="341" t="s">
        <v>1324</v>
      </c>
      <c r="D314" s="939"/>
      <c r="E314" s="295"/>
      <c r="F314" s="680"/>
      <c r="G314" s="938"/>
      <c r="H314" s="596"/>
      <c r="I314" s="168"/>
      <c r="J314" s="219"/>
      <c r="K314" s="596"/>
      <c r="L314" s="728"/>
      <c r="M314" s="922"/>
      <c r="N314" s="676"/>
      <c r="O314" s="118"/>
      <c r="P314" s="118"/>
      <c r="AH314" s="42" t="n">
        <v>0</v>
      </c>
    </row>
    <row r="315" s="42" customFormat="true" ht="18.75" hidden="true" customHeight="true" outlineLevel="0" collapsed="false">
      <c r="A315" s="132" t="s">
        <v>268</v>
      </c>
      <c r="B315" s="132" t="s">
        <v>269</v>
      </c>
      <c r="C315" s="341"/>
      <c r="D315" s="939"/>
      <c r="E315" s="295"/>
      <c r="F315" s="680" t="str">
        <f aca="false">INDEX(PT_DIFFERENTIATION_VTAR,MATCH(A315,PT_DIFFERENTIATION_VTAR_ID,0))</f>
        <v>Тариф на транспортировку горячей воды</v>
      </c>
      <c r="G315" s="860" t="str">
        <f aca="false">INDEX(PT_DIFFERENTIATION_NTAR,MATCH(B315,PT_DIFFERENTIATION_NTAR_ID,0))</f>
        <v/>
      </c>
      <c r="H315" s="358"/>
      <c r="I315" s="927"/>
      <c r="J315" s="928"/>
      <c r="K315" s="371"/>
      <c r="L315" s="358" t="s">
        <v>319</v>
      </c>
      <c r="M315" s="922"/>
      <c r="N315" s="676"/>
      <c r="O315" s="118"/>
      <c r="P315" s="118"/>
      <c r="AH315" s="42" t="n">
        <v>0</v>
      </c>
    </row>
    <row r="316" s="42" customFormat="true" ht="18.75" hidden="true" customHeight="true" outlineLevel="0" collapsed="false">
      <c r="A316" s="132"/>
      <c r="B316" s="132"/>
      <c r="C316" s="341" t="s">
        <v>1317</v>
      </c>
      <c r="D316" s="939"/>
      <c r="E316" s="295"/>
      <c r="F316" s="680"/>
      <c r="G316" s="860"/>
      <c r="H316" s="596"/>
      <c r="I316" s="168" t="s">
        <v>1316</v>
      </c>
      <c r="J316" s="219"/>
      <c r="K316" s="596"/>
      <c r="L316" s="728"/>
      <c r="M316" s="922"/>
      <c r="N316" s="676"/>
      <c r="O316" s="118"/>
      <c r="P316" s="118"/>
      <c r="AH316" s="42" t="n">
        <v>0</v>
      </c>
    </row>
    <row r="317" s="42" customFormat="true" ht="0.75" hidden="true" customHeight="true" outlineLevel="0" collapsed="false">
      <c r="A317" s="132"/>
      <c r="B317" s="132"/>
      <c r="C317" s="341" t="s">
        <v>1324</v>
      </c>
      <c r="D317" s="939"/>
      <c r="E317" s="295"/>
      <c r="F317" s="680"/>
      <c r="G317" s="938"/>
      <c r="H317" s="596"/>
      <c r="I317" s="168"/>
      <c r="J317" s="219"/>
      <c r="K317" s="596"/>
      <c r="L317" s="728"/>
      <c r="M317" s="922"/>
      <c r="N317" s="676"/>
      <c r="O317" s="118"/>
      <c r="P317" s="118"/>
      <c r="AH317" s="42" t="n">
        <v>0</v>
      </c>
    </row>
    <row r="318" s="42" customFormat="true" ht="18.75" hidden="true" customHeight="true" outlineLevel="0" collapsed="false">
      <c r="A318" s="132" t="s">
        <v>273</v>
      </c>
      <c r="B318" s="132" t="s">
        <v>274</v>
      </c>
      <c r="C318" s="341"/>
      <c r="D318" s="939"/>
      <c r="E318" s="295"/>
      <c r="F318" s="680" t="str">
        <f aca="false">INDEX(PT_DIFFERENTIATION_VTAR,MATCH(A318,PT_DIFFERENTIATION_VTAR_ID,0))</f>
        <v>Тариф на подключение (технологическое присоединение) к централизованной системе горячего водоснабжения</v>
      </c>
      <c r="G318" s="860" t="str">
        <f aca="false">INDEX(PT_DIFFERENTIATION_NTAR,MATCH(B318,PT_DIFFERENTIATION_NTAR_ID,0))</f>
        <v/>
      </c>
      <c r="H318" s="358"/>
      <c r="I318" s="927"/>
      <c r="J318" s="928"/>
      <c r="K318" s="371"/>
      <c r="L318" s="358" t="s">
        <v>319</v>
      </c>
      <c r="M318" s="922"/>
      <c r="N318" s="676"/>
      <c r="O318" s="118"/>
      <c r="P318" s="118"/>
      <c r="AH318" s="42" t="n">
        <v>0</v>
      </c>
    </row>
    <row r="319" s="42" customFormat="true" ht="18.75" hidden="true" customHeight="true" outlineLevel="0" collapsed="false">
      <c r="A319" s="132"/>
      <c r="B319" s="132"/>
      <c r="C319" s="341" t="s">
        <v>1317</v>
      </c>
      <c r="D319" s="939"/>
      <c r="E319" s="295"/>
      <c r="F319" s="680"/>
      <c r="G319" s="860"/>
      <c r="H319" s="596"/>
      <c r="I319" s="168" t="s">
        <v>1316</v>
      </c>
      <c r="J319" s="219"/>
      <c r="K319" s="596"/>
      <c r="L319" s="728"/>
      <c r="M319" s="922"/>
      <c r="N319" s="676"/>
      <c r="O319" s="118"/>
      <c r="P319" s="118"/>
      <c r="AH319" s="42" t="n">
        <v>0</v>
      </c>
    </row>
    <row r="320" s="42" customFormat="true" ht="0.75" hidden="true" customHeight="true" outlineLevel="0" collapsed="false">
      <c r="A320" s="132"/>
      <c r="B320" s="132"/>
      <c r="C320" s="341" t="s">
        <v>1324</v>
      </c>
      <c r="D320" s="939"/>
      <c r="E320" s="295"/>
      <c r="F320" s="680"/>
      <c r="G320" s="938"/>
      <c r="H320" s="596"/>
      <c r="I320" s="168"/>
      <c r="J320" s="219"/>
      <c r="K320" s="596"/>
      <c r="L320" s="728"/>
      <c r="M320" s="922"/>
      <c r="N320" s="676"/>
      <c r="O320" s="118"/>
      <c r="P320" s="118"/>
      <c r="AH320" s="42" t="n">
        <v>0</v>
      </c>
    </row>
    <row r="321" s="42" customFormat="true" ht="18.75" hidden="true" customHeight="true" outlineLevel="0" collapsed="false">
      <c r="A321" s="132" t="s">
        <v>278</v>
      </c>
      <c r="B321" s="132" t="s">
        <v>279</v>
      </c>
      <c r="C321" s="341"/>
      <c r="D321" s="939"/>
      <c r="E321" s="295"/>
      <c r="F321" s="680" t="str">
        <f aca="false">INDEX(PT_DIFFERENTIATION_VTAR,MATCH(A321,PT_DIFFERENTIATION_VTAR_ID,0))</f>
        <v>Тариф на водоотведение</v>
      </c>
      <c r="G321" s="860" t="str">
        <f aca="false">INDEX(PT_DIFFERENTIATION_NTAR,MATCH(B321,PT_DIFFERENTIATION_NTAR_ID,0))</f>
        <v/>
      </c>
      <c r="H321" s="358"/>
      <c r="I321" s="927"/>
      <c r="J321" s="928"/>
      <c r="K321" s="371"/>
      <c r="L321" s="358" t="s">
        <v>319</v>
      </c>
      <c r="M321" s="922"/>
      <c r="N321" s="676"/>
      <c r="O321" s="118"/>
      <c r="P321" s="118"/>
      <c r="AH321" s="42" t="n">
        <v>0</v>
      </c>
    </row>
    <row r="322" s="42" customFormat="true" ht="18.75" hidden="true" customHeight="true" outlineLevel="0" collapsed="false">
      <c r="A322" s="132"/>
      <c r="B322" s="132"/>
      <c r="C322" s="341" t="s">
        <v>1317</v>
      </c>
      <c r="D322" s="939"/>
      <c r="E322" s="295"/>
      <c r="F322" s="680"/>
      <c r="G322" s="860"/>
      <c r="H322" s="596"/>
      <c r="I322" s="168" t="s">
        <v>1316</v>
      </c>
      <c r="J322" s="219"/>
      <c r="K322" s="596"/>
      <c r="L322" s="728"/>
      <c r="M322" s="922"/>
      <c r="N322" s="676"/>
      <c r="O322" s="118"/>
      <c r="P322" s="118"/>
      <c r="AH322" s="42" t="n">
        <v>0</v>
      </c>
    </row>
    <row r="323" s="42" customFormat="true" ht="0.75" hidden="true" customHeight="true" outlineLevel="0" collapsed="false">
      <c r="A323" s="132"/>
      <c r="B323" s="132"/>
      <c r="C323" s="341" t="s">
        <v>1324</v>
      </c>
      <c r="D323" s="939"/>
      <c r="E323" s="295"/>
      <c r="F323" s="680"/>
      <c r="G323" s="938"/>
      <c r="H323" s="596"/>
      <c r="I323" s="168"/>
      <c r="J323" s="219"/>
      <c r="K323" s="596"/>
      <c r="L323" s="728"/>
      <c r="M323" s="922"/>
      <c r="N323" s="676"/>
      <c r="O323" s="118"/>
      <c r="P323" s="118"/>
      <c r="AH323" s="42" t="n">
        <v>0</v>
      </c>
    </row>
    <row r="324" s="42" customFormat="true" ht="18.75" hidden="true" customHeight="true" outlineLevel="0" collapsed="false">
      <c r="A324" s="132" t="s">
        <v>283</v>
      </c>
      <c r="B324" s="132" t="s">
        <v>284</v>
      </c>
      <c r="C324" s="341"/>
      <c r="D324" s="939"/>
      <c r="E324" s="295"/>
      <c r="F324" s="680" t="str">
        <f aca="false">INDEX(PT_DIFFERENTIATION_VTAR,MATCH(A324,PT_DIFFERENTIATION_VTAR_ID,0))</f>
        <v>Тариф на транспортировку сточных вод</v>
      </c>
      <c r="G324" s="860" t="str">
        <f aca="false">INDEX(PT_DIFFERENTIATION_NTAR,MATCH(B324,PT_DIFFERENTIATION_NTAR_ID,0))</f>
        <v/>
      </c>
      <c r="H324" s="358"/>
      <c r="I324" s="927"/>
      <c r="J324" s="928"/>
      <c r="K324" s="371"/>
      <c r="L324" s="358" t="s">
        <v>319</v>
      </c>
      <c r="M324" s="922"/>
      <c r="N324" s="676"/>
      <c r="O324" s="118"/>
      <c r="P324" s="118"/>
      <c r="AH324" s="42" t="n">
        <v>0</v>
      </c>
    </row>
    <row r="325" s="42" customFormat="true" ht="18.75" hidden="true" customHeight="true" outlineLevel="0" collapsed="false">
      <c r="A325" s="132"/>
      <c r="B325" s="132"/>
      <c r="C325" s="341" t="s">
        <v>1317</v>
      </c>
      <c r="D325" s="939"/>
      <c r="E325" s="295"/>
      <c r="F325" s="680"/>
      <c r="G325" s="860"/>
      <c r="H325" s="596"/>
      <c r="I325" s="168" t="s">
        <v>1316</v>
      </c>
      <c r="J325" s="219"/>
      <c r="K325" s="596"/>
      <c r="L325" s="728"/>
      <c r="M325" s="922"/>
      <c r="N325" s="676"/>
      <c r="O325" s="118"/>
      <c r="P325" s="118"/>
      <c r="AH325" s="42" t="n">
        <v>0</v>
      </c>
    </row>
    <row r="326" s="42" customFormat="true" ht="0.75" hidden="true" customHeight="true" outlineLevel="0" collapsed="false">
      <c r="A326" s="132"/>
      <c r="B326" s="132"/>
      <c r="C326" s="341" t="s">
        <v>1324</v>
      </c>
      <c r="D326" s="939"/>
      <c r="E326" s="295"/>
      <c r="F326" s="680"/>
      <c r="G326" s="938"/>
      <c r="H326" s="596"/>
      <c r="I326" s="168"/>
      <c r="J326" s="219"/>
      <c r="K326" s="596"/>
      <c r="L326" s="728"/>
      <c r="M326" s="922"/>
      <c r="N326" s="676"/>
      <c r="O326" s="118"/>
      <c r="P326" s="118"/>
      <c r="AH326" s="42" t="n">
        <v>0</v>
      </c>
    </row>
    <row r="327" s="42" customFormat="true" ht="18.75" hidden="true" customHeight="true" outlineLevel="0" collapsed="false">
      <c r="A327" s="132" t="s">
        <v>288</v>
      </c>
      <c r="B327" s="132" t="s">
        <v>289</v>
      </c>
      <c r="C327" s="341"/>
      <c r="D327" s="939"/>
      <c r="E327" s="295"/>
      <c r="F327" s="680" t="str">
        <f aca="false">INDEX(PT_DIFFERENTIATION_VTAR,MATCH(A327,PT_DIFFERENTIATION_VTAR_ID,0))</f>
        <v>Тариф на подключение (технологическое присоединение) к централизованной системе водоотведения</v>
      </c>
      <c r="G327" s="860" t="str">
        <f aca="false">INDEX(PT_DIFFERENTIATION_NTAR,MATCH(B327,PT_DIFFERENTIATION_NTAR_ID,0))</f>
        <v/>
      </c>
      <c r="H327" s="358"/>
      <c r="I327" s="927"/>
      <c r="J327" s="928"/>
      <c r="K327" s="371"/>
      <c r="L327" s="358" t="s">
        <v>319</v>
      </c>
      <c r="M327" s="922"/>
      <c r="N327" s="676"/>
      <c r="O327" s="118"/>
      <c r="P327" s="118"/>
      <c r="AH327" s="42" t="n">
        <v>0</v>
      </c>
    </row>
    <row r="328" s="42" customFormat="true" ht="18.75" hidden="true" customHeight="true" outlineLevel="0" collapsed="false">
      <c r="A328" s="132"/>
      <c r="B328" s="132"/>
      <c r="C328" s="341" t="s">
        <v>1317</v>
      </c>
      <c r="D328" s="939"/>
      <c r="E328" s="295"/>
      <c r="F328" s="680"/>
      <c r="G328" s="860"/>
      <c r="H328" s="596"/>
      <c r="I328" s="168" t="s">
        <v>1316</v>
      </c>
      <c r="J328" s="219"/>
      <c r="K328" s="596"/>
      <c r="L328" s="728"/>
      <c r="M328" s="922"/>
      <c r="N328" s="676"/>
      <c r="O328" s="118"/>
      <c r="P328" s="118"/>
      <c r="AH328" s="42" t="n">
        <v>0</v>
      </c>
    </row>
    <row r="329" s="42" customFormat="true" ht="0.75" hidden="false" customHeight="true" outlineLevel="0" collapsed="false">
      <c r="A329" s="132"/>
      <c r="B329" s="132"/>
      <c r="C329" s="341" t="s">
        <v>1324</v>
      </c>
      <c r="D329" s="939"/>
      <c r="E329" s="295"/>
      <c r="F329" s="680"/>
      <c r="G329" s="938"/>
      <c r="H329" s="596"/>
      <c r="I329" s="168"/>
      <c r="J329" s="219"/>
      <c r="K329" s="596"/>
      <c r="L329" s="728"/>
      <c r="M329" s="922"/>
      <c r="N329" s="676"/>
      <c r="O329" s="118"/>
      <c r="P329" s="118"/>
      <c r="AH329" s="42" t="n">
        <v>1</v>
      </c>
    </row>
    <row r="330" s="132" customFormat="true" ht="3" hidden="false" customHeight="true" outlineLevel="0" collapsed="false">
      <c r="E330" s="945"/>
      <c r="F330" s="945"/>
      <c r="G330" s="945"/>
      <c r="H330" s="945"/>
      <c r="I330" s="945"/>
      <c r="J330" s="945"/>
      <c r="K330" s="945"/>
      <c r="L330" s="945"/>
      <c r="M330" s="945"/>
      <c r="O330" s="156"/>
      <c r="P330" s="156"/>
      <c r="AH330" s="132" t="n">
        <v>3</v>
      </c>
    </row>
    <row r="331" customFormat="false" ht="26.25" hidden="false" customHeight="true" outlineLevel="0" collapsed="false">
      <c r="E331" s="946"/>
      <c r="F331" s="488"/>
      <c r="G331" s="488"/>
      <c r="H331" s="488"/>
      <c r="I331" s="488"/>
      <c r="J331" s="488"/>
      <c r="K331" s="488"/>
      <c r="L331" s="488"/>
      <c r="M331" s="488"/>
      <c r="AH331" s="42" t="n">
        <v>25</v>
      </c>
    </row>
    <row r="332" customFormat="false" ht="14.25" hidden="true" customHeight="true" outlineLevel="0" collapsed="false">
      <c r="A332" s="11" t="s">
        <v>81</v>
      </c>
      <c r="B332" s="11" t="n">
        <v>0</v>
      </c>
      <c r="C332" s="341" t="n">
        <v>0</v>
      </c>
      <c r="D332" s="411" t="n">
        <v>3</v>
      </c>
      <c r="E332" s="42" t="n">
        <v>6</v>
      </c>
      <c r="F332" s="42" t="n">
        <v>46</v>
      </c>
      <c r="G332" s="42" t="n">
        <v>35</v>
      </c>
      <c r="H332" s="42" t="n">
        <v>3</v>
      </c>
      <c r="I332" s="42" t="n">
        <v>11</v>
      </c>
      <c r="J332" s="42" t="n">
        <v>11</v>
      </c>
      <c r="K332" s="42" t="n">
        <v>35</v>
      </c>
      <c r="L332" s="42" t="n">
        <v>35</v>
      </c>
      <c r="M332" s="42" t="n">
        <v>84</v>
      </c>
      <c r="N332" s="42" t="n">
        <v>10</v>
      </c>
      <c r="O332" s="118" t="n">
        <v>10</v>
      </c>
      <c r="P332" s="118" t="n">
        <v>10</v>
      </c>
      <c r="Q332" s="42" t="n">
        <v>10</v>
      </c>
      <c r="R332" s="42" t="n">
        <v>10</v>
      </c>
      <c r="S332" s="42" t="n">
        <v>10</v>
      </c>
      <c r="T332" s="42" t="n">
        <v>10</v>
      </c>
      <c r="U332" s="42" t="n">
        <v>10</v>
      </c>
      <c r="V332" s="42" t="n">
        <v>10</v>
      </c>
      <c r="W332" s="42" t="n">
        <v>10</v>
      </c>
      <c r="X332" s="42" t="n">
        <v>10</v>
      </c>
      <c r="Y332" s="42" t="n">
        <v>10</v>
      </c>
      <c r="Z332" s="42" t="n">
        <v>10</v>
      </c>
      <c r="AA332" s="42" t="n">
        <v>10</v>
      </c>
      <c r="AB332" s="42" t="n">
        <v>10</v>
      </c>
      <c r="AC332" s="42" t="n">
        <v>10</v>
      </c>
      <c r="AD332" s="42" t="n">
        <v>10</v>
      </c>
      <c r="AE332" s="42" t="n">
        <v>10</v>
      </c>
      <c r="AF332" s="42" t="n">
        <v>10</v>
      </c>
      <c r="AG332" s="42" t="n">
        <v>10</v>
      </c>
      <c r="AH332" s="42" t="n">
        <v>14</v>
      </c>
    </row>
  </sheetData>
  <mergeCells count="42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3"/>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D81:D83"/>
    <mergeCell ref="E81:E83"/>
    <mergeCell ref="F81:F83"/>
    <mergeCell ref="G81:G82"/>
    <mergeCell ref="F84:L84"/>
    <mergeCell ref="H85:I85"/>
    <mergeCell ref="F86:L86"/>
    <mergeCell ref="D87:D89"/>
    <mergeCell ref="E87:E89"/>
    <mergeCell ref="F87:F89"/>
    <mergeCell ref="G87:G88"/>
    <mergeCell ref="M87:M90"/>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D141:D143"/>
    <mergeCell ref="E141:E143"/>
    <mergeCell ref="F141:F143"/>
    <mergeCell ref="G141:G142"/>
    <mergeCell ref="D144:D146"/>
    <mergeCell ref="E144:E146"/>
    <mergeCell ref="F144:F146"/>
    <mergeCell ref="G144:G145"/>
    <mergeCell ref="F147:L147"/>
    <mergeCell ref="D148:D150"/>
    <mergeCell ref="E148:E150"/>
    <mergeCell ref="F148:F150"/>
    <mergeCell ref="G148:G149"/>
    <mergeCell ref="M148:M151"/>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D199:D201"/>
    <mergeCell ref="E199:E201"/>
    <mergeCell ref="F199:F201"/>
    <mergeCell ref="G199:G200"/>
    <mergeCell ref="D202:D204"/>
    <mergeCell ref="E202:E204"/>
    <mergeCell ref="F202:F204"/>
    <mergeCell ref="G202:G203"/>
    <mergeCell ref="D205:D207"/>
    <mergeCell ref="E205:E207"/>
    <mergeCell ref="F205:F207"/>
    <mergeCell ref="G205:G206"/>
    <mergeCell ref="F208:L208"/>
    <mergeCell ref="D209:D211"/>
    <mergeCell ref="E209:E211"/>
    <mergeCell ref="F209:F211"/>
    <mergeCell ref="G209:G210"/>
    <mergeCell ref="M209:M212"/>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D257:D259"/>
    <mergeCell ref="E257:E259"/>
    <mergeCell ref="F257:F259"/>
    <mergeCell ref="G257:G258"/>
    <mergeCell ref="D260:D262"/>
    <mergeCell ref="E260:E262"/>
    <mergeCell ref="F260:F262"/>
    <mergeCell ref="G260:G261"/>
    <mergeCell ref="D263:D265"/>
    <mergeCell ref="E263:E265"/>
    <mergeCell ref="F263:F265"/>
    <mergeCell ref="G263:G264"/>
    <mergeCell ref="D266:D268"/>
    <mergeCell ref="E266:E268"/>
    <mergeCell ref="F266:F268"/>
    <mergeCell ref="G266:G267"/>
    <mergeCell ref="F269:L269"/>
    <mergeCell ref="D270:D272"/>
    <mergeCell ref="E270:E272"/>
    <mergeCell ref="F270:F272"/>
    <mergeCell ref="G270:G271"/>
    <mergeCell ref="M270:M273"/>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D315:D317"/>
    <mergeCell ref="E315:E317"/>
    <mergeCell ref="F315:F317"/>
    <mergeCell ref="G315:G316"/>
    <mergeCell ref="D318:D320"/>
    <mergeCell ref="E318:E320"/>
    <mergeCell ref="F318:F320"/>
    <mergeCell ref="G318:G319"/>
    <mergeCell ref="D321:D323"/>
    <mergeCell ref="E321:E323"/>
    <mergeCell ref="F321:F323"/>
    <mergeCell ref="G321:G322"/>
    <mergeCell ref="D324:D326"/>
    <mergeCell ref="E324:E326"/>
    <mergeCell ref="F324:F326"/>
    <mergeCell ref="G324:G325"/>
    <mergeCell ref="D327:D329"/>
    <mergeCell ref="E327:E329"/>
    <mergeCell ref="F327:F329"/>
    <mergeCell ref="G327:G328"/>
    <mergeCell ref="F331:M331"/>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2:J2 I5:J5 I8:J8 I10:J10 I24:J24 I27:J27 I30:J30 I33:J33 I36:J36 I39:J39 I42:J42 I45:J45 I48:J48 I51:J51 I54:J54 I57:J57 I60:J60 I63:J63 I66:J66 I69:J69 I72:J72 I75:J75 I78:J78 I81:J81 I87:J87 I90:J90 I93:J93 I96:J96 I99:J99 I102:J102 I105:J105 I108:J108 I111:J111 I114:J114 I117:J117 I120:J120 I123:J123 I126:J126 I129:J129 I132:J132 I135:J135 I138:J138 I141:J141 I144:J144 I148:J148 I151:J151 I154:J154 I157:J157 I160:J160 I163:J163 I166:J166 I169:J169 I172:J172 I175:J175 I178:J178 I181:J181 I184:J184 I187:J187 I190:J190 I193:J193 I196:J196 I199:J199 I202:J202 I205:J205 I209:J209 I212:J212 I215:J215 I218:J218 I221:J221 I224:J224 I227:J227 I230:J230 I233:J233 I236:J236 I239:J239 I242:J242 I245:J245 I248:J248 I251:J251 I254:J254 I257:J257 I260:J260 I263:J263 I266:J266 I270:J270 I273:J273 I276:J276 I279:J279 I282:J282 I285:J285 I288:J288 I291:J291 I294:J294 I297:J297 I300:J300 I303:J303 I306:J306 I309:J309 I312:J312 I315:J315 I318:J318 I321:J321 I324:J324 I327:J327"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85"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23 M87:M88 M148:M149 M209:M210 M270:M271"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K5 K10 K87 K90 K93 K96 K99 K102 K105 K108 K111 K114 K117 K120 K123 K126 K129 K132 K135 K138 K141 K144 K148 K151 K154 K157 K160 K163 K166 K169 K172 K175 K178 K181 K184 K187 K190 K193 K196 K199 K202 K205 K209 K212 K215 K218 K221 K224 K227 K230 K233 K236 K239 K242 K245 K248 K251 K254 K257 K260 K263 K266 K270 K273 K276 K279 K282 K285 K288 K291 K294 K297 K300 K303 K306 K309 K312 K315 K318 K321 K324 K327"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R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50" width="9.14"/>
    <col collapsed="false" customWidth="true" hidden="true" outlineLevel="0" max="2" min="2" style="45" width="9.14"/>
    <col collapsed="false" customWidth="true" hidden="false" outlineLevel="0" max="3" min="3" style="411" width="3"/>
    <col collapsed="false" customWidth="true" hidden="false" outlineLevel="0" max="4" min="4" style="42" width="6"/>
    <col collapsed="false" customWidth="true" hidden="false" outlineLevel="0" max="5" min="5" style="42" width="53"/>
    <col collapsed="false" customWidth="true" hidden="false" outlineLevel="0" max="7" min="6" style="42" width="35"/>
    <col collapsed="false" customWidth="true" hidden="false" outlineLevel="0" max="8" min="8" style="42" width="89"/>
    <col collapsed="false" customWidth="true" hidden="false" outlineLevel="0" max="9" min="9" style="42" width="10"/>
    <col collapsed="false" customWidth="true" hidden="false" outlineLevel="0" max="11" min="10" style="118" width="10"/>
    <col collapsed="false" customWidth="true" hidden="false" outlineLevel="0" max="17" min="12" style="42" width="10"/>
    <col collapsed="false" customWidth="false" hidden="true" outlineLevel="0" max="18" min="18" style="42" width="10.57"/>
  </cols>
  <sheetData>
    <row r="1" customFormat="false" ht="22.5" hidden="true" customHeight="true" outlineLevel="0" collapsed="false">
      <c r="N1" s="720"/>
      <c r="O1" s="720"/>
      <c r="Q1" s="720"/>
      <c r="R1" s="42" t="s">
        <v>14</v>
      </c>
    </row>
    <row r="2" s="42" customFormat="true" ht="18.75" hidden="true" customHeight="true" outlineLevel="0" collapsed="false">
      <c r="A2" s="132"/>
      <c r="B2" s="45"/>
      <c r="C2" s="721" t="s">
        <v>103</v>
      </c>
      <c r="D2" s="295"/>
      <c r="E2" s="330"/>
      <c r="F2" s="923"/>
      <c r="G2" s="403"/>
      <c r="I2" s="118"/>
      <c r="J2" s="118"/>
      <c r="R2" s="42" t="n">
        <v>0</v>
      </c>
    </row>
    <row r="3" customFormat="false" ht="14.25" hidden="true" customHeight="true" outlineLevel="0" collapsed="false">
      <c r="R3" s="42" t="n">
        <v>0</v>
      </c>
    </row>
    <row r="4" customFormat="false" ht="6" hidden="false" customHeight="true" outlineLevel="0" collapsed="false">
      <c r="C4" s="464"/>
      <c r="D4" s="80"/>
      <c r="E4" s="80"/>
      <c r="F4" s="80"/>
      <c r="G4" s="723"/>
      <c r="H4" s="723"/>
      <c r="R4" s="42" t="n">
        <v>6</v>
      </c>
    </row>
    <row r="5" customFormat="false" ht="34.5" hidden="false" customHeight="true" outlineLevel="0" collapsed="false">
      <c r="C5" s="464"/>
      <c r="D5" s="386" t="str">
        <f aca="false">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386"/>
      <c r="F5" s="386"/>
      <c r="G5" s="386"/>
      <c r="H5" s="221"/>
      <c r="R5" s="42" t="n">
        <v>33</v>
      </c>
    </row>
    <row r="6" s="42" customFormat="true" ht="18" hidden="false" customHeight="true" outlineLevel="0" collapsed="false">
      <c r="A6" s="50"/>
      <c r="B6" s="45"/>
      <c r="C6" s="464"/>
      <c r="D6" s="261" t="str">
        <f aca="false">IF(org=0,"Не определено",org)</f>
        <v>ООО "Газпром теплоэнерго Ярославль"</v>
      </c>
      <c r="E6" s="261"/>
      <c r="F6" s="261"/>
      <c r="G6" s="261"/>
      <c r="H6" s="221"/>
      <c r="J6" s="118"/>
      <c r="K6" s="118"/>
      <c r="R6" s="42" t="n">
        <v>17</v>
      </c>
    </row>
    <row r="7" customFormat="false" ht="14.25" hidden="false" customHeight="true" outlineLevel="0" collapsed="false">
      <c r="C7" s="464"/>
      <c r="D7" s="80"/>
      <c r="E7" s="72"/>
      <c r="F7" s="72"/>
      <c r="G7" s="292"/>
      <c r="H7" s="724"/>
      <c r="R7" s="42" t="n">
        <v>14</v>
      </c>
    </row>
    <row r="8" customFormat="false" ht="14.25" hidden="false" customHeight="true" outlineLevel="0" collapsed="false">
      <c r="C8" s="464"/>
      <c r="D8" s="391" t="s">
        <v>313</v>
      </c>
      <c r="E8" s="391"/>
      <c r="F8" s="391"/>
      <c r="G8" s="391"/>
      <c r="H8" s="725" t="s">
        <v>314</v>
      </c>
      <c r="R8" s="42" t="n">
        <v>14</v>
      </c>
    </row>
    <row r="9" customFormat="false" ht="24" hidden="false" customHeight="true" outlineLevel="0" collapsed="false">
      <c r="C9" s="464"/>
      <c r="D9" s="391" t="s">
        <v>87</v>
      </c>
      <c r="E9" s="185" t="s">
        <v>315</v>
      </c>
      <c r="F9" s="185" t="s">
        <v>316</v>
      </c>
      <c r="G9" s="185" t="s">
        <v>403</v>
      </c>
      <c r="H9" s="725"/>
      <c r="R9" s="42" t="n">
        <v>23</v>
      </c>
    </row>
    <row r="10" customFormat="false" ht="14.25" hidden="false" customHeight="true" outlineLevel="0" collapsed="false">
      <c r="A10" s="132"/>
      <c r="C10" s="464"/>
      <c r="D10" s="295" t="s">
        <v>120</v>
      </c>
      <c r="E10" s="376" t="str">
        <f aca="false">"Сведения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923"/>
      <c r="G10" s="403"/>
      <c r="H10" s="947" t="s">
        <v>1325</v>
      </c>
      <c r="R10" s="42" t="n">
        <v>14</v>
      </c>
    </row>
    <row r="11" customFormat="false" ht="14.25" hidden="false" customHeight="true" outlineLevel="0" collapsed="false">
      <c r="A11" s="132"/>
      <c r="C11" s="464"/>
      <c r="D11" s="295" t="s">
        <v>102</v>
      </c>
      <c r="E11" s="376" t="str">
        <f aca="false">"Сведения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923"/>
      <c r="G11" s="403"/>
      <c r="H11" s="947"/>
      <c r="R11" s="42" t="n">
        <v>14</v>
      </c>
    </row>
    <row r="12" customFormat="false" ht="14.25" hidden="false" customHeight="true" outlineLevel="0" collapsed="false">
      <c r="A12" s="132"/>
      <c r="C12" s="329"/>
      <c r="D12" s="295" t="s">
        <v>89</v>
      </c>
      <c r="E12" s="726" t="str">
        <f aca="false">"Сведения о планировании закупочных процедур"&amp;IF(TEMPLATE_SPHERE="TKO"," &lt;1&gt;","")</f>
        <v>Сведения о планировании закупочных процедур</v>
      </c>
      <c r="F12" s="923"/>
      <c r="G12" s="403"/>
      <c r="H12" s="948" t="str">
        <f aca="false">"В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118"/>
      <c r="K12" s="42"/>
      <c r="R12" s="42" t="n">
        <v>14</v>
      </c>
    </row>
    <row r="13" customFormat="false" ht="14.25" hidden="false" customHeight="true" outlineLevel="0" collapsed="false">
      <c r="A13" s="132"/>
      <c r="C13" s="329"/>
      <c r="D13" s="295" t="s">
        <v>90</v>
      </c>
      <c r="E13" s="942" t="str">
        <f aca="false">"Сведения о результатах проведения закупочных процедур"&amp;IF(TEMPLATE_SPHERE="TKO"," &lt;1&gt;","")</f>
        <v>Сведения о результатах проведения закупочных процедур</v>
      </c>
      <c r="F13" s="923"/>
      <c r="G13" s="403"/>
      <c r="H13" s="948"/>
      <c r="I13" s="118"/>
      <c r="K13" s="42"/>
      <c r="R13" s="42" t="n">
        <v>14</v>
      </c>
    </row>
    <row r="14" customFormat="false" ht="14.25" hidden="false" customHeight="true" outlineLevel="0" collapsed="false">
      <c r="A14" s="132"/>
      <c r="C14" s="464"/>
      <c r="D14" s="727"/>
      <c r="E14" s="168" t="s">
        <v>335</v>
      </c>
      <c r="F14" s="219"/>
      <c r="G14" s="728"/>
      <c r="H14" s="948"/>
      <c r="R14" s="42" t="n">
        <v>14</v>
      </c>
    </row>
    <row r="15" s="42" customFormat="true" ht="14.25" hidden="false" customHeight="true" outlineLevel="0" collapsed="false">
      <c r="A15" s="132"/>
      <c r="B15" s="45"/>
      <c r="C15" s="464"/>
      <c r="D15" s="670"/>
      <c r="E15" s="729"/>
      <c r="F15" s="730"/>
      <c r="G15" s="731"/>
      <c r="H15" s="949"/>
      <c r="J15" s="118"/>
      <c r="K15" s="118"/>
      <c r="R15" s="42" t="n">
        <v>14</v>
      </c>
    </row>
    <row r="16" customFormat="false" ht="14.25" hidden="false" customHeight="true" outlineLevel="0" collapsed="false">
      <c r="D16" s="409"/>
      <c r="E16" s="488"/>
      <c r="F16" s="488"/>
      <c r="G16" s="488"/>
      <c r="H16" s="488"/>
      <c r="R16" s="42" t="n">
        <v>14</v>
      </c>
    </row>
    <row r="17" customFormat="false" ht="22.5" hidden="true" customHeight="true" outlineLevel="0" collapsed="false">
      <c r="A17" s="50" t="s">
        <v>81</v>
      </c>
      <c r="B17" s="45" t="n">
        <v>0</v>
      </c>
      <c r="C17" s="411" t="n">
        <v>3</v>
      </c>
      <c r="D17" s="42" t="n">
        <v>6</v>
      </c>
      <c r="E17" s="42" t="n">
        <v>53</v>
      </c>
      <c r="F17" s="42" t="n">
        <v>35</v>
      </c>
      <c r="G17" s="42" t="n">
        <v>35</v>
      </c>
      <c r="H17" s="42" t="n">
        <v>89</v>
      </c>
      <c r="I17" s="42" t="n">
        <v>10</v>
      </c>
      <c r="J17" s="118" t="n">
        <v>10</v>
      </c>
      <c r="K17" s="118" t="n">
        <v>10</v>
      </c>
      <c r="L17" s="42" t="n">
        <v>10</v>
      </c>
      <c r="M17" s="42" t="n">
        <v>10</v>
      </c>
      <c r="N17" s="42" t="n">
        <v>10</v>
      </c>
      <c r="O17" s="42" t="n">
        <v>10</v>
      </c>
      <c r="P17" s="42" t="n">
        <v>10</v>
      </c>
      <c r="Q17" s="42" t="n">
        <v>10</v>
      </c>
      <c r="R17" s="42" t="n">
        <v>23</v>
      </c>
    </row>
  </sheetData>
  <mergeCells count="7">
    <mergeCell ref="D5:G5"/>
    <mergeCell ref="D6:G6"/>
    <mergeCell ref="D8:G8"/>
    <mergeCell ref="H8:H9"/>
    <mergeCell ref="H10:H11"/>
    <mergeCell ref="H12:H14"/>
    <mergeCell ref="E16:H16"/>
  </mergeCells>
  <dataValidations count="2">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false" showErrorMessage="true" showInputMessage="true" sqref="G2 G10:G13"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E2:F2 F10:F13 H10 E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AB3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O8" activeCellId="0" sqref="O8"/>
    </sheetView>
  </sheetViews>
  <sheetFormatPr defaultColWidth="10.57421875" defaultRowHeight="15" zeroHeight="false" outlineLevelRow="0" outlineLevelCol="0"/>
  <cols>
    <col collapsed="false" customWidth="true" hidden="true" outlineLevel="0" max="1" min="1" style="45" width="9.14"/>
    <col collapsed="false" customWidth="true" hidden="true" outlineLevel="0" max="2" min="2" style="42" width="9.14"/>
    <col collapsed="false" customWidth="true" hidden="false" outlineLevel="0" max="3" min="3" style="138" width="4"/>
    <col collapsed="false" customWidth="true" hidden="false" outlineLevel="0" max="4" min="4" style="42" width="6"/>
    <col collapsed="false" customWidth="true" hidden="false" outlineLevel="0" max="5" min="5" style="42" width="47"/>
    <col collapsed="false" customWidth="true" hidden="false" outlineLevel="0" max="6" min="6" style="42" width="9"/>
    <col collapsed="false" customWidth="true" hidden="true" outlineLevel="0" max="7" min="7" style="42" width="25.71"/>
    <col collapsed="false" customWidth="true" hidden="true" outlineLevel="0" max="8" min="8" style="42" width="34"/>
    <col collapsed="false" customWidth="true" hidden="false" outlineLevel="0" max="9" min="9" style="42" width="25.71"/>
    <col collapsed="false" customWidth="true" hidden="false" outlineLevel="0" max="10" min="10" style="42" width="33"/>
    <col collapsed="false" customWidth="true" hidden="false" outlineLevel="0" max="11" min="11" style="42" width="25.71"/>
    <col collapsed="false" customWidth="true" hidden="false" outlineLevel="0" max="12" min="12" style="42" width="34"/>
    <col collapsed="false" customWidth="true" hidden="false" outlineLevel="0" max="13" min="13" style="42" width="25.71"/>
    <col collapsed="false" customWidth="true" hidden="false" outlineLevel="0" max="14" min="14" style="42" width="34"/>
    <col collapsed="false" customWidth="true" hidden="false" outlineLevel="0" max="15" min="15" style="42" width="25.71"/>
    <col collapsed="false" customWidth="true" hidden="false" outlineLevel="0" max="16" min="16" style="42" width="34"/>
    <col collapsed="false" customWidth="true" hidden="false" outlineLevel="0" max="17" min="17" style="45" width="50"/>
    <col collapsed="false" customWidth="true" hidden="false" outlineLevel="0" max="26" min="18" style="42" width="10"/>
    <col collapsed="false" customWidth="true" hidden="false" outlineLevel="0" max="27" min="27" style="103" width="10"/>
    <col collapsed="false" customWidth="false" hidden="true" outlineLevel="0" max="28" min="28" style="42" width="10.57"/>
  </cols>
  <sheetData>
    <row r="1" s="45" customFormat="true" ht="22.5" hidden="true" customHeight="true" outlineLevel="0" collapsed="false">
      <c r="C1" s="44"/>
      <c r="G1" s="45" t="n">
        <v>4</v>
      </c>
      <c r="I1" s="45" t="n">
        <v>4</v>
      </c>
      <c r="K1" s="45" t="n">
        <v>4</v>
      </c>
      <c r="M1" s="45" t="n">
        <v>4</v>
      </c>
      <c r="O1" s="45" t="n">
        <v>4</v>
      </c>
      <c r="AA1" s="155"/>
      <c r="AB1" s="45" t="s">
        <v>14</v>
      </c>
    </row>
    <row r="2" s="42" customFormat="true" ht="15" hidden="true" customHeight="true" outlineLevel="0" collapsed="false">
      <c r="A2" s="45"/>
      <c r="C2" s="138"/>
      <c r="D2" s="114"/>
      <c r="E2" s="275"/>
      <c r="F2" s="43"/>
      <c r="G2" s="131"/>
      <c r="H2" s="131"/>
      <c r="I2" s="131"/>
      <c r="J2" s="131"/>
      <c r="K2" s="131"/>
      <c r="L2" s="131"/>
      <c r="M2" s="131"/>
      <c r="N2" s="131"/>
      <c r="O2" s="131"/>
      <c r="P2" s="131"/>
      <c r="AA2" s="103"/>
      <c r="AB2" s="42" t="n">
        <v>0</v>
      </c>
    </row>
    <row r="3" s="45" customFormat="true" ht="15" hidden="true" customHeight="true" outlineLevel="0" collapsed="false">
      <c r="C3" s="44"/>
      <c r="AA3" s="155"/>
      <c r="AB3" s="45" t="n">
        <v>0</v>
      </c>
    </row>
    <row r="4" customFormat="false" ht="15.75" hidden="false" customHeight="true" outlineLevel="0" collapsed="false">
      <c r="AB4" s="42" t="n">
        <v>15</v>
      </c>
    </row>
    <row r="5" customFormat="false" ht="66" hidden="false" customHeight="true" outlineLevel="0" collapsed="false">
      <c r="D5" s="220" t="s">
        <v>1326</v>
      </c>
      <c r="E5" s="220"/>
      <c r="F5" s="220"/>
      <c r="G5" s="220"/>
      <c r="H5" s="220"/>
      <c r="I5" s="220"/>
      <c r="J5" s="220"/>
      <c r="K5" s="386"/>
      <c r="L5" s="386"/>
      <c r="M5" s="386"/>
      <c r="N5" s="386"/>
      <c r="O5" s="386"/>
      <c r="P5" s="386"/>
      <c r="AB5" s="42" t="n">
        <v>63</v>
      </c>
    </row>
    <row r="6" customFormat="false" ht="15.75" hidden="false" customHeight="true" outlineLevel="0" collapsed="false">
      <c r="D6" s="261" t="str">
        <f aca="false">IF(org=0,"Не определено",org)</f>
        <v>ООО "Газпром теплоэнерго Ярославль"</v>
      </c>
      <c r="E6" s="261"/>
      <c r="F6" s="261"/>
      <c r="G6" s="261"/>
      <c r="H6" s="261"/>
      <c r="I6" s="261"/>
      <c r="J6" s="261"/>
      <c r="K6" s="611"/>
      <c r="L6" s="611"/>
      <c r="M6" s="611"/>
      <c r="N6" s="611"/>
      <c r="O6" s="611"/>
      <c r="P6" s="611"/>
      <c r="AB6" s="42" t="n">
        <v>15</v>
      </c>
    </row>
    <row r="7" customFormat="false" ht="15.75" hidden="false" customHeight="true" outlineLevel="0" collapsed="false">
      <c r="D7" s="292"/>
      <c r="G7" s="45" t="n">
        <v>22</v>
      </c>
      <c r="I7" s="45" t="n">
        <v>1</v>
      </c>
      <c r="J7" s="292"/>
      <c r="K7" s="45"/>
      <c r="M7" s="45"/>
      <c r="O7" s="45"/>
      <c r="AB7" s="42" t="n">
        <v>15</v>
      </c>
    </row>
    <row r="8" s="42" customFormat="true" ht="0.75" hidden="false" customHeight="true" outlineLevel="0" collapsed="false">
      <c r="A8" s="45"/>
      <c r="C8" s="138"/>
      <c r="G8" s="45"/>
      <c r="H8" s="292"/>
      <c r="I8" s="45" t="s">
        <v>127</v>
      </c>
      <c r="J8" s="292"/>
      <c r="K8" s="45" t="s">
        <v>131</v>
      </c>
      <c r="L8" s="292"/>
      <c r="M8" s="45" t="s">
        <v>132</v>
      </c>
      <c r="N8" s="292"/>
      <c r="O8" s="45" t="s">
        <v>134</v>
      </c>
      <c r="P8" s="292"/>
      <c r="Q8" s="45"/>
      <c r="AA8" s="103"/>
      <c r="AB8" s="42" t="n">
        <v>1</v>
      </c>
    </row>
    <row r="9" customFormat="false" ht="15.75" hidden="false" customHeight="true" outlineLevel="0" collapsed="false">
      <c r="D9" s="614"/>
      <c r="E9" s="615" t="s">
        <v>116</v>
      </c>
      <c r="F9" s="615"/>
      <c r="G9" s="777" t="str">
        <f aca="false">IF(G8="","",INDEX(DIFFERENTIATION_UNMERGE_VD,MATCH(G8,DIFFERENTIATION_ID_DIFF,0)))</f>
        <v/>
      </c>
      <c r="H9" s="777"/>
      <c r="I9" s="777" t="str">
        <f aca="false">IF(I8="","",INDEX(DIFFERENTIATION_UNMERGE_VD,MATCH(I8,DIFFERENTIATION_ID_DIFF,0)))</f>
        <v>Производство тепловой энергии. Некомбинированная выработка</v>
      </c>
      <c r="J9" s="777"/>
      <c r="K9" s="777" t="str">
        <f aca="false">IF(K8="","",INDEX(DIFFERENTIATION_UNMERGE_VD,MATCH(K8,DIFFERENTIATION_ID_DIFF,0)))</f>
        <v>Производство тепловой энергии. Некомбинированная выработка</v>
      </c>
      <c r="L9" s="777"/>
      <c r="M9" s="777" t="str">
        <f aca="false">IF(M8="","",INDEX(DIFFERENTIATION_UNMERGE_VD,MATCH(M8,DIFFERENTIATION_ID_DIFF,0)))</f>
        <v>Производство тепловой энергии. Некомбинированная выработка</v>
      </c>
      <c r="N9" s="777"/>
      <c r="O9" s="777" t="str">
        <f aca="false">IF(O8="","",INDEX(DIFFERENTIATION_UNMERGE_VD,MATCH(O8,DIFFERENTIATION_ID_DIFF,0)))</f>
        <v>Производство. Теплоноситель</v>
      </c>
      <c r="P9" s="777"/>
      <c r="Q9" s="134" t="s">
        <v>314</v>
      </c>
      <c r="AB9" s="42" t="n">
        <v>15</v>
      </c>
    </row>
    <row r="10" s="42" customFormat="true" ht="15.75" hidden="false" customHeight="true" outlineLevel="0" collapsed="false">
      <c r="A10" s="45"/>
      <c r="C10" s="138"/>
      <c r="D10" s="614"/>
      <c r="E10" s="615" t="s">
        <v>577</v>
      </c>
      <c r="F10" s="615"/>
      <c r="G10" s="777" t="str">
        <f aca="false">IF(G8="","",INDEX(DIFFERENTIATION_UNMERGE_AREA,MATCH(G8,DIFFERENTIATION_ID_DIFF,0)))</f>
        <v/>
      </c>
      <c r="H10" s="777"/>
      <c r="I10" s="777" t="str">
        <f aca="false">IF(I8="","",INDEX(DIFFERENTIATION_UNMERGE_AREA,MATCH(I8,DIFFERENTIATION_ID_DIFF,0)))</f>
        <v>Территория 1</v>
      </c>
      <c r="J10" s="777"/>
      <c r="K10" s="777" t="str">
        <f aca="false">IF(K8="","",INDEX(DIFFERENTIATION_UNMERGE_AREA,MATCH(K8,DIFFERENTIATION_ID_DIFF,0)))</f>
        <v>Территория 2</v>
      </c>
      <c r="L10" s="777"/>
      <c r="M10" s="777" t="str">
        <f aca="false">IF(M8="","",INDEX(DIFFERENTIATION_UNMERGE_AREA,MATCH(M8,DIFFERENTIATION_ID_DIFF,0)))</f>
        <v>Территория 3</v>
      </c>
      <c r="N10" s="777"/>
      <c r="O10" s="777" t="str">
        <f aca="false">IF(O8="","",INDEX(DIFFERENTIATION_UNMERGE_AREA,MATCH(O8,DIFFERENTIATION_ID_DIFF,0)))</f>
        <v>Территория 1</v>
      </c>
      <c r="P10" s="777"/>
      <c r="Q10" s="134"/>
      <c r="AA10" s="103"/>
      <c r="AB10" s="42" t="n">
        <v>15</v>
      </c>
    </row>
    <row r="11" s="42" customFormat="true" ht="15.75" hidden="false" customHeight="true" outlineLevel="0" collapsed="false">
      <c r="A11" s="45"/>
      <c r="C11" s="138"/>
      <c r="D11" s="614"/>
      <c r="E11" s="615" t="s">
        <v>578</v>
      </c>
      <c r="F11" s="615"/>
      <c r="G11" s="777" t="str">
        <f aca="false">IF(G8="","",INDEX(DIFFERENTIATION_UNMERGE_SYSTEM,MATCH(G8,DIFFERENTIATION_ID_DIFF,0)))</f>
        <v/>
      </c>
      <c r="H11" s="777"/>
      <c r="I11" s="777" t="str">
        <f aca="false">IF(I8="","",INDEX(DIFFERENTIATION_UNMERGE_SYSTEM,MATCH(I8,DIFFERENTIATION_ID_DIFF,0)))</f>
        <v>без дифференциации</v>
      </c>
      <c r="J11" s="777"/>
      <c r="K11" s="777" t="str">
        <f aca="false">IF(K8="","",INDEX(DIFFERENTIATION_UNMERGE_SYSTEM,MATCH(K8,DIFFERENTIATION_ID_DIFF,0)))</f>
        <v>без дифференциации</v>
      </c>
      <c r="L11" s="777"/>
      <c r="M11" s="777" t="str">
        <f aca="false">IF(M8="","",INDEX(DIFFERENTIATION_UNMERGE_SYSTEM,MATCH(M8,DIFFERENTIATION_ID_DIFF,0)))</f>
        <v>без дифференциации</v>
      </c>
      <c r="N11" s="777"/>
      <c r="O11" s="777" t="str">
        <f aca="false">IF(O8="","",INDEX(DIFFERENTIATION_UNMERGE_SYSTEM,MATCH(O8,DIFFERENTIATION_ID_DIFF,0)))</f>
        <v>без дифференциации</v>
      </c>
      <c r="P11" s="777"/>
      <c r="Q11" s="134"/>
      <c r="AA11" s="103"/>
      <c r="AB11" s="42" t="n">
        <v>15</v>
      </c>
    </row>
    <row r="12" s="42" customFormat="true" ht="15.75" hidden="false" customHeight="true" outlineLevel="0" collapsed="false">
      <c r="A12" s="45"/>
      <c r="C12" s="138"/>
      <c r="D12" s="617" t="s">
        <v>313</v>
      </c>
      <c r="E12" s="617"/>
      <c r="F12" s="617"/>
      <c r="G12" s="618"/>
      <c r="H12" s="618"/>
      <c r="I12" s="618"/>
      <c r="J12" s="618"/>
      <c r="K12" s="618"/>
      <c r="L12" s="618"/>
      <c r="M12" s="618"/>
      <c r="N12" s="618"/>
      <c r="O12" s="618"/>
      <c r="P12" s="618"/>
      <c r="Q12" s="134"/>
      <c r="AA12" s="103"/>
      <c r="AB12" s="42" t="n">
        <v>15</v>
      </c>
    </row>
    <row r="13" customFormat="false" ht="35.25" hidden="false" customHeight="true" outlineLevel="0" collapsed="false">
      <c r="D13" s="146" t="s">
        <v>87</v>
      </c>
      <c r="E13" s="134" t="s">
        <v>315</v>
      </c>
      <c r="F13" s="146" t="s">
        <v>579</v>
      </c>
      <c r="G13" s="265" t="s">
        <v>316</v>
      </c>
      <c r="H13" s="146" t="s">
        <v>403</v>
      </c>
      <c r="I13" s="265" t="s">
        <v>316</v>
      </c>
      <c r="J13" s="146" t="s">
        <v>403</v>
      </c>
      <c r="K13" s="265" t="s">
        <v>316</v>
      </c>
      <c r="L13" s="146" t="s">
        <v>403</v>
      </c>
      <c r="M13" s="265" t="s">
        <v>316</v>
      </c>
      <c r="N13" s="146" t="s">
        <v>403</v>
      </c>
      <c r="O13" s="265" t="s">
        <v>316</v>
      </c>
      <c r="P13" s="146" t="s">
        <v>403</v>
      </c>
      <c r="Q13" s="134"/>
      <c r="AB13" s="42" t="n">
        <v>34</v>
      </c>
    </row>
    <row r="14" customFormat="false" ht="15" hidden="true" customHeight="true" outlineLevel="0" collapsed="false">
      <c r="D14" s="189" t="s">
        <v>120</v>
      </c>
      <c r="E14" s="189" t="s">
        <v>102</v>
      </c>
      <c r="F14" s="189" t="s">
        <v>89</v>
      </c>
      <c r="G14" s="138" t="str">
        <f aca="false">G1&amp;".1"</f>
        <v>4.1</v>
      </c>
      <c r="H14" s="138"/>
      <c r="I14" s="138" t="str">
        <f aca="false">I1&amp;".1"</f>
        <v>4.1</v>
      </c>
      <c r="J14" s="138"/>
      <c r="K14" s="138" t="str">
        <f aca="false">K1&amp;".1"</f>
        <v>4.1</v>
      </c>
      <c r="L14" s="138"/>
      <c r="M14" s="138" t="str">
        <f aca="false">M1&amp;".1"</f>
        <v>4.1</v>
      </c>
      <c r="N14" s="138"/>
      <c r="O14" s="138" t="str">
        <f aca="false">O1&amp;".1"</f>
        <v>4.1</v>
      </c>
      <c r="P14" s="138"/>
      <c r="Q14" s="417"/>
      <c r="AB14" s="42" t="n">
        <v>0</v>
      </c>
    </row>
    <row r="15" customFormat="false" ht="22.5" hidden="true" customHeight="true" outlineLevel="0" collapsed="false">
      <c r="A15" s="42"/>
      <c r="C15" s="117"/>
      <c r="D15" s="146" t="n">
        <v>1</v>
      </c>
      <c r="E15" s="283" t="s">
        <v>839</v>
      </c>
      <c r="F15" s="146" t="s">
        <v>840</v>
      </c>
      <c r="G15" s="950"/>
      <c r="H15" s="950"/>
      <c r="I15" s="950"/>
      <c r="J15" s="950"/>
      <c r="K15" s="950"/>
      <c r="L15" s="950"/>
      <c r="M15" s="950"/>
      <c r="N15" s="950"/>
      <c r="O15" s="950"/>
      <c r="P15" s="950"/>
      <c r="Q15" s="417" t="s">
        <v>841</v>
      </c>
      <c r="AB15" s="42" t="n">
        <v>0</v>
      </c>
    </row>
    <row r="16" customFormat="false" ht="22.5" hidden="true" customHeight="true" outlineLevel="0" collapsed="false">
      <c r="A16" s="42"/>
      <c r="C16" s="117"/>
      <c r="D16" s="146" t="n">
        <v>2</v>
      </c>
      <c r="E16" s="619" t="s">
        <v>842</v>
      </c>
      <c r="F16" s="146" t="s">
        <v>843</v>
      </c>
      <c r="G16" s="950"/>
      <c r="H16" s="950"/>
      <c r="I16" s="950"/>
      <c r="J16" s="950"/>
      <c r="K16" s="950"/>
      <c r="L16" s="950"/>
      <c r="M16" s="950"/>
      <c r="N16" s="950"/>
      <c r="O16" s="950"/>
      <c r="P16" s="950"/>
      <c r="Q16" s="417" t="s">
        <v>844</v>
      </c>
      <c r="AB16" s="42" t="n">
        <v>0</v>
      </c>
    </row>
    <row r="17" customFormat="false" ht="123.75" hidden="true" customHeight="true" outlineLevel="0" collapsed="false">
      <c r="A17" s="42"/>
      <c r="C17" s="117"/>
      <c r="D17" s="146" t="n">
        <v>3</v>
      </c>
      <c r="E17" s="619" t="s">
        <v>1327</v>
      </c>
      <c r="F17" s="146" t="s">
        <v>319</v>
      </c>
      <c r="G17" s="950"/>
      <c r="H17" s="950"/>
      <c r="I17" s="950"/>
      <c r="J17" s="950"/>
      <c r="K17" s="950"/>
      <c r="L17" s="950"/>
      <c r="M17" s="950"/>
      <c r="N17" s="950"/>
      <c r="O17" s="950"/>
      <c r="P17" s="950"/>
      <c r="Q17" s="417" t="s">
        <v>1328</v>
      </c>
      <c r="AB17" s="42" t="n">
        <v>0</v>
      </c>
    </row>
    <row r="18" customFormat="false" ht="48" hidden="false" customHeight="true" outlineLevel="0" collapsed="false">
      <c r="A18" s="42"/>
      <c r="C18" s="117"/>
      <c r="D18" s="146" t="n">
        <v>3</v>
      </c>
      <c r="E18" s="619" t="s">
        <v>845</v>
      </c>
      <c r="F18" s="146" t="s">
        <v>319</v>
      </c>
      <c r="G18" s="146" t="s">
        <v>319</v>
      </c>
      <c r="H18" s="262" t="s">
        <v>319</v>
      </c>
      <c r="I18" s="146" t="s">
        <v>319</v>
      </c>
      <c r="J18" s="262" t="s">
        <v>319</v>
      </c>
      <c r="K18" s="146" t="s">
        <v>319</v>
      </c>
      <c r="L18" s="262" t="s">
        <v>319</v>
      </c>
      <c r="M18" s="146" t="s">
        <v>319</v>
      </c>
      <c r="N18" s="262" t="s">
        <v>319</v>
      </c>
      <c r="O18" s="146" t="s">
        <v>319</v>
      </c>
      <c r="P18" s="262" t="s">
        <v>319</v>
      </c>
      <c r="Q18" s="417" t="s">
        <v>1329</v>
      </c>
      <c r="AB18" s="42" t="n">
        <v>46</v>
      </c>
    </row>
    <row r="19" customFormat="false" ht="35.25" hidden="false" customHeight="true" outlineLevel="0" collapsed="false">
      <c r="A19" s="42"/>
      <c r="C19" s="117"/>
      <c r="D19" s="198" t="s">
        <v>337</v>
      </c>
      <c r="E19" s="568" t="s">
        <v>847</v>
      </c>
      <c r="F19" s="146" t="s">
        <v>848</v>
      </c>
      <c r="G19" s="743"/>
      <c r="H19" s="334"/>
      <c r="I19" s="743"/>
      <c r="J19" s="668"/>
      <c r="K19" s="743"/>
      <c r="L19" s="334"/>
      <c r="M19" s="743"/>
      <c r="N19" s="334"/>
      <c r="O19" s="743"/>
      <c r="P19" s="334"/>
      <c r="Q19" s="780"/>
      <c r="AB19" s="42" t="n">
        <v>34</v>
      </c>
    </row>
    <row r="20" customFormat="false" ht="35.25" hidden="false" customHeight="true" outlineLevel="0" collapsed="false">
      <c r="A20" s="42"/>
      <c r="C20" s="117"/>
      <c r="D20" s="198" t="s">
        <v>345</v>
      </c>
      <c r="E20" s="568" t="s">
        <v>849</v>
      </c>
      <c r="F20" s="146" t="s">
        <v>850</v>
      </c>
      <c r="G20" s="743"/>
      <c r="H20" s="334"/>
      <c r="I20" s="743"/>
      <c r="J20" s="334"/>
      <c r="K20" s="743"/>
      <c r="L20" s="334"/>
      <c r="M20" s="743"/>
      <c r="N20" s="334"/>
      <c r="O20" s="743"/>
      <c r="P20" s="334"/>
      <c r="Q20" s="780"/>
      <c r="AB20" s="42" t="n">
        <v>34</v>
      </c>
    </row>
    <row r="21" customFormat="false" ht="48" hidden="false" customHeight="true" outlineLevel="0" collapsed="false">
      <c r="A21" s="42"/>
      <c r="C21" s="117"/>
      <c r="D21" s="198" t="s">
        <v>347</v>
      </c>
      <c r="E21" s="568" t="s">
        <v>851</v>
      </c>
      <c r="F21" s="146" t="s">
        <v>587</v>
      </c>
      <c r="G21" s="744"/>
      <c r="H21" s="334"/>
      <c r="I21" s="744"/>
      <c r="J21" s="334"/>
      <c r="K21" s="744"/>
      <c r="L21" s="334"/>
      <c r="M21" s="744"/>
      <c r="N21" s="334"/>
      <c r="O21" s="744"/>
      <c r="P21" s="334"/>
      <c r="Q21" s="780"/>
      <c r="AB21" s="42" t="n">
        <v>46</v>
      </c>
    </row>
    <row r="22" customFormat="false" ht="67.5" hidden="true" customHeight="true" outlineLevel="0" collapsed="false">
      <c r="A22" s="42"/>
      <c r="C22" s="117"/>
      <c r="D22" s="146" t="n">
        <v>5</v>
      </c>
      <c r="E22" s="619" t="s">
        <v>1330</v>
      </c>
      <c r="F22" s="146" t="s">
        <v>571</v>
      </c>
      <c r="G22" s="951"/>
      <c r="H22" s="576"/>
      <c r="I22" s="951"/>
      <c r="J22" s="576"/>
      <c r="K22" s="951"/>
      <c r="L22" s="576"/>
      <c r="M22" s="951"/>
      <c r="N22" s="576"/>
      <c r="O22" s="951"/>
      <c r="P22" s="576"/>
      <c r="Q22" s="417" t="s">
        <v>1331</v>
      </c>
      <c r="AB22" s="42" t="n">
        <v>0</v>
      </c>
    </row>
    <row r="23" customFormat="false" ht="33.75" hidden="true" customHeight="true" outlineLevel="0" collapsed="false">
      <c r="C23" s="117"/>
      <c r="D23" s="146" t="n">
        <v>6</v>
      </c>
      <c r="E23" s="619" t="s">
        <v>1332</v>
      </c>
      <c r="F23" s="146" t="s">
        <v>1333</v>
      </c>
      <c r="G23" s="951"/>
      <c r="H23" s="951"/>
      <c r="I23" s="951"/>
      <c r="J23" s="951"/>
      <c r="K23" s="951"/>
      <c r="L23" s="951"/>
      <c r="M23" s="951"/>
      <c r="N23" s="951"/>
      <c r="O23" s="951"/>
      <c r="P23" s="951"/>
      <c r="Q23" s="417" t="s">
        <v>1334</v>
      </c>
      <c r="AB23" s="42" t="n">
        <v>0</v>
      </c>
    </row>
    <row r="24" customFormat="false" ht="15.75" hidden="false" customHeight="true" outlineLevel="0" collapsed="false">
      <c r="AB24" s="42" t="n">
        <v>15</v>
      </c>
    </row>
    <row r="25" customFormat="false" ht="15.75" hidden="false" customHeight="true" outlineLevel="0" collapsed="false">
      <c r="AB25" s="42" t="n">
        <v>15</v>
      </c>
    </row>
    <row r="26" customFormat="false" ht="15.75" hidden="false" customHeight="true" outlineLevel="0" collapsed="false">
      <c r="AB26" s="42" t="n">
        <v>15</v>
      </c>
    </row>
    <row r="27" customFormat="false" ht="15.75" hidden="false" customHeight="true" outlineLevel="0" collapsed="false">
      <c r="AB27" s="42" t="n">
        <v>15</v>
      </c>
    </row>
    <row r="28" customFormat="false" ht="15.75" hidden="false" customHeight="true" outlineLevel="0" collapsed="false">
      <c r="AB28" s="42" t="n">
        <v>15</v>
      </c>
    </row>
    <row r="29" customFormat="false" ht="15.75" hidden="false" customHeight="true" outlineLevel="0" collapsed="false">
      <c r="J29" s="952"/>
      <c r="AB29" s="42" t="n">
        <v>15</v>
      </c>
    </row>
    <row r="30" customFormat="false" ht="22.5" hidden="true" customHeight="true" outlineLevel="0" collapsed="false">
      <c r="A30" s="45" t="s">
        <v>81</v>
      </c>
      <c r="B30" s="42" t="n">
        <v>0</v>
      </c>
      <c r="C30" s="138" t="n">
        <v>4</v>
      </c>
      <c r="D30" s="42" t="n">
        <v>6</v>
      </c>
      <c r="E30" s="42" t="n">
        <v>47</v>
      </c>
      <c r="F30" s="42" t="n">
        <v>9</v>
      </c>
      <c r="G30" s="42" t="n">
        <v>0</v>
      </c>
      <c r="H30" s="42" t="n">
        <v>0</v>
      </c>
      <c r="I30" s="42" t="n">
        <v>25</v>
      </c>
      <c r="J30" s="42" t="n">
        <v>33</v>
      </c>
      <c r="K30" s="42" t="n">
        <v>0</v>
      </c>
      <c r="L30" s="42" t="n">
        <v>0</v>
      </c>
      <c r="M30" s="42" t="n">
        <v>0</v>
      </c>
      <c r="N30" s="42" t="n">
        <v>0</v>
      </c>
      <c r="O30" s="42" t="n">
        <v>0</v>
      </c>
      <c r="P30" s="42" t="n">
        <v>0</v>
      </c>
      <c r="Q30" s="45" t="n">
        <v>50</v>
      </c>
      <c r="R30" s="42" t="n">
        <v>10</v>
      </c>
      <c r="S30" s="42" t="n">
        <v>10</v>
      </c>
      <c r="T30" s="42" t="n">
        <v>10</v>
      </c>
      <c r="U30" s="42" t="n">
        <v>10</v>
      </c>
      <c r="V30" s="42" t="n">
        <v>10</v>
      </c>
      <c r="W30" s="42" t="n">
        <v>10</v>
      </c>
      <c r="X30" s="42" t="n">
        <v>10</v>
      </c>
      <c r="Y30" s="42" t="n">
        <v>10</v>
      </c>
      <c r="Z30" s="42" t="n">
        <v>10</v>
      </c>
      <c r="AA30" s="103" t="n">
        <v>10</v>
      </c>
      <c r="AB30" s="42" t="n">
        <v>23</v>
      </c>
    </row>
  </sheetData>
  <mergeCells count="22">
    <mergeCell ref="D5:J5"/>
    <mergeCell ref="D6:J6"/>
    <mergeCell ref="E9:F9"/>
    <mergeCell ref="G9:H9"/>
    <mergeCell ref="I9:J9"/>
    <mergeCell ref="K9:L9"/>
    <mergeCell ref="M9:N9"/>
    <mergeCell ref="O9:P9"/>
    <mergeCell ref="Q9:Q13"/>
    <mergeCell ref="E10:F10"/>
    <mergeCell ref="G10:H10"/>
    <mergeCell ref="I10:J10"/>
    <mergeCell ref="K10:L10"/>
    <mergeCell ref="M10:N10"/>
    <mergeCell ref="O10:P10"/>
    <mergeCell ref="E11:F11"/>
    <mergeCell ref="G11:H11"/>
    <mergeCell ref="I11:J11"/>
    <mergeCell ref="K11:L11"/>
    <mergeCell ref="M11:N11"/>
    <mergeCell ref="O11:P11"/>
    <mergeCell ref="D12:F12"/>
  </mergeCells>
  <dataValidations count="4">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H19:H21 J19:J21 L19:L21 N19:N21 P19:P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9:G20 I19:I20 K19:K20 M19:M20 O19:O20" type="whole">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G21 I21 K21 M21 O21"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D1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true" hidden="false" outlineLevel="0" max="1" min="1" style="892" width="32.57"/>
    <col collapsed="false" customWidth="true" hidden="false" outlineLevel="0" max="2" min="2" style="53" width="11"/>
    <col collapsed="false" customWidth="false" hidden="false" outlineLevel="0" max="3" min="3" style="53" width="9.14"/>
    <col collapsed="false" customWidth="true" hidden="false" outlineLevel="0" max="4" min="4" style="53" width="26.57"/>
    <col collapsed="false" customWidth="true" hidden="false" outlineLevel="0" max="5" min="5" style="132" width="36.85"/>
    <col collapsed="false" customWidth="true" hidden="false" outlineLevel="0" max="6" min="6" style="132" width="23.57"/>
    <col collapsed="false" customWidth="true" hidden="false" outlineLevel="0" max="7" min="7" style="132" width="31.42"/>
    <col collapsed="false" customWidth="true" hidden="false" outlineLevel="0" max="8" min="8" style="132" width="40.85"/>
    <col collapsed="false" customWidth="true" hidden="false" outlineLevel="0" max="9" min="9" style="132" width="14.57"/>
    <col collapsed="false" customWidth="true" hidden="false" outlineLevel="0" max="10" min="10" style="132" width="26.85"/>
    <col collapsed="false" customWidth="true" hidden="false" outlineLevel="0" max="11" min="11" style="132" width="50"/>
    <col collapsed="false" customWidth="true" hidden="false" outlineLevel="0" max="12" min="12" style="132" width="52.42"/>
    <col collapsed="false" customWidth="true" hidden="false" outlineLevel="0" max="13" min="13" style="132" width="10.71"/>
    <col collapsed="false" customWidth="true" hidden="false" outlineLevel="0" max="14" min="14" style="132" width="55.14"/>
    <col collapsed="false" customWidth="true" hidden="false" outlineLevel="0" max="15" min="15" style="132" width="31.85"/>
    <col collapsed="false" customWidth="true" hidden="false" outlineLevel="0" max="16" min="16" style="132" width="23.85"/>
    <col collapsed="false" customWidth="true" hidden="false" outlineLevel="0" max="17" min="17" style="132" width="46.57"/>
    <col collapsed="false" customWidth="true" hidden="false" outlineLevel="0" max="18" min="18" style="132" width="24"/>
    <col collapsed="false" customWidth="true" hidden="false" outlineLevel="0" max="19" min="19" style="132" width="20.57"/>
    <col collapsed="false" customWidth="true" hidden="false" outlineLevel="0" max="20" min="20" style="132" width="22"/>
    <col collapsed="false" customWidth="true" hidden="false" outlineLevel="0" max="22" min="21" style="132" width="26.42"/>
    <col collapsed="false" customWidth="true" hidden="true" outlineLevel="0" max="23" min="23" style="132" width="8.28"/>
    <col collapsed="false" customWidth="true" hidden="false" outlineLevel="0" max="24" min="24" style="132" width="59.71"/>
    <col collapsed="false" customWidth="true" hidden="false" outlineLevel="0" max="25" min="25" style="132" width="49.14"/>
    <col collapsed="false" customWidth="true" hidden="false" outlineLevel="0" max="26" min="26" style="132" width="11.14"/>
    <col collapsed="false" customWidth="true" hidden="false" outlineLevel="0" max="30" min="27" style="132" width="29"/>
    <col collapsed="false" customWidth="false" hidden="false" outlineLevel="0" max="31" min="31" style="132" width="9.14"/>
    <col collapsed="false" customWidth="true" hidden="false" outlineLevel="0" max="32" min="32" style="132" width="34.71"/>
    <col collapsed="false" customWidth="false" hidden="false" outlineLevel="0" max="33" min="33" style="132" width="9.14"/>
    <col collapsed="false" customWidth="true" hidden="false" outlineLevel="0" max="35" min="34" style="132" width="34.42"/>
    <col collapsed="false" customWidth="false" hidden="false" outlineLevel="0" max="36" min="36" style="132" width="9.14"/>
    <col collapsed="false" customWidth="true" hidden="false" outlineLevel="0" max="37" min="37" style="132" width="24.57"/>
    <col collapsed="false" customWidth="false" hidden="false" outlineLevel="0" max="38" min="38" style="132" width="9.14"/>
    <col collapsed="false" customWidth="true" hidden="false" outlineLevel="0" max="39" min="39" style="132" width="26.14"/>
    <col collapsed="false" customWidth="true" hidden="false" outlineLevel="0" max="40" min="40" style="132" width="1.71"/>
    <col collapsed="false" customWidth="false" hidden="false" outlineLevel="0" max="41" min="41" style="132" width="9.14"/>
    <col collapsed="false" customWidth="true" hidden="false" outlineLevel="0" max="43" min="42" style="132" width="47.85"/>
    <col collapsed="false" customWidth="true" hidden="false" outlineLevel="0" max="44" min="44" style="132" width="1.71"/>
    <col collapsed="false" customWidth="true" hidden="false" outlineLevel="0" max="45" min="45" style="132" width="21.42"/>
    <col collapsed="false" customWidth="true" hidden="false" outlineLevel="0" max="46" min="46" style="132" width="1.71"/>
    <col collapsed="false" customWidth="true" hidden="false" outlineLevel="0" max="47" min="47" style="132" width="31.28"/>
    <col collapsed="false" customWidth="true" hidden="false" outlineLevel="0" max="48" min="48" style="132" width="1.71"/>
    <col collapsed="false" customWidth="false" hidden="false" outlineLevel="0" max="50" min="49" style="132" width="9.14"/>
    <col collapsed="false" customWidth="true" hidden="false" outlineLevel="0" max="51" min="51" style="132" width="3.71"/>
    <col collapsed="false" customWidth="true" hidden="false" outlineLevel="0" max="52" min="52" style="132" width="60.85"/>
    <col collapsed="false" customWidth="true" hidden="false" outlineLevel="0" max="53" min="53" style="132" width="49.28"/>
    <col collapsed="false" customWidth="true" hidden="false" outlineLevel="0" max="54" min="54" style="132" width="35.14"/>
    <col collapsed="false" customWidth="false" hidden="false" outlineLevel="0" max="55" min="55" style="132" width="9.14"/>
    <col collapsed="false" customWidth="true" hidden="false" outlineLevel="0" max="56" min="56" style="132" width="1.71"/>
    <col collapsed="false" customWidth="true" hidden="false" outlineLevel="0" max="57" min="57" style="953" width="12.57"/>
    <col collapsed="false" customWidth="true" hidden="false" outlineLevel="0" max="58" min="58" style="953" width="14.28"/>
    <col collapsed="false" customWidth="true" hidden="false" outlineLevel="0" max="59" min="59" style="132" width="30.71"/>
    <col collapsed="false" customWidth="true" hidden="false" outlineLevel="0" max="60" min="60" style="230" width="40.71"/>
    <col collapsed="false" customWidth="true" hidden="false" outlineLevel="0" max="61" min="61" style="230" width="15"/>
    <col collapsed="false" customWidth="true" hidden="false" outlineLevel="0" max="62" min="62" style="230" width="40.71"/>
    <col collapsed="false" customWidth="true" hidden="false" outlineLevel="0" max="63" min="63" style="230" width="2.71"/>
    <col collapsed="false" customWidth="true" hidden="false" outlineLevel="0" max="64" min="64" style="230" width="44.71"/>
    <col collapsed="false" customWidth="true" hidden="false" outlineLevel="0" max="65" min="65" style="230" width="2.71"/>
    <col collapsed="false" customWidth="true" hidden="false" outlineLevel="0" max="66" min="66" style="230" width="40.71"/>
    <col collapsed="false" customWidth="false" hidden="false" outlineLevel="0" max="68" min="67" style="132" width="9.14"/>
    <col collapsed="false" customWidth="true" hidden="false" outlineLevel="0" max="69" min="69" style="132" width="18.14"/>
    <col collapsed="false" customWidth="true" hidden="false" outlineLevel="0" max="70" min="70" style="132" width="57.85"/>
    <col collapsed="false" customWidth="true" hidden="false" outlineLevel="0" max="71" min="71" style="132" width="1.71"/>
    <col collapsed="false" customWidth="true" hidden="false" outlineLevel="0" max="72" min="72" style="132" width="22.57"/>
    <col collapsed="false" customWidth="true" hidden="false" outlineLevel="0" max="73" min="73" style="132" width="57.85"/>
    <col collapsed="false" customWidth="true" hidden="false" outlineLevel="0" max="74" min="74" style="132" width="1.71"/>
    <col collapsed="false" customWidth="true" hidden="false" outlineLevel="0" max="75" min="75" style="132" width="22.57"/>
    <col collapsed="false" customWidth="true" hidden="false" outlineLevel="0" max="76" min="76" style="132" width="57.85"/>
    <col collapsed="false" customWidth="true" hidden="false" outlineLevel="0" max="77" min="77" style="132" width="1.71"/>
    <col collapsed="false" customWidth="true" hidden="false" outlineLevel="0" max="78" min="78" style="132" width="22.57"/>
    <col collapsed="false" customWidth="true" hidden="false" outlineLevel="0" max="79" min="79" style="132" width="57.85"/>
    <col collapsed="false" customWidth="false" hidden="false" outlineLevel="0" max="81" min="80" style="132" width="9.14"/>
    <col collapsed="false" customWidth="true" hidden="false" outlineLevel="0" max="82" min="82" style="132" width="49.57"/>
  </cols>
  <sheetData>
    <row r="1" s="957" customFormat="true" ht="11.25" hidden="false" customHeight="true" outlineLevel="0" collapsed="false">
      <c r="A1" s="954" t="s">
        <v>1335</v>
      </c>
      <c r="B1" s="954" t="s">
        <v>1336</v>
      </c>
      <c r="C1" s="954" t="s">
        <v>1337</v>
      </c>
      <c r="D1" s="954" t="s">
        <v>1338</v>
      </c>
      <c r="E1" s="955" t="s">
        <v>1339</v>
      </c>
      <c r="F1" s="955" t="s">
        <v>1340</v>
      </c>
      <c r="G1" s="955" t="s">
        <v>1341</v>
      </c>
      <c r="H1" s="955" t="s">
        <v>1342</v>
      </c>
      <c r="I1" s="955" t="s">
        <v>1343</v>
      </c>
      <c r="J1" s="955" t="s">
        <v>1344</v>
      </c>
      <c r="K1" s="955" t="s">
        <v>1345</v>
      </c>
      <c r="L1" s="954" t="s">
        <v>1346</v>
      </c>
      <c r="M1" s="954"/>
      <c r="N1" s="954" t="s">
        <v>1347</v>
      </c>
      <c r="O1" s="955" t="s">
        <v>1348</v>
      </c>
      <c r="P1" s="955" t="s">
        <v>1349</v>
      </c>
      <c r="Q1" s="955" t="s">
        <v>1350</v>
      </c>
      <c r="R1" s="955" t="s">
        <v>1351</v>
      </c>
      <c r="S1" s="955" t="s">
        <v>1352</v>
      </c>
      <c r="T1" s="955" t="s">
        <v>1353</v>
      </c>
      <c r="U1" s="955" t="s">
        <v>1354</v>
      </c>
      <c r="V1" s="954"/>
      <c r="W1" s="956" t="s">
        <v>1355</v>
      </c>
      <c r="X1" s="955" t="s">
        <v>1356</v>
      </c>
      <c r="Y1" s="954" t="s">
        <v>1357</v>
      </c>
      <c r="Z1" s="954"/>
      <c r="AA1" s="954" t="s">
        <v>1358</v>
      </c>
      <c r="AB1" s="954"/>
      <c r="AC1" s="954" t="s">
        <v>1359</v>
      </c>
      <c r="AD1" s="954"/>
      <c r="AF1" s="955" t="s">
        <v>1360</v>
      </c>
      <c r="AH1" s="955" t="s">
        <v>1361</v>
      </c>
      <c r="AI1" s="955" t="s">
        <v>1362</v>
      </c>
      <c r="AK1" s="955" t="s">
        <v>1363</v>
      </c>
      <c r="AM1" s="955" t="s">
        <v>1364</v>
      </c>
      <c r="AP1" s="955" t="s">
        <v>1365</v>
      </c>
      <c r="AQ1" s="955" t="s">
        <v>1366</v>
      </c>
      <c r="AS1" s="955" t="s">
        <v>1367</v>
      </c>
      <c r="AU1" s="955" t="s">
        <v>1368</v>
      </c>
      <c r="AW1" s="954" t="s">
        <v>1369</v>
      </c>
      <c r="AX1" s="954" t="s">
        <v>1370</v>
      </c>
      <c r="AZ1" s="955" t="s">
        <v>1371</v>
      </c>
      <c r="BB1" s="955" t="s">
        <v>1372</v>
      </c>
      <c r="BC1" s="954"/>
      <c r="BE1" s="954" t="s">
        <v>1373</v>
      </c>
      <c r="BF1" s="954" t="s">
        <v>1374</v>
      </c>
      <c r="BH1" s="958" t="s">
        <v>838</v>
      </c>
      <c r="BI1" s="230"/>
      <c r="BJ1" s="959" t="s">
        <v>1375</v>
      </c>
      <c r="BK1" s="230"/>
      <c r="BL1" s="960" t="s">
        <v>938</v>
      </c>
      <c r="BM1" s="230"/>
      <c r="BN1" s="961" t="s">
        <v>1376</v>
      </c>
    </row>
    <row r="2" customFormat="false" ht="11.25" hidden="false" customHeight="true" outlineLevel="0" collapsed="false">
      <c r="A2" s="132" t="s">
        <v>1377</v>
      </c>
      <c r="B2" s="962" t="n">
        <v>2000</v>
      </c>
      <c r="C2" s="962" t="n">
        <v>2022</v>
      </c>
      <c r="D2" s="962" t="s">
        <v>61</v>
      </c>
      <c r="E2" s="963" t="s">
        <v>1378</v>
      </c>
      <c r="F2" s="963" t="s">
        <v>1379</v>
      </c>
      <c r="G2" s="963" t="s">
        <v>1380</v>
      </c>
      <c r="H2" s="963" t="s">
        <v>53</v>
      </c>
      <c r="I2" s="963" t="s">
        <v>120</v>
      </c>
      <c r="J2" s="963" t="s">
        <v>1381</v>
      </c>
      <c r="K2" s="964" t="s">
        <v>1382</v>
      </c>
      <c r="L2" s="964"/>
      <c r="M2" s="964" t="n">
        <v>1</v>
      </c>
      <c r="N2" s="965" t="s">
        <v>1383</v>
      </c>
      <c r="O2" s="963" t="s">
        <v>1384</v>
      </c>
      <c r="P2" s="966" t="s">
        <v>36</v>
      </c>
      <c r="Q2" s="967" t="s">
        <v>1385</v>
      </c>
      <c r="R2" s="968" t="s">
        <v>1386</v>
      </c>
      <c r="S2" s="968" t="s">
        <v>1387</v>
      </c>
      <c r="T2" s="969" t="s">
        <v>1388</v>
      </c>
      <c r="U2" s="964" t="s">
        <v>1389</v>
      </c>
      <c r="V2" s="970" t="n">
        <v>1</v>
      </c>
      <c r="W2" s="971"/>
      <c r="X2" s="971" t="s">
        <v>1390</v>
      </c>
      <c r="Y2" s="962" t="s">
        <v>1391</v>
      </c>
      <c r="Z2" s="972"/>
      <c r="AA2" s="962" t="s">
        <v>1392</v>
      </c>
      <c r="AB2" s="973" t="s">
        <v>1392</v>
      </c>
      <c r="AC2" s="962" t="s">
        <v>1393</v>
      </c>
      <c r="AD2" s="973" t="s">
        <v>1393</v>
      </c>
      <c r="AF2" s="963" t="s">
        <v>1389</v>
      </c>
      <c r="AH2" s="963" t="s">
        <v>1394</v>
      </c>
      <c r="AI2" s="963" t="s">
        <v>1394</v>
      </c>
      <c r="AK2" s="963" t="s">
        <v>1395</v>
      </c>
      <c r="AM2" s="963" t="s">
        <v>1396</v>
      </c>
      <c r="AP2" s="678" t="s">
        <v>1390</v>
      </c>
      <c r="AQ2" s="974" t="s">
        <v>1390</v>
      </c>
      <c r="AS2" s="962" t="s">
        <v>1397</v>
      </c>
      <c r="AU2" s="975" t="s">
        <v>1398</v>
      </c>
      <c r="AW2" s="975" t="s">
        <v>1399</v>
      </c>
      <c r="AX2" s="975" t="s">
        <v>1399</v>
      </c>
      <c r="AZ2" s="975" t="s">
        <v>51</v>
      </c>
      <c r="BB2" s="975" t="s">
        <v>582</v>
      </c>
      <c r="BC2" s="975" t="s">
        <v>583</v>
      </c>
      <c r="BE2" s="975" t="n">
        <v>2000</v>
      </c>
      <c r="BF2" s="975" t="s">
        <v>1400</v>
      </c>
    </row>
    <row r="3" customFormat="false" ht="11.25" hidden="false" customHeight="true" outlineLevel="0" collapsed="false">
      <c r="A3" s="132" t="s">
        <v>1401</v>
      </c>
      <c r="B3" s="962" t="n">
        <v>2001</v>
      </c>
      <c r="C3" s="962" t="n">
        <v>2023</v>
      </c>
      <c r="D3" s="962" t="s">
        <v>19</v>
      </c>
      <c r="E3" s="963" t="s">
        <v>1402</v>
      </c>
      <c r="F3" s="963" t="s">
        <v>1403</v>
      </c>
      <c r="G3" s="963" t="s">
        <v>1404</v>
      </c>
      <c r="H3" s="963" t="s">
        <v>1405</v>
      </c>
      <c r="I3" s="963" t="s">
        <v>102</v>
      </c>
      <c r="J3" s="963" t="s">
        <v>569</v>
      </c>
      <c r="K3" s="964" t="s">
        <v>1406</v>
      </c>
      <c r="L3" s="964" t="n">
        <f aca="false">_xlfn.iferror(MATCH(K3,OFFER_METHOD,0),0)</f>
        <v>0</v>
      </c>
      <c r="M3" s="964" t="n">
        <v>2</v>
      </c>
      <c r="N3" s="965" t="s">
        <v>1407</v>
      </c>
      <c r="O3" s="963" t="s">
        <v>1408</v>
      </c>
      <c r="P3" s="966" t="s">
        <v>1409</v>
      </c>
      <c r="Q3" s="967" t="s">
        <v>1410</v>
      </c>
      <c r="R3" s="968" t="s">
        <v>1411</v>
      </c>
      <c r="S3" s="968" t="s">
        <v>1412</v>
      </c>
      <c r="T3" s="969" t="s">
        <v>1413</v>
      </c>
      <c r="U3" s="964" t="s">
        <v>1414</v>
      </c>
      <c r="V3" s="970" t="n">
        <v>2</v>
      </c>
      <c r="W3" s="971"/>
      <c r="X3" s="971" t="s">
        <v>1415</v>
      </c>
      <c r="Y3" s="962" t="s">
        <v>1391</v>
      </c>
      <c r="Z3" s="972"/>
      <c r="AA3" s="962" t="s">
        <v>1416</v>
      </c>
      <c r="AB3" s="973" t="s">
        <v>1416</v>
      </c>
      <c r="AC3" s="962" t="s">
        <v>1417</v>
      </c>
      <c r="AD3" s="973" t="s">
        <v>1417</v>
      </c>
      <c r="AF3" s="963" t="s">
        <v>1414</v>
      </c>
      <c r="AH3" s="963" t="s">
        <v>1418</v>
      </c>
      <c r="AI3" s="963" t="s">
        <v>1419</v>
      </c>
      <c r="AK3" s="963" t="s">
        <v>1420</v>
      </c>
      <c r="AM3" s="963" t="s">
        <v>1421</v>
      </c>
      <c r="AP3" s="678" t="s">
        <v>1422</v>
      </c>
      <c r="AQ3" s="974" t="s">
        <v>1422</v>
      </c>
      <c r="AS3" s="962" t="s">
        <v>1423</v>
      </c>
      <c r="AU3" s="975" t="s">
        <v>1424</v>
      </c>
      <c r="AW3" s="975" t="s">
        <v>1425</v>
      </c>
      <c r="AX3" s="975" t="s">
        <v>1425</v>
      </c>
      <c r="AZ3" s="975" t="s">
        <v>1426</v>
      </c>
      <c r="BB3" s="975" t="s">
        <v>1427</v>
      </c>
      <c r="BC3" s="975" t="s">
        <v>583</v>
      </c>
      <c r="BE3" s="975" t="n">
        <v>2001</v>
      </c>
      <c r="BF3" s="975" t="s">
        <v>1180</v>
      </c>
      <c r="BH3" s="954" t="s">
        <v>1428</v>
      </c>
      <c r="BJ3" s="954" t="s">
        <v>1429</v>
      </c>
      <c r="BL3" s="954" t="s">
        <v>1430</v>
      </c>
      <c r="BN3" s="954" t="s">
        <v>1431</v>
      </c>
      <c r="BR3" s="954" t="s">
        <v>1432</v>
      </c>
      <c r="BS3" s="254"/>
      <c r="BT3" s="230"/>
      <c r="BU3" s="954" t="s">
        <v>1433</v>
      </c>
      <c r="BV3" s="230"/>
      <c r="BW3" s="53"/>
      <c r="BX3" s="954" t="s">
        <v>1434</v>
      </c>
      <c r="CA3" s="954" t="s">
        <v>1435</v>
      </c>
    </row>
    <row r="4" customFormat="false" ht="11.25" hidden="false" customHeight="true" outlineLevel="0" collapsed="false">
      <c r="A4" s="132" t="s">
        <v>1436</v>
      </c>
      <c r="B4" s="962" t="n">
        <v>2002</v>
      </c>
      <c r="C4" s="962" t="n">
        <v>2024</v>
      </c>
      <c r="E4" s="963" t="s">
        <v>1437</v>
      </c>
      <c r="F4" s="963" t="s">
        <v>1438</v>
      </c>
      <c r="H4" s="963" t="s">
        <v>1439</v>
      </c>
      <c r="I4" s="963" t="s">
        <v>89</v>
      </c>
      <c r="J4" s="963" t="s">
        <v>1440</v>
      </c>
      <c r="K4" s="964" t="s">
        <v>1441</v>
      </c>
      <c r="L4" s="964" t="n">
        <f aca="false">_xlfn.iferror(MATCH(K4,OFFER_METHOD,0),0)</f>
        <v>0</v>
      </c>
      <c r="M4" s="964" t="n">
        <v>3</v>
      </c>
      <c r="N4" s="965" t="s">
        <v>1442</v>
      </c>
      <c r="O4" s="963" t="s">
        <v>1443</v>
      </c>
      <c r="Q4" s="967" t="s">
        <v>1444</v>
      </c>
      <c r="R4" s="968" t="s">
        <v>1445</v>
      </c>
      <c r="S4" s="968" t="s">
        <v>1446</v>
      </c>
      <c r="T4" s="969" t="s">
        <v>1447</v>
      </c>
      <c r="U4" s="964" t="s">
        <v>1448</v>
      </c>
      <c r="V4" s="970" t="n">
        <v>3</v>
      </c>
      <c r="W4" s="971"/>
      <c r="X4" s="971" t="s">
        <v>1449</v>
      </c>
      <c r="Y4" s="962" t="s">
        <v>1391</v>
      </c>
      <c r="Z4" s="96"/>
      <c r="AC4" s="962" t="s">
        <v>1450</v>
      </c>
      <c r="AD4" s="973" t="s">
        <v>1450</v>
      </c>
      <c r="AF4" s="963" t="s">
        <v>1448</v>
      </c>
      <c r="AH4" s="963" t="s">
        <v>1451</v>
      </c>
      <c r="AK4" s="963" t="s">
        <v>1452</v>
      </c>
      <c r="AM4" s="963" t="s">
        <v>1453</v>
      </c>
      <c r="AP4" s="678" t="s">
        <v>1415</v>
      </c>
      <c r="AQ4" s="974" t="s">
        <v>1415</v>
      </c>
      <c r="AS4" s="962" t="s">
        <v>1454</v>
      </c>
      <c r="AU4" s="975" t="s">
        <v>1455</v>
      </c>
      <c r="AW4" s="975" t="s">
        <v>1456</v>
      </c>
      <c r="AX4" s="975" t="s">
        <v>1456</v>
      </c>
      <c r="AZ4" s="975" t="s">
        <v>1457</v>
      </c>
      <c r="BB4" s="975" t="s">
        <v>1458</v>
      </c>
      <c r="BC4" s="975" t="s">
        <v>1459</v>
      </c>
      <c r="BE4" s="975" t="n">
        <v>2002</v>
      </c>
      <c r="BF4" s="975" t="s">
        <v>1460</v>
      </c>
      <c r="BH4" s="976" t="s">
        <v>1461</v>
      </c>
      <c r="BJ4" s="976" t="s">
        <v>1461</v>
      </c>
      <c r="BL4" s="976" t="s">
        <v>1461</v>
      </c>
      <c r="BN4" s="976" t="s">
        <v>1461</v>
      </c>
      <c r="BQ4" s="977" t="s">
        <v>1462</v>
      </c>
      <c r="BR4" s="678" t="s">
        <v>1463</v>
      </c>
      <c r="BS4" s="678"/>
      <c r="BT4" s="977" t="s">
        <v>1464</v>
      </c>
      <c r="BU4" s="678" t="s">
        <v>1465</v>
      </c>
      <c r="BV4" s="230"/>
      <c r="BW4" s="977" t="s">
        <v>1466</v>
      </c>
      <c r="BX4" s="678" t="s">
        <v>1467</v>
      </c>
      <c r="BZ4" s="977" t="s">
        <v>1468</v>
      </c>
      <c r="CA4" s="678" t="s">
        <v>1469</v>
      </c>
    </row>
    <row r="5" customFormat="false" ht="11.25" hidden="false" customHeight="true" outlineLevel="0" collapsed="false">
      <c r="A5" s="132" t="s">
        <v>1470</v>
      </c>
      <c r="B5" s="962" t="n">
        <v>2003</v>
      </c>
      <c r="C5" s="962" t="n">
        <v>2025</v>
      </c>
      <c r="E5" s="963" t="s">
        <v>1471</v>
      </c>
      <c r="F5" s="963" t="s">
        <v>1472</v>
      </c>
      <c r="H5" s="963" t="s">
        <v>1473</v>
      </c>
      <c r="I5" s="963" t="s">
        <v>90</v>
      </c>
      <c r="K5" s="964" t="s">
        <v>1474</v>
      </c>
      <c r="L5" s="964" t="n">
        <f aca="false">_xlfn.iferror(MATCH(K5,OFFER_METHOD,0),0)</f>
        <v>0</v>
      </c>
      <c r="M5" s="964" t="n">
        <v>4</v>
      </c>
      <c r="N5" s="978" t="s">
        <v>1475</v>
      </c>
      <c r="O5" s="963" t="s">
        <v>1476</v>
      </c>
      <c r="Q5" s="967" t="s">
        <v>1477</v>
      </c>
      <c r="R5" s="968" t="s">
        <v>1478</v>
      </c>
      <c r="T5" s="963" t="s">
        <v>1479</v>
      </c>
      <c r="U5" s="964" t="s">
        <v>1480</v>
      </c>
      <c r="V5" s="970" t="n">
        <v>4</v>
      </c>
      <c r="W5" s="971"/>
      <c r="X5" s="971" t="s">
        <v>181</v>
      </c>
      <c r="Y5" s="962" t="s">
        <v>1481</v>
      </c>
      <c r="Z5" s="96" t="n">
        <v>1</v>
      </c>
      <c r="AF5" s="963" t="s">
        <v>1482</v>
      </c>
      <c r="AH5" s="963" t="s">
        <v>1483</v>
      </c>
      <c r="AK5" s="963" t="s">
        <v>1484</v>
      </c>
      <c r="AM5" s="963" t="s">
        <v>1485</v>
      </c>
      <c r="AP5" s="678" t="s">
        <v>181</v>
      </c>
      <c r="AQ5" s="974" t="s">
        <v>181</v>
      </c>
      <c r="AU5" s="975" t="s">
        <v>1486</v>
      </c>
      <c r="AW5" s="975" t="s">
        <v>1487</v>
      </c>
      <c r="AX5" s="975" t="s">
        <v>1487</v>
      </c>
      <c r="AZ5" s="975" t="s">
        <v>1488</v>
      </c>
      <c r="BB5" s="975" t="s">
        <v>1489</v>
      </c>
      <c r="BC5" s="975" t="s">
        <v>1490</v>
      </c>
      <c r="BE5" s="975" t="n">
        <v>2003</v>
      </c>
      <c r="BF5" s="975" t="s">
        <v>1491</v>
      </c>
      <c r="BH5" s="976" t="s">
        <v>1070</v>
      </c>
      <c r="BJ5" s="976" t="s">
        <v>1070</v>
      </c>
      <c r="BL5" s="976" t="s">
        <v>1070</v>
      </c>
      <c r="BN5" s="976" t="s">
        <v>1492</v>
      </c>
      <c r="BQ5" s="975" t="n">
        <v>4213775</v>
      </c>
      <c r="BR5" s="976" t="s">
        <v>1390</v>
      </c>
      <c r="BS5" s="979"/>
      <c r="BT5" s="975" t="n">
        <v>64236871</v>
      </c>
      <c r="BU5" s="976" t="s">
        <v>242</v>
      </c>
      <c r="BV5" s="230"/>
      <c r="BW5" s="975" t="n">
        <v>4213767</v>
      </c>
      <c r="BX5" s="976" t="s">
        <v>1493</v>
      </c>
      <c r="BZ5" s="975" t="n">
        <v>64237509</v>
      </c>
      <c r="CA5" s="980" t="s">
        <v>1494</v>
      </c>
    </row>
    <row r="6" customFormat="false" ht="11.25" hidden="false" customHeight="true" outlineLevel="0" collapsed="false">
      <c r="A6" s="132" t="s">
        <v>1495</v>
      </c>
      <c r="B6" s="962" t="n">
        <v>2004</v>
      </c>
      <c r="C6" s="962" t="n">
        <v>2026</v>
      </c>
      <c r="E6" s="963" t="s">
        <v>1496</v>
      </c>
      <c r="F6" s="175"/>
      <c r="H6" s="963" t="s">
        <v>1497</v>
      </c>
      <c r="I6" s="963" t="s">
        <v>121</v>
      </c>
      <c r="J6" s="954" t="s">
        <v>1498</v>
      </c>
      <c r="L6" s="964" t="n">
        <f aca="false">SUM(kind_of_control_method_filter)</f>
        <v>0</v>
      </c>
      <c r="N6" s="978" t="s">
        <v>1499</v>
      </c>
      <c r="O6" s="963" t="s">
        <v>1500</v>
      </c>
      <c r="R6" s="968" t="s">
        <v>1385</v>
      </c>
      <c r="T6" s="963" t="s">
        <v>1501</v>
      </c>
      <c r="U6" s="964" t="s">
        <v>1482</v>
      </c>
      <c r="V6" s="970" t="n">
        <v>5</v>
      </c>
      <c r="W6" s="971"/>
      <c r="X6" s="962" t="s">
        <v>187</v>
      </c>
      <c r="Y6" s="962" t="s">
        <v>1502</v>
      </c>
      <c r="Z6" s="96"/>
      <c r="AA6" s="748"/>
      <c r="AH6" s="963" t="s">
        <v>1503</v>
      </c>
      <c r="AK6" s="963" t="s">
        <v>1504</v>
      </c>
      <c r="AM6" s="963" t="s">
        <v>1505</v>
      </c>
      <c r="AP6" s="678" t="s">
        <v>187</v>
      </c>
      <c r="AQ6" s="974" t="s">
        <v>187</v>
      </c>
      <c r="AU6" s="975" t="s">
        <v>1506</v>
      </c>
      <c r="AW6" s="975" t="s">
        <v>1507</v>
      </c>
      <c r="AX6" s="975" t="s">
        <v>1507</v>
      </c>
      <c r="BB6" s="975" t="s">
        <v>1508</v>
      </c>
      <c r="BC6" s="975" t="s">
        <v>1490</v>
      </c>
      <c r="BE6" s="975" t="n">
        <v>2004</v>
      </c>
      <c r="BF6" s="975" t="s">
        <v>1113</v>
      </c>
      <c r="BH6" s="976" t="s">
        <v>1509</v>
      </c>
      <c r="BJ6" s="976" t="s">
        <v>1510</v>
      </c>
      <c r="BL6" s="976" t="s">
        <v>1510</v>
      </c>
      <c r="BN6" s="976" t="s">
        <v>1511</v>
      </c>
      <c r="BQ6" s="975" t="n">
        <v>4213784</v>
      </c>
      <c r="BR6" s="980" t="s">
        <v>1422</v>
      </c>
      <c r="BS6" s="981"/>
      <c r="BT6" s="975" t="n">
        <v>64236872</v>
      </c>
      <c r="BU6" s="976" t="s">
        <v>247</v>
      </c>
      <c r="BV6" s="230"/>
      <c r="BW6" s="975" t="n">
        <v>4213768</v>
      </c>
      <c r="BX6" s="976" t="s">
        <v>267</v>
      </c>
      <c r="BZ6" s="975" t="n">
        <v>64237510</v>
      </c>
      <c r="CA6" s="976" t="s">
        <v>1512</v>
      </c>
    </row>
    <row r="7" customFormat="false" ht="11.25" hidden="false" customHeight="true" outlineLevel="0" collapsed="false">
      <c r="A7" s="132" t="s">
        <v>1513</v>
      </c>
      <c r="B7" s="962" t="n">
        <v>2005</v>
      </c>
      <c r="E7" s="963" t="s">
        <v>1514</v>
      </c>
      <c r="F7" s="175"/>
      <c r="H7" s="963" t="s">
        <v>1515</v>
      </c>
      <c r="I7" s="963" t="s">
        <v>91</v>
      </c>
      <c r="J7" s="963" t="s">
        <v>1516</v>
      </c>
      <c r="N7" s="982" t="s">
        <v>1517</v>
      </c>
      <c r="O7" s="963" t="s">
        <v>1518</v>
      </c>
      <c r="U7" s="964" t="s">
        <v>19</v>
      </c>
      <c r="V7" s="983" t="s">
        <v>91</v>
      </c>
      <c r="W7" s="971"/>
      <c r="X7" s="962" t="s">
        <v>193</v>
      </c>
      <c r="Y7" s="962" t="s">
        <v>1481</v>
      </c>
      <c r="Z7" s="96"/>
      <c r="AA7" s="748"/>
      <c r="AH7" s="963" t="s">
        <v>1519</v>
      </c>
      <c r="AK7" s="963" t="s">
        <v>1520</v>
      </c>
      <c r="AM7" s="963" t="s">
        <v>1521</v>
      </c>
      <c r="AP7" s="678" t="s">
        <v>193</v>
      </c>
      <c r="AQ7" s="974" t="s">
        <v>193</v>
      </c>
      <c r="AU7" s="975" t="s">
        <v>1522</v>
      </c>
      <c r="AW7" s="975" t="s">
        <v>1523</v>
      </c>
      <c r="AX7" s="975" t="s">
        <v>1523</v>
      </c>
      <c r="AZ7" s="954" t="s">
        <v>1524</v>
      </c>
      <c r="BB7" s="975" t="s">
        <v>1525</v>
      </c>
      <c r="BC7" s="975" t="s">
        <v>1490</v>
      </c>
      <c r="BE7" s="975" t="n">
        <v>2005</v>
      </c>
      <c r="BF7" s="975" t="s">
        <v>1105</v>
      </c>
      <c r="BH7" s="976" t="s">
        <v>1526</v>
      </c>
      <c r="BJ7" s="976" t="s">
        <v>1509</v>
      </c>
      <c r="BL7" s="976" t="s">
        <v>1509</v>
      </c>
      <c r="BN7" s="976" t="s">
        <v>1527</v>
      </c>
      <c r="BQ7" s="975" t="n">
        <v>4213781</v>
      </c>
      <c r="BR7" s="976" t="s">
        <v>1415</v>
      </c>
      <c r="BS7" s="979"/>
      <c r="BT7" s="975" t="n">
        <v>64236873</v>
      </c>
      <c r="BU7" s="976" t="s">
        <v>252</v>
      </c>
      <c r="BV7" s="230"/>
      <c r="BW7" s="975" t="n">
        <v>4213769</v>
      </c>
      <c r="BX7" s="976" t="s">
        <v>1528</v>
      </c>
      <c r="BZ7" s="975" t="n">
        <v>64237511</v>
      </c>
      <c r="CA7" s="976" t="s">
        <v>282</v>
      </c>
    </row>
    <row r="8" customFormat="false" ht="11.25" hidden="false" customHeight="true" outlineLevel="0" collapsed="false">
      <c r="A8" s="132" t="s">
        <v>1529</v>
      </c>
      <c r="B8" s="962" t="n">
        <v>2006</v>
      </c>
      <c r="E8" s="963" t="s">
        <v>1530</v>
      </c>
      <c r="F8" s="175"/>
      <c r="H8" s="963" t="s">
        <v>1531</v>
      </c>
      <c r="I8" s="963" t="s">
        <v>92</v>
      </c>
      <c r="J8" s="963" t="s">
        <v>1532</v>
      </c>
      <c r="N8" s="984" t="s">
        <v>1533</v>
      </c>
      <c r="O8" s="963" t="s">
        <v>1534</v>
      </c>
      <c r="V8" s="983" t="s">
        <v>92</v>
      </c>
      <c r="W8" s="971"/>
      <c r="X8" s="962" t="s">
        <v>199</v>
      </c>
      <c r="Y8" s="962" t="s">
        <v>1481</v>
      </c>
      <c r="Z8" s="96"/>
      <c r="AA8" s="748"/>
      <c r="AK8" s="963" t="s">
        <v>1535</v>
      </c>
      <c r="AP8" s="678" t="s">
        <v>199</v>
      </c>
      <c r="AQ8" s="974" t="s">
        <v>199</v>
      </c>
      <c r="AU8" s="975" t="s">
        <v>1536</v>
      </c>
      <c r="AW8" s="975" t="s">
        <v>1537</v>
      </c>
      <c r="AX8" s="975" t="s">
        <v>1537</v>
      </c>
      <c r="AZ8" s="975" t="s">
        <v>66</v>
      </c>
      <c r="BB8" s="975" t="s">
        <v>1538</v>
      </c>
      <c r="BC8" s="975" t="s">
        <v>1490</v>
      </c>
      <c r="BE8" s="975" t="n">
        <v>2006</v>
      </c>
      <c r="BF8" s="975" t="s">
        <v>1093</v>
      </c>
      <c r="BH8" s="976" t="s">
        <v>1069</v>
      </c>
      <c r="BJ8" s="976" t="s">
        <v>1539</v>
      </c>
      <c r="BL8" s="976" t="s">
        <v>1539</v>
      </c>
      <c r="BN8" s="976" t="s">
        <v>1540</v>
      </c>
      <c r="BQ8" s="975" t="n">
        <v>4213776</v>
      </c>
      <c r="BR8" s="976" t="s">
        <v>181</v>
      </c>
      <c r="BS8" s="979"/>
      <c r="BT8" s="975" t="n">
        <v>64236874</v>
      </c>
      <c r="BU8" s="980" t="s">
        <v>1541</v>
      </c>
      <c r="BV8" s="230"/>
      <c r="BW8" s="975" t="n">
        <v>4213770</v>
      </c>
      <c r="BX8" s="980" t="s">
        <v>1542</v>
      </c>
      <c r="BZ8" s="975" t="n">
        <v>64237512</v>
      </c>
      <c r="CA8" s="976" t="s">
        <v>277</v>
      </c>
    </row>
    <row r="9" customFormat="false" ht="11.25" hidden="false" customHeight="true" outlineLevel="0" collapsed="false">
      <c r="A9" s="132" t="s">
        <v>1543</v>
      </c>
      <c r="B9" s="962" t="n">
        <v>2007</v>
      </c>
      <c r="E9" s="963" t="s">
        <v>1544</v>
      </c>
      <c r="F9" s="175"/>
      <c r="G9" s="955" t="s">
        <v>1545</v>
      </c>
      <c r="H9" s="955" t="s">
        <v>1546</v>
      </c>
      <c r="I9" s="963" t="s">
        <v>122</v>
      </c>
      <c r="O9" s="963" t="s">
        <v>1547</v>
      </c>
      <c r="V9" s="983" t="s">
        <v>122</v>
      </c>
      <c r="W9" s="971"/>
      <c r="X9" s="962" t="s">
        <v>205</v>
      </c>
      <c r="Y9" s="962" t="s">
        <v>1391</v>
      </c>
      <c r="Z9" s="96" t="n">
        <v>1</v>
      </c>
      <c r="AA9" s="748"/>
      <c r="AK9" s="963" t="s">
        <v>1548</v>
      </c>
      <c r="AP9" s="678" t="s">
        <v>1549</v>
      </c>
      <c r="AQ9" s="974" t="s">
        <v>1549</v>
      </c>
      <c r="AW9" s="975" t="s">
        <v>1550</v>
      </c>
      <c r="AX9" s="975" t="s">
        <v>1550</v>
      </c>
      <c r="AZ9" s="975" t="s">
        <v>1551</v>
      </c>
      <c r="BB9" s="975" t="s">
        <v>1552</v>
      </c>
      <c r="BC9" s="975" t="s">
        <v>1490</v>
      </c>
      <c r="BE9" s="975" t="n">
        <v>2007</v>
      </c>
      <c r="BF9" s="975" t="s">
        <v>1061</v>
      </c>
      <c r="BH9" s="976" t="s">
        <v>1183</v>
      </c>
      <c r="BJ9" s="976" t="s">
        <v>1553</v>
      </c>
      <c r="BL9" s="976" t="s">
        <v>1553</v>
      </c>
      <c r="BN9" s="976" t="s">
        <v>1554</v>
      </c>
      <c r="BQ9" s="975" t="n">
        <v>4213777</v>
      </c>
      <c r="BR9" s="976" t="s">
        <v>187</v>
      </c>
      <c r="BS9" s="979"/>
      <c r="BT9" s="975" t="n">
        <v>64236875</v>
      </c>
      <c r="BU9" s="976" t="s">
        <v>257</v>
      </c>
      <c r="BV9" s="230"/>
      <c r="BW9" s="53"/>
      <c r="BX9" s="53"/>
    </row>
    <row r="10" customFormat="false" ht="11.25" hidden="false" customHeight="true" outlineLevel="0" collapsed="false">
      <c r="A10" s="132" t="s">
        <v>1555</v>
      </c>
      <c r="B10" s="962" t="n">
        <v>2008</v>
      </c>
      <c r="E10" s="963" t="s">
        <v>1556</v>
      </c>
      <c r="F10" s="175"/>
      <c r="G10" s="963" t="s">
        <v>1557</v>
      </c>
      <c r="H10" s="963" t="s">
        <v>1558</v>
      </c>
      <c r="I10" s="963" t="s">
        <v>163</v>
      </c>
      <c r="J10" s="954" t="s">
        <v>1559</v>
      </c>
      <c r="K10" s="954" t="s">
        <v>1560</v>
      </c>
      <c r="O10" s="963" t="s">
        <v>1561</v>
      </c>
      <c r="V10" s="985" t="s">
        <v>163</v>
      </c>
      <c r="W10" s="986"/>
      <c r="X10" s="986" t="s">
        <v>1562</v>
      </c>
      <c r="Y10" s="987" t="s">
        <v>1563</v>
      </c>
      <c r="Z10" s="96"/>
      <c r="AP10" s="678" t="s">
        <v>1562</v>
      </c>
      <c r="AQ10" s="974" t="s">
        <v>1562</v>
      </c>
      <c r="AW10" s="975" t="s">
        <v>1564</v>
      </c>
      <c r="AX10" s="975" t="s">
        <v>1564</v>
      </c>
      <c r="AZ10" s="975" t="s">
        <v>1284</v>
      </c>
      <c r="BB10" s="975" t="s">
        <v>1565</v>
      </c>
      <c r="BC10" s="975" t="s">
        <v>1490</v>
      </c>
      <c r="BE10" s="975" t="n">
        <v>2008</v>
      </c>
      <c r="BF10" s="975" t="s">
        <v>1079</v>
      </c>
      <c r="BH10" s="976" t="s">
        <v>1566</v>
      </c>
      <c r="BJ10" s="976" t="s">
        <v>1567</v>
      </c>
      <c r="BL10" s="976" t="s">
        <v>1567</v>
      </c>
      <c r="BN10" s="976" t="s">
        <v>1568</v>
      </c>
      <c r="BQ10" s="975" t="n">
        <v>4213778</v>
      </c>
      <c r="BR10" s="976" t="s">
        <v>193</v>
      </c>
      <c r="BS10" s="979"/>
      <c r="BT10" s="975" t="n">
        <v>64236876</v>
      </c>
      <c r="BU10" s="976" t="s">
        <v>237</v>
      </c>
      <c r="BV10" s="230"/>
      <c r="BW10" s="53"/>
      <c r="BX10" s="53"/>
    </row>
    <row r="11" customFormat="false" ht="11.25" hidden="false" customHeight="true" outlineLevel="0" collapsed="false">
      <c r="A11" s="132" t="s">
        <v>1569</v>
      </c>
      <c r="B11" s="962" t="n">
        <v>2009</v>
      </c>
      <c r="E11" s="963" t="s">
        <v>1570</v>
      </c>
      <c r="F11" s="175"/>
      <c r="G11" s="963" t="s">
        <v>1571</v>
      </c>
      <c r="H11" s="963" t="s">
        <v>1572</v>
      </c>
      <c r="I11" s="963" t="s">
        <v>164</v>
      </c>
      <c r="J11" s="963" t="s">
        <v>1573</v>
      </c>
      <c r="K11" s="988" t="s">
        <v>1574</v>
      </c>
      <c r="O11" s="963" t="s">
        <v>1575</v>
      </c>
      <c r="V11" s="983" t="s">
        <v>164</v>
      </c>
      <c r="W11" s="989"/>
      <c r="X11" s="971" t="s">
        <v>1549</v>
      </c>
      <c r="Y11" s="962" t="s">
        <v>1576</v>
      </c>
      <c r="Z11" s="96"/>
      <c r="AP11" s="678" t="s">
        <v>205</v>
      </c>
      <c r="AQ11" s="990" t="s">
        <v>205</v>
      </c>
      <c r="AW11" s="975" t="s">
        <v>1577</v>
      </c>
      <c r="AX11" s="975" t="s">
        <v>1577</v>
      </c>
      <c r="AZ11" s="975" t="s">
        <v>1578</v>
      </c>
      <c r="BB11" s="975" t="s">
        <v>1579</v>
      </c>
      <c r="BC11" s="975" t="s">
        <v>1490</v>
      </c>
      <c r="BE11" s="975" t="n">
        <v>2009</v>
      </c>
      <c r="BF11" s="975" t="s">
        <v>1086</v>
      </c>
      <c r="BH11" s="976" t="s">
        <v>1580</v>
      </c>
      <c r="BJ11" s="976" t="s">
        <v>1183</v>
      </c>
      <c r="BL11" s="976" t="s">
        <v>1183</v>
      </c>
      <c r="BN11" s="976" t="s">
        <v>1581</v>
      </c>
      <c r="BQ11" s="975" t="n">
        <v>4213780</v>
      </c>
      <c r="BR11" s="976" t="s">
        <v>199</v>
      </c>
      <c r="BS11" s="979"/>
      <c r="BW11" s="53"/>
      <c r="BX11" s="53"/>
    </row>
    <row r="12" customFormat="false" ht="11.25" hidden="false" customHeight="true" outlineLevel="0" collapsed="false">
      <c r="A12" s="132" t="s">
        <v>1582</v>
      </c>
      <c r="B12" s="962" t="n">
        <v>2010</v>
      </c>
      <c r="E12" s="963" t="s">
        <v>1583</v>
      </c>
      <c r="F12" s="175"/>
      <c r="G12" s="963" t="s">
        <v>1572</v>
      </c>
      <c r="I12" s="963" t="s">
        <v>165</v>
      </c>
      <c r="J12" s="963" t="s">
        <v>1584</v>
      </c>
      <c r="K12" s="988" t="s">
        <v>584</v>
      </c>
      <c r="O12" s="963" t="s">
        <v>1385</v>
      </c>
      <c r="V12" s="983" t="s">
        <v>165</v>
      </c>
      <c r="W12" s="990"/>
      <c r="X12" s="971" t="s">
        <v>1585</v>
      </c>
      <c r="Y12" s="962" t="s">
        <v>1391</v>
      </c>
      <c r="AP12" s="678"/>
      <c r="AW12" s="975" t="s">
        <v>164</v>
      </c>
      <c r="AX12" s="975" t="s">
        <v>164</v>
      </c>
      <c r="AZ12" s="975" t="s">
        <v>1586</v>
      </c>
      <c r="BB12" s="975" t="s">
        <v>1587</v>
      </c>
      <c r="BC12" s="975" t="s">
        <v>1490</v>
      </c>
      <c r="BE12" s="975" t="n">
        <v>2010</v>
      </c>
      <c r="BF12" s="975" t="s">
        <v>1076</v>
      </c>
      <c r="BH12" s="976" t="s">
        <v>1588</v>
      </c>
      <c r="BJ12" s="976" t="s">
        <v>1589</v>
      </c>
      <c r="BL12" s="976" t="s">
        <v>1589</v>
      </c>
      <c r="BN12" s="976" t="s">
        <v>1590</v>
      </c>
      <c r="BQ12" s="975" t="n">
        <v>4213779</v>
      </c>
      <c r="BR12" s="976" t="s">
        <v>1549</v>
      </c>
      <c r="BS12" s="979"/>
      <c r="BT12" s="230"/>
      <c r="BU12" s="230"/>
      <c r="BV12" s="230"/>
      <c r="BW12" s="53"/>
      <c r="BX12" s="53"/>
    </row>
    <row r="13" customFormat="false" ht="11.25" hidden="false" customHeight="true" outlineLevel="0" collapsed="false">
      <c r="A13" s="132" t="s">
        <v>1591</v>
      </c>
      <c r="B13" s="962" t="n">
        <v>2011</v>
      </c>
      <c r="E13" s="963" t="s">
        <v>1592</v>
      </c>
      <c r="F13" s="175"/>
      <c r="I13" s="963" t="s">
        <v>166</v>
      </c>
      <c r="K13" s="988" t="s">
        <v>1548</v>
      </c>
      <c r="V13" s="983" t="s">
        <v>166</v>
      </c>
      <c r="W13" s="990"/>
      <c r="X13" s="990"/>
      <c r="Y13" s="990"/>
      <c r="AW13" s="975" t="s">
        <v>165</v>
      </c>
      <c r="AX13" s="975" t="s">
        <v>165</v>
      </c>
      <c r="BB13" s="975" t="s">
        <v>1593</v>
      </c>
      <c r="BC13" s="975" t="s">
        <v>1594</v>
      </c>
      <c r="BE13" s="975" t="n">
        <v>2011</v>
      </c>
      <c r="BF13" s="975" t="s">
        <v>1059</v>
      </c>
      <c r="BH13" s="976" t="s">
        <v>1595</v>
      </c>
      <c r="BJ13" s="976" t="s">
        <v>1580</v>
      </c>
      <c r="BL13" s="976" t="s">
        <v>1580</v>
      </c>
      <c r="BN13" s="976" t="s">
        <v>1596</v>
      </c>
      <c r="BQ13" s="975" t="n">
        <v>4213783</v>
      </c>
      <c r="BR13" s="976" t="s">
        <v>1562</v>
      </c>
      <c r="BS13" s="979"/>
      <c r="BT13" s="230"/>
      <c r="BU13" s="230"/>
      <c r="BV13" s="230"/>
      <c r="BW13" s="230"/>
      <c r="BX13" s="53"/>
    </row>
    <row r="14" customFormat="false" ht="11.25" hidden="false" customHeight="true" outlineLevel="0" collapsed="false">
      <c r="A14" s="132" t="s">
        <v>1597</v>
      </c>
      <c r="B14" s="962" t="n">
        <v>2012</v>
      </c>
      <c r="I14" s="963" t="s">
        <v>167</v>
      </c>
      <c r="J14" s="954" t="s">
        <v>1598</v>
      </c>
      <c r="N14" s="954" t="s">
        <v>1599</v>
      </c>
      <c r="V14" s="970" t="n">
        <v>13</v>
      </c>
      <c r="W14" s="971"/>
      <c r="X14" s="971" t="s">
        <v>1422</v>
      </c>
      <c r="Y14" s="962" t="s">
        <v>1391</v>
      </c>
      <c r="AW14" s="975" t="s">
        <v>166</v>
      </c>
      <c r="AX14" s="975" t="s">
        <v>166</v>
      </c>
      <c r="AZ14" s="954" t="s">
        <v>1600</v>
      </c>
      <c r="BB14" s="975" t="s">
        <v>1601</v>
      </c>
      <c r="BC14" s="975" t="s">
        <v>1594</v>
      </c>
      <c r="BE14" s="975" t="n">
        <v>2012</v>
      </c>
      <c r="BH14" s="976" t="s">
        <v>1527</v>
      </c>
      <c r="BJ14" s="991" t="s">
        <v>1602</v>
      </c>
      <c r="BL14" s="991" t="s">
        <v>1602</v>
      </c>
      <c r="BN14" s="976" t="s">
        <v>1603</v>
      </c>
      <c r="BQ14" s="975" t="n">
        <v>4213782</v>
      </c>
      <c r="BR14" s="976" t="s">
        <v>205</v>
      </c>
      <c r="BS14" s="979"/>
      <c r="BT14" s="230"/>
      <c r="BU14" s="230"/>
      <c r="BV14" s="230"/>
      <c r="BW14" s="230"/>
      <c r="BX14" s="53"/>
    </row>
    <row r="15" customFormat="false" ht="19.5" hidden="false" customHeight="true" outlineLevel="0" collapsed="false">
      <c r="A15" s="132" t="s">
        <v>1604</v>
      </c>
      <c r="B15" s="962" t="n">
        <v>2013</v>
      </c>
      <c r="E15" s="992" t="s">
        <v>1605</v>
      </c>
      <c r="G15" s="955" t="s">
        <v>1606</v>
      </c>
      <c r="H15" s="955" t="s">
        <v>1607</v>
      </c>
      <c r="I15" s="964" t="s">
        <v>168</v>
      </c>
      <c r="J15" s="990" t="s">
        <v>611</v>
      </c>
      <c r="N15" s="993" t="s">
        <v>1608</v>
      </c>
      <c r="X15" s="678"/>
      <c r="AW15" s="975" t="s">
        <v>167</v>
      </c>
      <c r="AX15" s="975" t="s">
        <v>167</v>
      </c>
      <c r="AZ15" s="975" t="s">
        <v>66</v>
      </c>
      <c r="BB15" s="975" t="s">
        <v>1609</v>
      </c>
      <c r="BC15" s="975" t="s">
        <v>1594</v>
      </c>
      <c r="BE15" s="975" t="n">
        <v>2013</v>
      </c>
      <c r="BH15" s="976" t="s">
        <v>1540</v>
      </c>
      <c r="BJ15" s="991" t="s">
        <v>1610</v>
      </c>
      <c r="BL15" s="991" t="s">
        <v>1610</v>
      </c>
      <c r="BN15" s="976" t="s">
        <v>1611</v>
      </c>
      <c r="BR15" s="230"/>
      <c r="BS15" s="230"/>
      <c r="BT15" s="230"/>
      <c r="BU15" s="230"/>
      <c r="BV15" s="230"/>
      <c r="BW15" s="230"/>
      <c r="BX15" s="53"/>
    </row>
    <row r="16" customFormat="false" ht="21" hidden="false" customHeight="true" outlineLevel="0" collapsed="false">
      <c r="A16" s="994" t="s">
        <v>1612</v>
      </c>
      <c r="B16" s="962" t="n">
        <v>2014</v>
      </c>
      <c r="E16" s="995" t="s">
        <v>1613</v>
      </c>
      <c r="G16" s="963" t="s">
        <v>1614</v>
      </c>
      <c r="H16" s="963" t="s">
        <v>1615</v>
      </c>
      <c r="I16" s="964" t="s">
        <v>1094</v>
      </c>
      <c r="J16" s="990" t="s">
        <v>569</v>
      </c>
      <c r="N16" s="993" t="s">
        <v>1616</v>
      </c>
      <c r="AW16" s="975" t="s">
        <v>168</v>
      </c>
      <c r="AX16" s="975" t="s">
        <v>168</v>
      </c>
      <c r="AZ16" s="975" t="s">
        <v>1551</v>
      </c>
      <c r="BB16" s="975" t="s">
        <v>1617</v>
      </c>
      <c r="BC16" s="975" t="s">
        <v>1594</v>
      </c>
      <c r="BE16" s="975" t="n">
        <v>2014</v>
      </c>
      <c r="BH16" s="976" t="s">
        <v>1554</v>
      </c>
      <c r="BJ16" s="991" t="s">
        <v>1618</v>
      </c>
      <c r="BL16" s="991" t="s">
        <v>1618</v>
      </c>
      <c r="BN16" s="976" t="s">
        <v>1619</v>
      </c>
      <c r="BR16" s="230"/>
      <c r="BS16" s="230"/>
      <c r="BT16" s="230"/>
      <c r="BU16" s="230"/>
      <c r="BV16" s="230"/>
      <c r="BW16" s="230"/>
      <c r="BX16" s="53"/>
    </row>
    <row r="17" customFormat="false" ht="21" hidden="false" customHeight="true" outlineLevel="0" collapsed="false">
      <c r="A17" s="132" t="s">
        <v>1620</v>
      </c>
      <c r="B17" s="962" t="n">
        <v>2015</v>
      </c>
      <c r="G17" s="963" t="s">
        <v>1572</v>
      </c>
      <c r="H17" s="963" t="s">
        <v>1572</v>
      </c>
      <c r="I17" s="963" t="s">
        <v>1100</v>
      </c>
      <c r="N17" s="993" t="s">
        <v>1621</v>
      </c>
      <c r="X17" s="678"/>
      <c r="AW17" s="975" t="s">
        <v>1094</v>
      </c>
      <c r="AX17" s="975" t="s">
        <v>1094</v>
      </c>
      <c r="AZ17" s="975" t="s">
        <v>1622</v>
      </c>
      <c r="BB17" s="975" t="s">
        <v>1623</v>
      </c>
      <c r="BC17" s="975" t="s">
        <v>1490</v>
      </c>
      <c r="BE17" s="975" t="n">
        <v>2015</v>
      </c>
      <c r="BH17" s="976" t="s">
        <v>1568</v>
      </c>
      <c r="BJ17" s="991" t="s">
        <v>1624</v>
      </c>
      <c r="BL17" s="991" t="s">
        <v>1624</v>
      </c>
      <c r="BN17" s="976" t="s">
        <v>1625</v>
      </c>
      <c r="BR17" s="954" t="s">
        <v>1432</v>
      </c>
      <c r="BS17" s="254"/>
      <c r="BU17" s="954" t="s">
        <v>1626</v>
      </c>
      <c r="BV17" s="230"/>
      <c r="BW17" s="53"/>
      <c r="BX17" s="954" t="s">
        <v>1627</v>
      </c>
      <c r="CA17" s="954" t="s">
        <v>1628</v>
      </c>
      <c r="CD17" s="954" t="s">
        <v>1629</v>
      </c>
    </row>
    <row r="18" customFormat="false" ht="21" hidden="false" customHeight="true" outlineLevel="0" collapsed="false">
      <c r="A18" s="132" t="s">
        <v>1630</v>
      </c>
      <c r="B18" s="962" t="n">
        <v>2016</v>
      </c>
      <c r="E18" s="955" t="s">
        <v>1631</v>
      </c>
      <c r="I18" s="963" t="s">
        <v>1102</v>
      </c>
      <c r="N18" s="993" t="s">
        <v>1632</v>
      </c>
      <c r="X18" s="678"/>
      <c r="AW18" s="975" t="s">
        <v>1100</v>
      </c>
      <c r="AX18" s="975" t="s">
        <v>1100</v>
      </c>
      <c r="BB18" s="975" t="s">
        <v>1633</v>
      </c>
      <c r="BC18" s="975" t="s">
        <v>1490</v>
      </c>
      <c r="BE18" s="975" t="n">
        <v>2016</v>
      </c>
      <c r="BH18" s="976" t="s">
        <v>1581</v>
      </c>
      <c r="BJ18" s="991" t="s">
        <v>1634</v>
      </c>
      <c r="BL18" s="991" t="s">
        <v>1634</v>
      </c>
      <c r="BN18" s="976" t="s">
        <v>1635</v>
      </c>
      <c r="BQ18" s="977" t="s">
        <v>1462</v>
      </c>
      <c r="BR18" s="678" t="s">
        <v>1463</v>
      </c>
      <c r="BS18" s="678"/>
      <c r="BT18" s="977" t="s">
        <v>1636</v>
      </c>
      <c r="BU18" s="678" t="s">
        <v>1637</v>
      </c>
      <c r="BV18" s="230"/>
      <c r="BW18" s="977" t="s">
        <v>1638</v>
      </c>
      <c r="BX18" s="678" t="s">
        <v>1639</v>
      </c>
      <c r="BZ18" s="977" t="s">
        <v>1640</v>
      </c>
      <c r="CA18" s="678" t="s">
        <v>1641</v>
      </c>
      <c r="CC18" s="977" t="s">
        <v>1642</v>
      </c>
      <c r="CD18" s="678" t="s">
        <v>1643</v>
      </c>
    </row>
    <row r="19" customFormat="false" ht="21" hidden="false" customHeight="true" outlineLevel="0" collapsed="false">
      <c r="A19" s="994" t="s">
        <v>1644</v>
      </c>
      <c r="B19" s="962" t="n">
        <v>2017</v>
      </c>
      <c r="E19" s="132" t="s">
        <v>180</v>
      </c>
      <c r="I19" s="963" t="s">
        <v>1111</v>
      </c>
      <c r="N19" s="993" t="s">
        <v>1645</v>
      </c>
      <c r="X19" s="678"/>
      <c r="AW19" s="975" t="s">
        <v>1102</v>
      </c>
      <c r="AX19" s="975" t="s">
        <v>1102</v>
      </c>
      <c r="AZ19" s="954" t="s">
        <v>1646</v>
      </c>
      <c r="BB19" s="975" t="s">
        <v>1647</v>
      </c>
      <c r="BC19" s="975" t="s">
        <v>1490</v>
      </c>
      <c r="BE19" s="975" t="n">
        <v>2017</v>
      </c>
      <c r="BH19" s="976" t="s">
        <v>1648</v>
      </c>
      <c r="BJ19" s="991" t="s">
        <v>1649</v>
      </c>
      <c r="BL19" s="991" t="s">
        <v>1649</v>
      </c>
      <c r="BQ19" s="975" t="n">
        <v>4190064</v>
      </c>
      <c r="BR19" s="976" t="s">
        <v>1650</v>
      </c>
      <c r="BS19" s="979"/>
      <c r="BT19" s="975" t="n">
        <v>4189671</v>
      </c>
      <c r="BU19" s="976" t="s">
        <v>1651</v>
      </c>
      <c r="BV19" s="230"/>
      <c r="BW19" s="975" t="n">
        <v>4189706</v>
      </c>
      <c r="BX19" s="976" t="s">
        <v>1652</v>
      </c>
      <c r="BZ19" s="975" t="n">
        <v>4189714</v>
      </c>
      <c r="CA19" s="976" t="s">
        <v>1653</v>
      </c>
      <c r="CC19" s="975" t="n">
        <v>4189708</v>
      </c>
      <c r="CD19" s="976" t="s">
        <v>1654</v>
      </c>
    </row>
    <row r="20" customFormat="false" ht="21" hidden="false" customHeight="true" outlineLevel="0" collapsed="false">
      <c r="A20" s="132" t="s">
        <v>1655</v>
      </c>
      <c r="B20" s="962" t="n">
        <v>2018</v>
      </c>
      <c r="E20" s="132" t="s">
        <v>1422</v>
      </c>
      <c r="I20" s="963" t="s">
        <v>1114</v>
      </c>
      <c r="N20" s="993" t="s">
        <v>1656</v>
      </c>
      <c r="AW20" s="975" t="s">
        <v>1111</v>
      </c>
      <c r="AX20" s="975" t="s">
        <v>1111</v>
      </c>
      <c r="AZ20" s="975" t="s">
        <v>1657</v>
      </c>
      <c r="BB20" s="975" t="s">
        <v>1658</v>
      </c>
      <c r="BC20" s="975" t="s">
        <v>1594</v>
      </c>
      <c r="BE20" s="975" t="n">
        <v>2018</v>
      </c>
      <c r="BH20" s="976" t="s">
        <v>1590</v>
      </c>
      <c r="BJ20" s="976" t="s">
        <v>1527</v>
      </c>
      <c r="BL20" s="976" t="s">
        <v>1527</v>
      </c>
      <c r="BQ20" s="975" t="n">
        <v>4190065</v>
      </c>
      <c r="BR20" s="976" t="s">
        <v>1659</v>
      </c>
      <c r="BS20" s="979"/>
      <c r="BT20" s="975" t="n">
        <v>4189672</v>
      </c>
      <c r="BU20" s="976" t="s">
        <v>1660</v>
      </c>
      <c r="BV20" s="230"/>
      <c r="BW20" s="975" t="n">
        <v>4189705</v>
      </c>
      <c r="BX20" s="976" t="s">
        <v>1661</v>
      </c>
      <c r="BZ20" s="975" t="n">
        <v>4189713</v>
      </c>
      <c r="CA20" s="976" t="s">
        <v>1661</v>
      </c>
      <c r="CC20" s="975" t="n">
        <v>4189709</v>
      </c>
      <c r="CD20" s="976" t="s">
        <v>1662</v>
      </c>
    </row>
    <row r="21" customFormat="false" ht="21" hidden="false" customHeight="true" outlineLevel="0" collapsed="false">
      <c r="A21" s="132" t="s">
        <v>1663</v>
      </c>
      <c r="B21" s="962" t="n">
        <v>2019</v>
      </c>
      <c r="I21" s="963" t="s">
        <v>1116</v>
      </c>
      <c r="N21" s="993" t="s">
        <v>1664</v>
      </c>
      <c r="AW21" s="975" t="s">
        <v>1114</v>
      </c>
      <c r="AX21" s="975" t="s">
        <v>1114</v>
      </c>
      <c r="AZ21" s="975" t="s">
        <v>1665</v>
      </c>
      <c r="BB21" s="975" t="s">
        <v>1666</v>
      </c>
      <c r="BC21" s="975" t="s">
        <v>1490</v>
      </c>
      <c r="BE21" s="975" t="n">
        <v>2019</v>
      </c>
      <c r="BH21" s="976" t="s">
        <v>1596</v>
      </c>
      <c r="BJ21" s="976" t="s">
        <v>1540</v>
      </c>
      <c r="BL21" s="976" t="s">
        <v>1540</v>
      </c>
      <c r="BQ21" s="975" t="n">
        <v>4190066</v>
      </c>
      <c r="BR21" s="976" t="s">
        <v>1667</v>
      </c>
      <c r="BS21" s="979"/>
      <c r="BT21" s="975" t="n">
        <v>4189673</v>
      </c>
      <c r="BU21" s="976" t="s">
        <v>1668</v>
      </c>
      <c r="BV21" s="230"/>
      <c r="BW21" s="975" t="n">
        <v>4189707</v>
      </c>
      <c r="BX21" s="976" t="s">
        <v>1669</v>
      </c>
      <c r="BZ21" s="975" t="n">
        <v>4189712</v>
      </c>
      <c r="CA21" s="976" t="s">
        <v>1670</v>
      </c>
      <c r="CC21" s="975" t="n">
        <v>4189710</v>
      </c>
      <c r="CD21" s="976" t="s">
        <v>1671</v>
      </c>
    </row>
    <row r="22" customFormat="false" ht="21" hidden="false" customHeight="true" outlineLevel="0" collapsed="false">
      <c r="A22" s="132" t="s">
        <v>1672</v>
      </c>
      <c r="B22" s="962" t="n">
        <v>2020</v>
      </c>
      <c r="N22" s="993" t="s">
        <v>1673</v>
      </c>
      <c r="AW22" s="975" t="s">
        <v>1116</v>
      </c>
      <c r="AX22" s="975" t="s">
        <v>1116</v>
      </c>
      <c r="AZ22" s="975" t="s">
        <v>1674</v>
      </c>
      <c r="BB22" s="975" t="s">
        <v>1675</v>
      </c>
      <c r="BC22" s="975" t="s">
        <v>1490</v>
      </c>
      <c r="BE22" s="975" t="n">
        <v>2020</v>
      </c>
      <c r="BH22" s="976" t="s">
        <v>1603</v>
      </c>
      <c r="BJ22" s="976" t="s">
        <v>1554</v>
      </c>
      <c r="BL22" s="976" t="s">
        <v>1554</v>
      </c>
      <c r="BQ22" s="975" t="n">
        <v>4190067</v>
      </c>
      <c r="BR22" s="976" t="s">
        <v>1676</v>
      </c>
      <c r="BS22" s="979"/>
      <c r="BT22" s="975" t="n">
        <v>4189674</v>
      </c>
      <c r="BU22" s="976" t="s">
        <v>1677</v>
      </c>
      <c r="BV22" s="230"/>
      <c r="BW22" s="230"/>
      <c r="CC22" s="975" t="n">
        <v>4189711</v>
      </c>
      <c r="CD22" s="976" t="s">
        <v>306</v>
      </c>
    </row>
    <row r="23" customFormat="false" ht="21" hidden="false" customHeight="true" outlineLevel="0" collapsed="false">
      <c r="A23" s="132" t="s">
        <v>1678</v>
      </c>
      <c r="B23" s="962" t="n">
        <v>2021</v>
      </c>
      <c r="AW23" s="975" t="s">
        <v>1124</v>
      </c>
      <c r="AX23" s="975" t="s">
        <v>1124</v>
      </c>
      <c r="AZ23" s="975" t="s">
        <v>1679</v>
      </c>
      <c r="BB23" s="975" t="s">
        <v>1680</v>
      </c>
      <c r="BC23" s="975" t="s">
        <v>583</v>
      </c>
      <c r="BE23" s="975" t="n">
        <v>2021</v>
      </c>
      <c r="BH23" s="976" t="s">
        <v>1611</v>
      </c>
      <c r="BJ23" s="976" t="s">
        <v>1568</v>
      </c>
      <c r="BL23" s="976" t="s">
        <v>1568</v>
      </c>
      <c r="BQ23" s="975" t="n">
        <v>4190068</v>
      </c>
      <c r="BR23" s="976" t="s">
        <v>1681</v>
      </c>
      <c r="BS23" s="979"/>
      <c r="BT23" s="975" t="n">
        <v>4189675</v>
      </c>
      <c r="BU23" s="976" t="s">
        <v>1682</v>
      </c>
      <c r="BV23" s="230"/>
      <c r="BW23" s="230"/>
      <c r="CC23" s="975" t="n">
        <v>5110778</v>
      </c>
      <c r="CD23" s="976" t="s">
        <v>1683</v>
      </c>
    </row>
    <row r="24" customFormat="false" ht="21" hidden="false" customHeight="true" outlineLevel="0" collapsed="false">
      <c r="A24" s="132" t="s">
        <v>1684</v>
      </c>
      <c r="B24" s="962" t="n">
        <v>2022</v>
      </c>
      <c r="AW24" s="975" t="s">
        <v>1126</v>
      </c>
      <c r="AX24" s="975" t="s">
        <v>1126</v>
      </c>
      <c r="AZ24" s="975" t="s">
        <v>1685</v>
      </c>
      <c r="BB24" s="975" t="s">
        <v>1686</v>
      </c>
      <c r="BC24" s="975" t="s">
        <v>1687</v>
      </c>
      <c r="BE24" s="975" t="n">
        <v>2022</v>
      </c>
      <c r="BH24" s="976" t="s">
        <v>1619</v>
      </c>
      <c r="BJ24" s="976" t="s">
        <v>1581</v>
      </c>
      <c r="BL24" s="976" t="s">
        <v>1581</v>
      </c>
      <c r="BQ24" s="975" t="n">
        <v>4190069</v>
      </c>
      <c r="BR24" s="976" t="s">
        <v>1688</v>
      </c>
      <c r="BS24" s="979"/>
      <c r="BT24" s="975" t="n">
        <v>4189676</v>
      </c>
      <c r="BU24" s="976" t="s">
        <v>1689</v>
      </c>
      <c r="BV24" s="230"/>
      <c r="BW24" s="230"/>
      <c r="CC24" s="975" t="n">
        <v>25575374</v>
      </c>
      <c r="CD24" s="976" t="s">
        <v>1690</v>
      </c>
    </row>
    <row r="25" customFormat="false" ht="11.25" hidden="false" customHeight="true" outlineLevel="0" collapsed="false">
      <c r="A25" s="132" t="s">
        <v>1691</v>
      </c>
      <c r="B25" s="962" t="n">
        <v>2023</v>
      </c>
      <c r="AW25" s="975" t="s">
        <v>1128</v>
      </c>
      <c r="AX25" s="975" t="s">
        <v>1128</v>
      </c>
      <c r="AZ25" s="975" t="s">
        <v>1017</v>
      </c>
      <c r="BB25" s="975" t="s">
        <v>1692</v>
      </c>
      <c r="BC25" s="975" t="s">
        <v>1687</v>
      </c>
      <c r="BE25" s="975" t="n">
        <v>2023</v>
      </c>
      <c r="BH25" s="976" t="s">
        <v>1625</v>
      </c>
      <c r="BJ25" s="976" t="s">
        <v>1648</v>
      </c>
      <c r="BL25" s="976" t="s">
        <v>1648</v>
      </c>
      <c r="BQ25" s="975" t="n">
        <v>4190070</v>
      </c>
      <c r="BR25" s="976" t="s">
        <v>1693</v>
      </c>
      <c r="BS25" s="979"/>
      <c r="BT25" s="975" t="n">
        <v>4189677</v>
      </c>
      <c r="BU25" s="976" t="s">
        <v>1694</v>
      </c>
      <c r="BV25" s="230"/>
      <c r="BW25" s="230"/>
    </row>
    <row r="26" customFormat="false" ht="11.25" hidden="false" customHeight="true" outlineLevel="0" collapsed="false">
      <c r="A26" s="132" t="s">
        <v>1695</v>
      </c>
      <c r="B26" s="962" t="n">
        <v>2024</v>
      </c>
      <c r="J26" s="996" t="s">
        <v>1696</v>
      </c>
      <c r="AX26" s="975" t="s">
        <v>1130</v>
      </c>
      <c r="AZ26" s="975" t="s">
        <v>1575</v>
      </c>
      <c r="BB26" s="975" t="s">
        <v>1697</v>
      </c>
      <c r="BC26" s="975" t="s">
        <v>1687</v>
      </c>
      <c r="BE26" s="975" t="n">
        <v>2024</v>
      </c>
      <c r="BH26" s="976" t="s">
        <v>1635</v>
      </c>
      <c r="BJ26" s="976" t="s">
        <v>1590</v>
      </c>
      <c r="BL26" s="976" t="s">
        <v>1590</v>
      </c>
      <c r="BQ26" s="975" t="n">
        <v>4190071</v>
      </c>
      <c r="BR26" s="976" t="s">
        <v>1698</v>
      </c>
      <c r="BS26" s="979"/>
      <c r="BV26" s="230"/>
      <c r="BW26" s="230"/>
    </row>
    <row r="27" customFormat="false" ht="11.25" hidden="false" customHeight="true" outlineLevel="0" collapsed="false">
      <c r="A27" s="132" t="s">
        <v>1699</v>
      </c>
      <c r="B27" s="962" t="n">
        <v>2025</v>
      </c>
      <c r="J27" s="138" t="s">
        <v>103</v>
      </c>
      <c r="AX27" s="975" t="s">
        <v>1132</v>
      </c>
      <c r="BB27" s="975" t="s">
        <v>1700</v>
      </c>
      <c r="BC27" s="975" t="s">
        <v>1687</v>
      </c>
      <c r="BE27" s="975" t="n">
        <v>2025</v>
      </c>
      <c r="BJ27" s="976" t="s">
        <v>1596</v>
      </c>
      <c r="BL27" s="976" t="s">
        <v>1596</v>
      </c>
      <c r="BQ27" s="975" t="n">
        <v>4190072</v>
      </c>
      <c r="BR27" s="976" t="s">
        <v>1701</v>
      </c>
      <c r="BS27" s="979"/>
      <c r="BV27" s="230"/>
      <c r="BW27" s="230"/>
    </row>
    <row r="28" customFormat="false" ht="11.25" hidden="false" customHeight="true" outlineLevel="0" collapsed="false">
      <c r="A28" s="132" t="s">
        <v>1702</v>
      </c>
      <c r="D28" s="132"/>
      <c r="E28" s="997"/>
      <c r="F28" s="997"/>
      <c r="H28" s="228" t="s">
        <v>1703</v>
      </c>
      <c r="AX28" s="975" t="s">
        <v>1134</v>
      </c>
      <c r="AZ28" s="954" t="s">
        <v>1704</v>
      </c>
      <c r="BB28" s="975" t="s">
        <v>1705</v>
      </c>
      <c r="BC28" s="975" t="s">
        <v>1706</v>
      </c>
      <c r="BE28" s="975" t="n">
        <v>2026</v>
      </c>
      <c r="BJ28" s="976" t="s">
        <v>1603</v>
      </c>
      <c r="BL28" s="976" t="s">
        <v>1603</v>
      </c>
      <c r="BQ28" s="975" t="n">
        <v>4190073</v>
      </c>
      <c r="BR28" s="976" t="s">
        <v>1707</v>
      </c>
      <c r="BS28" s="979"/>
      <c r="BV28" s="230"/>
      <c r="BW28" s="230"/>
    </row>
    <row r="29" customFormat="false" ht="11.25" hidden="false" customHeight="true" outlineLevel="0" collapsed="false">
      <c r="A29" s="132" t="s">
        <v>1708</v>
      </c>
      <c r="D29" s="998" t="s">
        <v>1709</v>
      </c>
      <c r="E29" s="999" t="e">
        <f aca="false">IF(TEMPLATE_GROUP="","",INDEX(StartDateList,MATCH(TEMPLATE_GROUP,CodeTemplateList,0),1))</f>
        <v>#NAME?</v>
      </c>
      <c r="F29" s="999" t="e">
        <f aca="false">IF(TEMPLATE_GROUP="","",INDEX(EndDateList,MATCH(TEMPLATE_GROUP,CodeTemplateList,0),1))</f>
        <v>#NAME?</v>
      </c>
      <c r="H29" s="1000" t="s">
        <v>1710</v>
      </c>
      <c r="AX29" s="975" t="s">
        <v>1148</v>
      </c>
      <c r="AZ29" s="975" t="s">
        <v>1386</v>
      </c>
      <c r="BB29" s="975" t="s">
        <v>1575</v>
      </c>
      <c r="BC29" s="96"/>
      <c r="BE29" s="975" t="n">
        <v>2027</v>
      </c>
      <c r="BJ29" s="976" t="s">
        <v>1611</v>
      </c>
      <c r="BL29" s="976" t="s">
        <v>1611</v>
      </c>
    </row>
    <row r="30" customFormat="false" ht="11.25" hidden="false" customHeight="true" outlineLevel="0" collapsed="false">
      <c r="A30" s="132" t="s">
        <v>1711</v>
      </c>
      <c r="D30" s="1001"/>
      <c r="E30" s="1002"/>
      <c r="F30" s="1002"/>
      <c r="AX30" s="975" t="s">
        <v>1149</v>
      </c>
      <c r="AZ30" s="975" t="s">
        <v>1411</v>
      </c>
      <c r="BE30" s="975" t="n">
        <v>2028</v>
      </c>
      <c r="BJ30" s="976" t="s">
        <v>1712</v>
      </c>
      <c r="BL30" s="976" t="s">
        <v>1712</v>
      </c>
    </row>
    <row r="31" customFormat="false" ht="12.75" hidden="false" customHeight="true" outlineLevel="0" collapsed="false">
      <c r="A31" s="132" t="s">
        <v>1713</v>
      </c>
      <c r="D31" s="132"/>
      <c r="E31" s="997"/>
      <c r="F31" s="997"/>
      <c r="H31" s="1003"/>
      <c r="AX31" s="975" t="s">
        <v>1150</v>
      </c>
      <c r="AZ31" s="975" t="s">
        <v>1714</v>
      </c>
      <c r="BE31" s="975" t="n">
        <v>2029</v>
      </c>
      <c r="BJ31" s="976" t="s">
        <v>1715</v>
      </c>
      <c r="BL31" s="976" t="s">
        <v>1715</v>
      </c>
    </row>
    <row r="32" customFormat="false" ht="11.25" hidden="false" customHeight="true" outlineLevel="0" collapsed="false">
      <c r="A32" s="132" t="s">
        <v>1716</v>
      </c>
      <c r="D32" s="998" t="s">
        <v>1717</v>
      </c>
      <c r="E32" s="999" t="e">
        <f aca="false">IF(TEMPLATE_GROUP="","",INDEX(StartDateList,MATCH(TEMPLATE_GROUP,CodeTemplateList,0),1))</f>
        <v>#NAME?</v>
      </c>
      <c r="F32" s="999" t="e">
        <f aca="false">IF(TEMPLATE_GROUP="","",INDEX(EndDateList,MATCH(TEMPLATE_GROUP,CodeTemplateList,0),1))</f>
        <v>#NAME?</v>
      </c>
      <c r="H32" s="1004" t="s">
        <v>1718</v>
      </c>
      <c r="O32" s="132" t="s">
        <v>1384</v>
      </c>
      <c r="AX32" s="975" t="s">
        <v>1151</v>
      </c>
      <c r="AZ32" s="975" t="s">
        <v>1478</v>
      </c>
      <c r="BE32" s="975" t="n">
        <v>2030</v>
      </c>
      <c r="BJ32" s="976" t="s">
        <v>1619</v>
      </c>
      <c r="BL32" s="976" t="s">
        <v>1619</v>
      </c>
    </row>
    <row r="33" customFormat="false" ht="11.25" hidden="false" customHeight="true" outlineLevel="0" collapsed="false">
      <c r="A33" s="132" t="s">
        <v>1719</v>
      </c>
      <c r="O33" s="132" t="s">
        <v>1408</v>
      </c>
      <c r="AX33" s="975" t="s">
        <v>1152</v>
      </c>
      <c r="AZ33" s="975" t="s">
        <v>1385</v>
      </c>
      <c r="BE33" s="975" t="n">
        <v>2031</v>
      </c>
      <c r="BJ33" s="976" t="s">
        <v>1625</v>
      </c>
      <c r="BL33" s="976" t="s">
        <v>1625</v>
      </c>
    </row>
    <row r="34" customFormat="false" ht="11.25" hidden="false" customHeight="true" outlineLevel="0" collapsed="false">
      <c r="A34" s="132" t="s">
        <v>1720</v>
      </c>
      <c r="O34" s="132" t="s">
        <v>1443</v>
      </c>
      <c r="AX34" s="975" t="s">
        <v>1153</v>
      </c>
      <c r="BE34" s="975" t="n">
        <v>2032</v>
      </c>
      <c r="BJ34" s="976" t="s">
        <v>1635</v>
      </c>
      <c r="BL34" s="976" t="s">
        <v>1635</v>
      </c>
    </row>
    <row r="35" customFormat="false" ht="11.25" hidden="false" customHeight="true" outlineLevel="0" collapsed="false">
      <c r="A35" s="132" t="s">
        <v>1721</v>
      </c>
      <c r="O35" s="132" t="s">
        <v>1476</v>
      </c>
      <c r="AX35" s="975" t="s">
        <v>1722</v>
      </c>
      <c r="AZ35" s="954" t="s">
        <v>1723</v>
      </c>
      <c r="BE35" s="975" t="n">
        <v>2033</v>
      </c>
      <c r="BL35" s="976" t="s">
        <v>1724</v>
      </c>
    </row>
    <row r="36" customFormat="false" ht="11.25" hidden="false" customHeight="true" outlineLevel="0" collapsed="false">
      <c r="A36" s="994" t="s">
        <v>1725</v>
      </c>
      <c r="D36" s="1005" t="s">
        <v>1726</v>
      </c>
      <c r="E36" s="1006" t="s">
        <v>838</v>
      </c>
      <c r="F36" s="974" t="str">
        <f aca="false">INDEX(E37:E41,MATCH(TEMPLATE_SPHERE,F37:F41,0))</f>
        <v>теплоснабжения</v>
      </c>
      <c r="G36" s="974" t="str">
        <f aca="false">INDEX(G37:G41,MATCH(TEMPLATE_SPHERE,F37:F41,0))</f>
        <v>теплоснабжение</v>
      </c>
      <c r="O36" s="132" t="s">
        <v>1500</v>
      </c>
      <c r="AX36" s="975" t="s">
        <v>1727</v>
      </c>
      <c r="AZ36" s="975" t="s">
        <v>1385</v>
      </c>
      <c r="BE36" s="975" t="n">
        <v>2034</v>
      </c>
      <c r="BL36" s="976" t="s">
        <v>1728</v>
      </c>
    </row>
    <row r="37" customFormat="false" ht="11.25" hidden="false" customHeight="true" outlineLevel="0" collapsed="false">
      <c r="A37" s="132" t="s">
        <v>1729</v>
      </c>
      <c r="E37" s="1007" t="s">
        <v>1730</v>
      </c>
      <c r="F37" s="1008" t="s">
        <v>838</v>
      </c>
      <c r="G37" s="1007" t="s">
        <v>1731</v>
      </c>
      <c r="O37" s="132" t="s">
        <v>1518</v>
      </c>
      <c r="AX37" s="975" t="s">
        <v>1732</v>
      </c>
      <c r="AZ37" s="975" t="s">
        <v>1410</v>
      </c>
      <c r="BE37" s="975" t="n">
        <v>2035</v>
      </c>
    </row>
    <row r="38" customFormat="false" ht="11.25" hidden="false" customHeight="true" outlineLevel="0" collapsed="false">
      <c r="A38" s="132" t="s">
        <v>1733</v>
      </c>
      <c r="E38" s="1007" t="s">
        <v>1734</v>
      </c>
      <c r="F38" s="1009" t="s">
        <v>885</v>
      </c>
      <c r="G38" s="1007" t="s">
        <v>1735</v>
      </c>
      <c r="O38" s="132" t="s">
        <v>1534</v>
      </c>
      <c r="AX38" s="975" t="s">
        <v>1736</v>
      </c>
      <c r="AZ38" s="975" t="s">
        <v>1444</v>
      </c>
      <c r="BE38" s="975" t="n">
        <v>2036</v>
      </c>
      <c r="BH38" s="954" t="s">
        <v>1737</v>
      </c>
      <c r="BJ38" s="954" t="s">
        <v>1738</v>
      </c>
      <c r="BL38" s="954" t="s">
        <v>1739</v>
      </c>
      <c r="BN38" s="954" t="s">
        <v>1740</v>
      </c>
    </row>
    <row r="39" customFormat="false" ht="11.25" hidden="false" customHeight="true" outlineLevel="0" collapsed="false">
      <c r="A39" s="132" t="s">
        <v>1741</v>
      </c>
      <c r="E39" s="1007" t="s">
        <v>1742</v>
      </c>
      <c r="F39" s="1009" t="s">
        <v>938</v>
      </c>
      <c r="G39" s="1007" t="s">
        <v>1743</v>
      </c>
      <c r="O39" s="132" t="s">
        <v>1547</v>
      </c>
      <c r="AX39" s="975" t="s">
        <v>1744</v>
      </c>
      <c r="AZ39" s="975" t="s">
        <v>1477</v>
      </c>
      <c r="BE39" s="975" t="n">
        <v>2037</v>
      </c>
      <c r="BH39" s="976" t="s">
        <v>1745</v>
      </c>
      <c r="BJ39" s="991" t="s">
        <v>1745</v>
      </c>
      <c r="BL39" s="991" t="s">
        <v>1745</v>
      </c>
      <c r="BN39" s="976" t="s">
        <v>1746</v>
      </c>
    </row>
    <row r="40" customFormat="false" ht="11.25" hidden="false" customHeight="true" outlineLevel="0" collapsed="false">
      <c r="A40" s="132" t="s">
        <v>1747</v>
      </c>
      <c r="E40" s="1007" t="s">
        <v>1748</v>
      </c>
      <c r="F40" s="1009" t="s">
        <v>925</v>
      </c>
      <c r="G40" s="1007" t="s">
        <v>1749</v>
      </c>
      <c r="O40" s="132" t="s">
        <v>1561</v>
      </c>
      <c r="AX40" s="975" t="s">
        <v>1750</v>
      </c>
      <c r="BE40" s="975" t="n">
        <v>2038</v>
      </c>
      <c r="BH40" s="976" t="s">
        <v>1751</v>
      </c>
      <c r="BJ40" s="991" t="s">
        <v>1196</v>
      </c>
      <c r="BL40" s="991" t="s">
        <v>1196</v>
      </c>
      <c r="BN40" s="976" t="s">
        <v>1230</v>
      </c>
    </row>
    <row r="41" customFormat="false" ht="11.25" hidden="false" customHeight="true" outlineLevel="0" collapsed="false">
      <c r="A41" s="132" t="s">
        <v>1752</v>
      </c>
      <c r="E41" s="1007" t="s">
        <v>1753</v>
      </c>
      <c r="F41" s="1009" t="s">
        <v>1754</v>
      </c>
      <c r="G41" s="1007" t="s">
        <v>1753</v>
      </c>
      <c r="O41" s="132" t="s">
        <v>1575</v>
      </c>
      <c r="AX41" s="975" t="s">
        <v>1755</v>
      </c>
      <c r="AZ41" s="954" t="s">
        <v>1756</v>
      </c>
      <c r="BE41" s="975" t="n">
        <v>2039</v>
      </c>
      <c r="BH41" s="976" t="s">
        <v>1757</v>
      </c>
      <c r="BJ41" s="991" t="s">
        <v>1192</v>
      </c>
      <c r="BL41" s="991" t="s">
        <v>1192</v>
      </c>
      <c r="BN41" s="976" t="s">
        <v>1217</v>
      </c>
    </row>
    <row r="42" customFormat="false" ht="11.25" hidden="false" customHeight="true" outlineLevel="0" collapsed="false">
      <c r="A42" s="132" t="s">
        <v>1758</v>
      </c>
      <c r="AX42" s="975" t="s">
        <v>1759</v>
      </c>
      <c r="AZ42" s="975" t="s">
        <v>1384</v>
      </c>
      <c r="BE42" s="975" t="n">
        <v>2040</v>
      </c>
      <c r="BH42" s="976" t="s">
        <v>1214</v>
      </c>
      <c r="BJ42" s="991" t="s">
        <v>1194</v>
      </c>
      <c r="BL42" s="991" t="s">
        <v>1194</v>
      </c>
      <c r="BN42" s="976" t="s">
        <v>1760</v>
      </c>
    </row>
    <row r="43" customFormat="false" ht="11.25" hidden="false" customHeight="true" outlineLevel="0" collapsed="false">
      <c r="A43" s="132" t="s">
        <v>1761</v>
      </c>
      <c r="AX43" s="975" t="s">
        <v>1762</v>
      </c>
      <c r="AZ43" s="975" t="s">
        <v>1408</v>
      </c>
      <c r="BE43" s="975" t="n">
        <v>2041</v>
      </c>
      <c r="BH43" s="976" t="s">
        <v>1763</v>
      </c>
      <c r="BJ43" s="991" t="s">
        <v>1757</v>
      </c>
      <c r="BL43" s="991" t="s">
        <v>1757</v>
      </c>
      <c r="BN43" s="976" t="s">
        <v>1764</v>
      </c>
    </row>
    <row r="44" customFormat="false" ht="11.25" hidden="false" customHeight="true" outlineLevel="0" collapsed="false">
      <c r="A44" s="132" t="s">
        <v>1765</v>
      </c>
      <c r="G44" s="748" t="n">
        <f aca="true">YEAR(TODAY())</f>
        <v>2024</v>
      </c>
      <c r="I44" s="1010" t="s">
        <v>1766</v>
      </c>
      <c r="J44" s="990" t="s">
        <v>1767</v>
      </c>
      <c r="K44" s="990" t="s">
        <v>1768</v>
      </c>
      <c r="AX44" s="975" t="s">
        <v>1769</v>
      </c>
      <c r="AZ44" s="975" t="s">
        <v>1443</v>
      </c>
      <c r="BE44" s="975" t="n">
        <v>2042</v>
      </c>
      <c r="BH44" s="976" t="s">
        <v>1770</v>
      </c>
      <c r="BJ44" s="991" t="s">
        <v>1214</v>
      </c>
      <c r="BL44" s="991" t="s">
        <v>1214</v>
      </c>
      <c r="BN44" s="976" t="s">
        <v>1771</v>
      </c>
    </row>
    <row r="45" customFormat="false" ht="11.25" hidden="false" customHeight="true" outlineLevel="0" collapsed="false">
      <c r="A45" s="132" t="s">
        <v>1772</v>
      </c>
      <c r="D45" s="1005" t="s">
        <v>1773</v>
      </c>
      <c r="E45" s="1006" t="s">
        <v>1774</v>
      </c>
      <c r="F45" s="956" t="s">
        <v>1775</v>
      </c>
      <c r="G45" s="1011" t="s">
        <v>1776</v>
      </c>
      <c r="H45" s="1010" t="s">
        <v>1777</v>
      </c>
      <c r="I45" s="1012" t="n">
        <f aca="false">INDEX(PeriodIsEmptyList,MATCH(TEMPLATE_GROUP,CodeTemplateList,0),1)</f>
        <v>0</v>
      </c>
      <c r="J45" s="1013" t="str">
        <f aca="false">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013" t="str">
        <f aca="false">"Перечень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975" t="s">
        <v>1778</v>
      </c>
      <c r="AZ45" s="975" t="s">
        <v>1476</v>
      </c>
      <c r="BE45" s="975" t="n">
        <v>2043</v>
      </c>
      <c r="BH45" s="976" t="s">
        <v>1779</v>
      </c>
      <c r="BJ45" s="991" t="s">
        <v>1208</v>
      </c>
      <c r="BL45" s="991" t="s">
        <v>1208</v>
      </c>
      <c r="BN45" s="976" t="s">
        <v>1780</v>
      </c>
    </row>
    <row r="46" customFormat="false" ht="11.25" hidden="false" customHeight="true" outlineLevel="0" collapsed="false">
      <c r="A46" s="132" t="s">
        <v>1781</v>
      </c>
      <c r="E46" s="1007" t="s">
        <v>26</v>
      </c>
      <c r="F46" s="1008" t="s">
        <v>1782</v>
      </c>
      <c r="G46" s="1014" t="e">
        <f aca="false">_xlfn.iferror(IF(TITLE_DATE_FIL="","01.01."&amp;CURRENT_YEAR,"01.01."&amp;YEAR(TITLE_DATE_FIL)),"01.01."&amp;CURRENT_YEAR)</f>
        <v>#NAME?</v>
      </c>
      <c r="H46" s="1014" t="e">
        <f aca="false">_xlfn.iferror(IF(TITLE_DATE_FIL="","31.12."&amp;CURRENT_YEAR,"31.12."&amp;YEAR(TITLE_DATE_FIL)),"31.12."&amp;CURRENT_YEAR)</f>
        <v>#NAME?</v>
      </c>
      <c r="I46" s="1015" t="n">
        <f aca="false">IF(TITLE_DATE_FIL="",TRUE(),FALSE())</f>
        <v>1</v>
      </c>
      <c r="J46" s="1016" t="str">
        <f aca="false">"Общая информация о регулируемой организации ("&amp;TEMPLATE_SPHERE_RUS&amp;")"</f>
        <v>Общая информация о регулируемой организации (теплоснабжения)</v>
      </c>
      <c r="K46" s="1017"/>
      <c r="AX46" s="975" t="s">
        <v>1783</v>
      </c>
      <c r="AZ46" s="975" t="s">
        <v>1500</v>
      </c>
      <c r="BE46" s="975" t="n">
        <v>2044</v>
      </c>
      <c r="BH46" s="976" t="s">
        <v>1217</v>
      </c>
      <c r="BJ46" s="991" t="s">
        <v>1198</v>
      </c>
      <c r="BL46" s="991" t="s">
        <v>1198</v>
      </c>
      <c r="BN46" s="976" t="s">
        <v>1784</v>
      </c>
    </row>
    <row r="47" customFormat="false" ht="11.25" hidden="false" customHeight="true" outlineLevel="0" collapsed="false">
      <c r="A47" s="132" t="s">
        <v>1785</v>
      </c>
      <c r="E47" s="1007" t="s">
        <v>32</v>
      </c>
      <c r="F47" s="1009" t="s">
        <v>1786</v>
      </c>
      <c r="G47" s="1014" t="e">
        <f aca="false">_xlfn.iferror(IF(f_year="","01.01."&amp;CURRENT_YEAR,IF(LEN(f_quart)=0,"01.01."&amp;f_year,IF(f_quart="I квартал","01.01."&amp;f_year,IF(f_quart="II квартал","01.04."&amp;f_year,(IF(f_quart="III квартал","01.07."&amp;f_year,"01.10."&amp;f_year)))))),"01.01."&amp;CURRENT_YEAR)</f>
        <v>#NAME?</v>
      </c>
      <c r="H47" s="1014" t="e">
        <f aca="false">_xlfn.iferror(IF(f_year="","31.12."&amp;CURRENT_YEAR,IF(LEN(f_quart)=0,"31.12."&amp;f_year,IF(f_quart="I квартал","31.03."&amp;f_year,IF(f_quart="II квартал","30.06."&amp;f_year,(IF(f_quart="III квартал","30.09."&amp;f_year,"31.12."&amp;f_year)))))),"31.12."&amp;CURRENT_YEAR)</f>
        <v>#NAME?</v>
      </c>
      <c r="I47" s="1018" t="n">
        <f aca="false">IF(OR(f_year="",f_quart=""),TRUE(),FALSE())</f>
        <v>1</v>
      </c>
      <c r="J47" s="1016" t="str">
        <f aca="false">"Информация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017"/>
      <c r="AX47" s="975" t="s">
        <v>1787</v>
      </c>
      <c r="AZ47" s="975" t="s">
        <v>1518</v>
      </c>
      <c r="BE47" s="975" t="n">
        <v>2045</v>
      </c>
      <c r="BH47" s="976" t="s">
        <v>1760</v>
      </c>
      <c r="BJ47" s="991" t="s">
        <v>1200</v>
      </c>
      <c r="BL47" s="991" t="s">
        <v>1200</v>
      </c>
      <c r="BN47" s="976" t="s">
        <v>1788</v>
      </c>
    </row>
    <row r="48" customFormat="false" ht="11.25" hidden="false" customHeight="true" outlineLevel="0" collapsed="false">
      <c r="A48" s="132" t="s">
        <v>1789</v>
      </c>
      <c r="E48" s="1007" t="s">
        <v>1790</v>
      </c>
      <c r="F48" s="1009" t="s">
        <v>1774</v>
      </c>
      <c r="G48" s="1014" t="e">
        <f aca="false">_xlfn.iferror(IF(f_year="","01.01."&amp;CURRENT_YEAR,"01.01."&amp;f_year),"01.01."&amp;CURRENT_YEAR)</f>
        <v>#NAME?</v>
      </c>
      <c r="H48" s="1014" t="e">
        <f aca="false">_xlfn.iferror(IF(f_year="","31.12."&amp;CURRENT_YEAR,"31.12."&amp;f_year),"31.12."&amp;CURRENT_YEAR)</f>
        <v>#NAME?</v>
      </c>
      <c r="I48" s="1015" t="n">
        <f aca="false">IF(f_year="",TRUE(),FALSE())</f>
        <v>0</v>
      </c>
      <c r="J48" s="1016" t="s">
        <v>1791</v>
      </c>
      <c r="K48" s="1017"/>
      <c r="AX48" s="975" t="s">
        <v>1792</v>
      </c>
      <c r="AZ48" s="975" t="s">
        <v>1534</v>
      </c>
      <c r="BE48" s="975" t="n">
        <v>2046</v>
      </c>
      <c r="BH48" s="976" t="s">
        <v>1764</v>
      </c>
      <c r="BJ48" s="991" t="s">
        <v>1202</v>
      </c>
      <c r="BL48" s="991" t="s">
        <v>1202</v>
      </c>
      <c r="BN48" s="976" t="s">
        <v>1793</v>
      </c>
    </row>
    <row r="49" customFormat="false" ht="11.25" hidden="false" customHeight="true" outlineLevel="0" collapsed="false">
      <c r="A49" s="132" t="s">
        <v>1794</v>
      </c>
      <c r="E49" s="1007" t="s">
        <v>1795</v>
      </c>
      <c r="F49" s="1009" t="s">
        <v>1796</v>
      </c>
      <c r="G49" s="1014" t="e">
        <f aca="false">_xlfn.iferror(IF(f_year="","01.01."&amp;CURRENT_YEAR,"01.01."&amp;f_year),"01.01."&amp;CURRENT_YEAR)</f>
        <v>#NAME?</v>
      </c>
      <c r="H49" s="1014" t="e">
        <f aca="false">_xlfn.iferror(IF(f_year="","31.12."&amp;CURRENT_YEAR,"31.12."&amp;f_year),"31.12."&amp;CURRENT_YEAR)</f>
        <v>#NAME?</v>
      </c>
      <c r="I49" s="1015" t="n">
        <f aca="false">IF(f_year="",TRUE(),FALSE())</f>
        <v>0</v>
      </c>
      <c r="J49" s="1016" t="str">
        <f aca="false">"Информация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017"/>
      <c r="AX49" s="975" t="s">
        <v>1797</v>
      </c>
      <c r="AZ49" s="975" t="s">
        <v>1547</v>
      </c>
      <c r="BE49" s="975" t="n">
        <v>2047</v>
      </c>
      <c r="BH49" s="976" t="s">
        <v>1218</v>
      </c>
      <c r="BJ49" s="991" t="s">
        <v>1204</v>
      </c>
      <c r="BL49" s="991" t="s">
        <v>1204</v>
      </c>
    </row>
    <row r="50" customFormat="false" ht="11.25" hidden="false" customHeight="true" outlineLevel="0" collapsed="false">
      <c r="A50" s="132" t="s">
        <v>1798</v>
      </c>
      <c r="E50" s="1007" t="s">
        <v>1799</v>
      </c>
      <c r="F50" s="1009" t="s">
        <v>1188</v>
      </c>
      <c r="G50" s="1014" t="e">
        <f aca="false">_xlfn.iferror(IF(f_year="","01.01."&amp;CURRENT_YEAR,"01.01."&amp;f_year),"01.01."&amp;CURRENT_YEAR)</f>
        <v>#NAME?</v>
      </c>
      <c r="H50" s="1014" t="e">
        <f aca="false">_xlfn.iferror(IF(f_year="","31.12."&amp;CURRENT_YEAR,"31.12."&amp;f_year),"31.12."&amp;CURRENT_YEAR)</f>
        <v>#NAME?</v>
      </c>
      <c r="I50" s="1015" t="n">
        <f aca="false">IF(f_year="",TRUE(),FALSE())</f>
        <v>0</v>
      </c>
      <c r="J50" s="1016" t="str">
        <f aca="false">"Информация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017"/>
      <c r="AX50" s="975" t="s">
        <v>1800</v>
      </c>
      <c r="AZ50" s="975" t="s">
        <v>1561</v>
      </c>
      <c r="BE50" s="975" t="n">
        <v>2048</v>
      </c>
      <c r="BH50" s="976" t="s">
        <v>1771</v>
      </c>
      <c r="BJ50" s="991" t="s">
        <v>1206</v>
      </c>
      <c r="BL50" s="991" t="s">
        <v>1206</v>
      </c>
    </row>
    <row r="51" customFormat="false" ht="11.25" hidden="false" customHeight="true" outlineLevel="0" collapsed="false">
      <c r="A51" s="132" t="s">
        <v>1801</v>
      </c>
      <c r="E51" s="1007" t="s">
        <v>1802</v>
      </c>
      <c r="F51" s="1009" t="s">
        <v>1803</v>
      </c>
      <c r="G51" s="1014" t="e">
        <f aca="false">_xlfn.iferror(IF(TITLE_PERIOD_START="","01.01."&amp;CURRENT_YEAR,"01.01."&amp;YEAR(TITLE_PERIOD_START)),"01.01."&amp;CURRENT_YEAR)</f>
        <v>#NAME?</v>
      </c>
      <c r="H51" s="1014" t="e">
        <f aca="false">_xlfn.iferror(IF(TITLE_PERIOD_END="","31.12."&amp;CURRENT_YEAR,"31.12."&amp;YEAR(TITLE_PERIOD_END)),"31.12."&amp;CURRENT_YEAR)</f>
        <v>#NAME?</v>
      </c>
      <c r="I51" s="1018" t="n">
        <f aca="false">IF(OR(TITLE_PERIOD_START="",TITLE_PERIOD_END=""),TRUE(),FALSE())</f>
        <v>1</v>
      </c>
      <c r="J51" s="1016" t="str">
        <f aca="false">"Предложение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017"/>
      <c r="AX51" s="975" t="s">
        <v>1804</v>
      </c>
      <c r="AZ51" s="975" t="s">
        <v>1575</v>
      </c>
      <c r="BE51" s="975" t="n">
        <v>2049</v>
      </c>
      <c r="BH51" s="976" t="s">
        <v>1780</v>
      </c>
      <c r="BJ51" s="991" t="s">
        <v>1805</v>
      </c>
      <c r="BL51" s="991" t="s">
        <v>1805</v>
      </c>
    </row>
    <row r="52" customFormat="false" ht="11.25" hidden="false" customHeight="true" outlineLevel="0" collapsed="false">
      <c r="A52" s="132" t="s">
        <v>1806</v>
      </c>
      <c r="E52" s="1007" t="s">
        <v>1807</v>
      </c>
      <c r="F52" s="1009" t="s">
        <v>1808</v>
      </c>
      <c r="G52" s="1014" t="e">
        <f aca="false">_xlfn.iferror(IF(TITLE_PERIOD_START="","01.01."&amp;CURRENT_YEAR,"01.01."&amp;YEAR(TITLE_PERIOD_START)),"01.01."&amp;CURRENT_YEAR)</f>
        <v>#NAME?</v>
      </c>
      <c r="H52" s="1014" t="e">
        <f aca="false">_xlfn.iferror(IF(TITLE_PERIOD_END="","31.12."&amp;CURRENT_YEAR,"31.12."&amp;YEAR(TITLE_PERIOD_END)),"31.12."&amp;CURRENT_YEAR)</f>
        <v>#NAME?</v>
      </c>
      <c r="I52" s="1018" t="n">
        <f aca="false">IF(OR(TITLE_PERIOD_START="",TITLE_PERIOD_END=""),TRUE(),FALSE())</f>
        <v>1</v>
      </c>
      <c r="J52" s="1016" t="str">
        <f aca="false">"Показатели, подлежащие раскрытию в сфере "&amp;TEMPLATE_SPHERE_RUS&amp;" (цены и тарифы)"</f>
        <v>Показатели, подлежащие раскрытию в сфере теплоснабжения (цены и тарифы)</v>
      </c>
      <c r="K52" s="1017"/>
      <c r="AX52" s="975" t="s">
        <v>1809</v>
      </c>
      <c r="AZ52" s="975" t="s">
        <v>1385</v>
      </c>
      <c r="BE52" s="975" t="n">
        <v>2050</v>
      </c>
      <c r="BH52" s="976" t="s">
        <v>1784</v>
      </c>
      <c r="BJ52" s="991" t="s">
        <v>1217</v>
      </c>
      <c r="BL52" s="991" t="s">
        <v>1217</v>
      </c>
    </row>
    <row r="53" customFormat="false" ht="11.25" hidden="false" customHeight="true" outlineLevel="0" collapsed="false">
      <c r="A53" s="132" t="s">
        <v>1810</v>
      </c>
      <c r="E53" s="1007" t="s">
        <v>1811</v>
      </c>
      <c r="F53" s="1009" t="s">
        <v>1811</v>
      </c>
      <c r="G53" s="1014" t="e">
        <f aca="false">_xlfn.iferror(IF(f_year="","01.01."&amp;CURRENT_YEAR,"01.01."&amp;f_year),"01.01."&amp;CURRENT_YEAR)</f>
        <v>#NAME?</v>
      </c>
      <c r="H53" s="1014" t="e">
        <f aca="false">_xlfn.iferror(IF(f_year="","31.12."&amp;CURRENT_YEAR,"31.12."&amp;f_year),"31.12."&amp;CURRENT_YEAR)</f>
        <v>#NAME?</v>
      </c>
      <c r="I53" s="1015" t="n">
        <f aca="false">IF(AND(f_year="",TITLE_DATE_FIL=""),TRUE(),FALSE())</f>
        <v>0</v>
      </c>
      <c r="J53" s="1016" t="s">
        <v>1812</v>
      </c>
      <c r="K53" s="1017"/>
      <c r="AX53" s="975" t="s">
        <v>1813</v>
      </c>
      <c r="BE53" s="975" t="n">
        <v>2051</v>
      </c>
      <c r="BH53" s="976" t="s">
        <v>1788</v>
      </c>
      <c r="BJ53" s="991" t="s">
        <v>1760</v>
      </c>
      <c r="BL53" s="991" t="s">
        <v>1760</v>
      </c>
    </row>
    <row r="54" customFormat="false" ht="11.25" hidden="false" customHeight="true" outlineLevel="0" collapsed="false">
      <c r="A54" s="132" t="s">
        <v>1814</v>
      </c>
      <c r="AX54" s="975" t="s">
        <v>1815</v>
      </c>
      <c r="AZ54" s="954" t="s">
        <v>1816</v>
      </c>
      <c r="BE54" s="975" t="n">
        <v>2052</v>
      </c>
      <c r="BH54" s="976" t="s">
        <v>1793</v>
      </c>
      <c r="BJ54" s="991" t="s">
        <v>1764</v>
      </c>
      <c r="BL54" s="991" t="s">
        <v>1764</v>
      </c>
    </row>
    <row r="55" customFormat="false" ht="11.25" hidden="false" customHeight="true" outlineLevel="0" collapsed="false">
      <c r="A55" s="132" t="s">
        <v>1817</v>
      </c>
      <c r="AX55" s="975" t="s">
        <v>1818</v>
      </c>
      <c r="AZ55" s="975" t="s">
        <v>1387</v>
      </c>
      <c r="BE55" s="975" t="n">
        <v>2053</v>
      </c>
      <c r="BJ55" s="991" t="s">
        <v>1218</v>
      </c>
      <c r="BL55" s="991" t="s">
        <v>1218</v>
      </c>
    </row>
    <row r="56" customFormat="false" ht="11.25" hidden="false" customHeight="true" outlineLevel="0" collapsed="false">
      <c r="A56" s="132" t="s">
        <v>1819</v>
      </c>
      <c r="D56" s="1019" t="s">
        <v>1820</v>
      </c>
      <c r="E56" s="990" t="s">
        <v>1821</v>
      </c>
      <c r="F56" s="132" t="s">
        <v>1822</v>
      </c>
      <c r="AX56" s="975" t="s">
        <v>1823</v>
      </c>
      <c r="AZ56" s="975" t="s">
        <v>1412</v>
      </c>
      <c r="BE56" s="975" t="n">
        <v>2054</v>
      </c>
      <c r="BJ56" s="991" t="s">
        <v>1771</v>
      </c>
      <c r="BL56" s="991" t="s">
        <v>1771</v>
      </c>
    </row>
    <row r="57" customFormat="false" ht="11.25" hidden="false" customHeight="true" outlineLevel="0" collapsed="false">
      <c r="A57" s="132" t="s">
        <v>1824</v>
      </c>
      <c r="D57" s="1019" t="s">
        <v>1825</v>
      </c>
      <c r="E57" s="990" t="s">
        <v>1826</v>
      </c>
      <c r="F57" s="132" t="s">
        <v>1822</v>
      </c>
      <c r="AX57" s="975" t="s">
        <v>1827</v>
      </c>
      <c r="AZ57" s="975" t="s">
        <v>1446</v>
      </c>
      <c r="BE57" s="975" t="n">
        <v>2055</v>
      </c>
      <c r="BJ57" s="991" t="s">
        <v>1780</v>
      </c>
      <c r="BL57" s="991" t="s">
        <v>1780</v>
      </c>
    </row>
    <row r="58" customFormat="false" ht="11.25" hidden="false" customHeight="true" outlineLevel="0" collapsed="false">
      <c r="A58" s="132" t="s">
        <v>1828</v>
      </c>
      <c r="D58" s="1019" t="s">
        <v>1829</v>
      </c>
      <c r="E58" s="990" t="s">
        <v>1813</v>
      </c>
      <c r="F58" s="132" t="s">
        <v>1822</v>
      </c>
      <c r="AX58" s="975" t="s">
        <v>1830</v>
      </c>
      <c r="BE58" s="975" t="n">
        <v>2056</v>
      </c>
      <c r="BJ58" s="991" t="s">
        <v>1784</v>
      </c>
      <c r="BL58" s="991" t="s">
        <v>1784</v>
      </c>
    </row>
    <row r="59" customFormat="false" ht="11.25" hidden="false" customHeight="true" outlineLevel="0" collapsed="false">
      <c r="A59" s="132" t="s">
        <v>1831</v>
      </c>
      <c r="D59" s="1019" t="s">
        <v>146</v>
      </c>
      <c r="E59" s="990" t="s">
        <v>1151</v>
      </c>
      <c r="F59" s="132" t="s">
        <v>1832</v>
      </c>
      <c r="AX59" s="975" t="s">
        <v>1833</v>
      </c>
      <c r="AZ59" s="954" t="s">
        <v>1834</v>
      </c>
      <c r="BE59" s="975" t="n">
        <v>2057</v>
      </c>
      <c r="BJ59" s="991" t="s">
        <v>1788</v>
      </c>
      <c r="BL59" s="991" t="s">
        <v>1788</v>
      </c>
    </row>
    <row r="60" customFormat="false" ht="11.25" hidden="false" customHeight="true" outlineLevel="0" collapsed="false">
      <c r="A60" s="132" t="s">
        <v>1835</v>
      </c>
      <c r="D60" s="1019" t="s">
        <v>1836</v>
      </c>
      <c r="E60" s="990" t="s">
        <v>1151</v>
      </c>
      <c r="F60" s="132" t="s">
        <v>1832</v>
      </c>
      <c r="AX60" s="975" t="s">
        <v>1837</v>
      </c>
      <c r="AZ60" s="975" t="s">
        <v>1388</v>
      </c>
      <c r="BE60" s="975" t="n">
        <v>2058</v>
      </c>
      <c r="BJ60" s="991" t="s">
        <v>1793</v>
      </c>
      <c r="BL60" s="991" t="s">
        <v>1793</v>
      </c>
    </row>
    <row r="61" customFormat="false" ht="11.25" hidden="false" customHeight="true" outlineLevel="0" collapsed="false">
      <c r="A61" s="132" t="s">
        <v>1838</v>
      </c>
      <c r="D61" s="1019" t="s">
        <v>1839</v>
      </c>
      <c r="E61" s="990" t="s">
        <v>1151</v>
      </c>
      <c r="F61" s="132" t="s">
        <v>1832</v>
      </c>
      <c r="AX61" s="975" t="s">
        <v>105</v>
      </c>
      <c r="AZ61" s="975" t="s">
        <v>1413</v>
      </c>
      <c r="BE61" s="975" t="n">
        <v>2059</v>
      </c>
      <c r="BL61" s="991" t="s">
        <v>1210</v>
      </c>
    </row>
    <row r="62" customFormat="false" ht="11.25" hidden="false" customHeight="true" outlineLevel="0" collapsed="false">
      <c r="A62" s="132" t="s">
        <v>1840</v>
      </c>
      <c r="D62" s="1019" t="s">
        <v>145</v>
      </c>
      <c r="E62" s="990" t="n">
        <v>30</v>
      </c>
      <c r="F62" s="132" t="s">
        <v>1832</v>
      </c>
      <c r="AZ62" s="975" t="s">
        <v>1447</v>
      </c>
      <c r="BE62" s="975" t="n">
        <v>2060</v>
      </c>
      <c r="BL62" s="991" t="s">
        <v>1212</v>
      </c>
    </row>
    <row r="63" customFormat="false" ht="11.25" hidden="false" customHeight="true" outlineLevel="0" collapsed="false">
      <c r="A63" s="132" t="s">
        <v>1841</v>
      </c>
      <c r="D63" s="1019" t="s">
        <v>1842</v>
      </c>
      <c r="E63" s="990" t="n">
        <v>30</v>
      </c>
      <c r="F63" s="132" t="s">
        <v>1832</v>
      </c>
      <c r="AZ63" s="975" t="s">
        <v>1479</v>
      </c>
      <c r="BE63" s="975" t="n">
        <v>2061</v>
      </c>
    </row>
    <row r="64" customFormat="false" ht="11.25" hidden="false" customHeight="true" outlineLevel="0" collapsed="false">
      <c r="A64" s="132" t="s">
        <v>1843</v>
      </c>
      <c r="D64" s="1019" t="s">
        <v>1844</v>
      </c>
      <c r="E64" s="990" t="n">
        <v>30</v>
      </c>
      <c r="F64" s="132" t="s">
        <v>1832</v>
      </c>
      <c r="AZ64" s="975" t="s">
        <v>1501</v>
      </c>
      <c r="BE64" s="975" t="n">
        <v>2062</v>
      </c>
    </row>
    <row r="65" customFormat="false" ht="11.25" hidden="false" customHeight="true" outlineLevel="0" collapsed="false">
      <c r="A65" s="132" t="s">
        <v>1845</v>
      </c>
      <c r="D65" s="132"/>
      <c r="BE65" s="975" t="n">
        <v>2063</v>
      </c>
    </row>
    <row r="66" customFormat="false" ht="11.25" hidden="false" customHeight="true" outlineLevel="0" collapsed="false">
      <c r="A66" s="132" t="s">
        <v>1846</v>
      </c>
      <c r="AZ66" s="954" t="s">
        <v>1847</v>
      </c>
      <c r="BE66" s="975" t="n">
        <v>2064</v>
      </c>
    </row>
    <row r="67" customFormat="false" ht="11.25" hidden="false" customHeight="true" outlineLevel="0" collapsed="false">
      <c r="A67" s="132" t="s">
        <v>1848</v>
      </c>
      <c r="AZ67" s="975" t="s">
        <v>1389</v>
      </c>
      <c r="BE67" s="975" t="n">
        <v>2065</v>
      </c>
    </row>
    <row r="68" customFormat="false" ht="11.25" hidden="false" customHeight="true" outlineLevel="0" collapsed="false">
      <c r="A68" s="132" t="s">
        <v>1849</v>
      </c>
      <c r="AZ68" s="975" t="s">
        <v>1414</v>
      </c>
      <c r="BE68" s="975" t="n">
        <v>2066</v>
      </c>
      <c r="BH68" s="954" t="s">
        <v>1850</v>
      </c>
      <c r="BJ68" s="954" t="s">
        <v>1851</v>
      </c>
      <c r="BL68" s="954" t="s">
        <v>1852</v>
      </c>
      <c r="BN68" s="954" t="s">
        <v>1853</v>
      </c>
    </row>
    <row r="69" customFormat="false" ht="11.25" hidden="false" customHeight="true" outlineLevel="0" collapsed="false">
      <c r="A69" s="132" t="s">
        <v>1854</v>
      </c>
      <c r="AZ69" s="975" t="s">
        <v>1448</v>
      </c>
      <c r="BE69" s="975" t="n">
        <v>2067</v>
      </c>
      <c r="BH69" s="976" t="s">
        <v>1855</v>
      </c>
      <c r="BI69" s="230" t="s">
        <v>120</v>
      </c>
      <c r="BJ69" s="976" t="s">
        <v>1856</v>
      </c>
      <c r="BK69" s="230" t="s">
        <v>120</v>
      </c>
      <c r="BL69" s="976" t="s">
        <v>1857</v>
      </c>
      <c r="BM69" s="230" t="s">
        <v>120</v>
      </c>
      <c r="BN69" s="976" t="s">
        <v>1858</v>
      </c>
    </row>
    <row r="70" customFormat="false" ht="11.25" hidden="false" customHeight="true" outlineLevel="0" collapsed="false">
      <c r="A70" s="132" t="s">
        <v>1859</v>
      </c>
      <c r="AZ70" s="975" t="s">
        <v>1480</v>
      </c>
      <c r="BE70" s="975" t="n">
        <v>2068</v>
      </c>
      <c r="BH70" s="976" t="s">
        <v>1860</v>
      </c>
      <c r="BJ70" s="976" t="s">
        <v>1861</v>
      </c>
      <c r="BL70" s="976" t="s">
        <v>1862</v>
      </c>
      <c r="BN70" s="976" t="s">
        <v>1863</v>
      </c>
    </row>
    <row r="71" customFormat="false" ht="11.25" hidden="false" customHeight="true" outlineLevel="0" collapsed="false">
      <c r="A71" s="132" t="s">
        <v>1864</v>
      </c>
      <c r="AZ71" s="975" t="s">
        <v>1482</v>
      </c>
      <c r="BE71" s="975" t="n">
        <v>2069</v>
      </c>
      <c r="BH71" s="976" t="s">
        <v>1865</v>
      </c>
      <c r="BI71" s="230" t="s">
        <v>89</v>
      </c>
      <c r="BJ71" s="976" t="s">
        <v>1866</v>
      </c>
      <c r="BK71" s="230" t="s">
        <v>89</v>
      </c>
      <c r="BL71" s="976" t="s">
        <v>1867</v>
      </c>
      <c r="BM71" s="230" t="s">
        <v>89</v>
      </c>
      <c r="BN71" s="976" t="s">
        <v>1868</v>
      </c>
    </row>
    <row r="72" customFormat="false" ht="11.25" hidden="false" customHeight="true" outlineLevel="0" collapsed="false">
      <c r="A72" s="132" t="s">
        <v>1869</v>
      </c>
      <c r="AZ72" s="975" t="s">
        <v>19</v>
      </c>
      <c r="BE72" s="975" t="n">
        <v>2070</v>
      </c>
      <c r="BH72" s="976" t="s">
        <v>1870</v>
      </c>
      <c r="BJ72" s="976" t="s">
        <v>1870</v>
      </c>
      <c r="BL72" s="976" t="s">
        <v>1870</v>
      </c>
      <c r="BN72" s="976" t="s">
        <v>1871</v>
      </c>
    </row>
    <row r="73" customFormat="false" ht="11.25" hidden="false" customHeight="true" outlineLevel="0" collapsed="false">
      <c r="A73" s="132" t="s">
        <v>1872</v>
      </c>
      <c r="BH73" s="976" t="s">
        <v>1873</v>
      </c>
      <c r="BI73" s="230" t="s">
        <v>121</v>
      </c>
      <c r="BJ73" s="976" t="s">
        <v>1874</v>
      </c>
      <c r="BK73" s="230" t="s">
        <v>121</v>
      </c>
      <c r="BL73" s="976" t="s">
        <v>1875</v>
      </c>
      <c r="BM73" s="230" t="s">
        <v>121</v>
      </c>
      <c r="BN73" s="976" t="s">
        <v>1876</v>
      </c>
    </row>
    <row r="74" customFormat="false" ht="11.25" hidden="false" customHeight="true" outlineLevel="0" collapsed="false">
      <c r="A74" s="132" t="s">
        <v>1877</v>
      </c>
      <c r="BH74" s="976" t="s">
        <v>1878</v>
      </c>
      <c r="BJ74" s="976" t="s">
        <v>1879</v>
      </c>
      <c r="BL74" s="976" t="s">
        <v>1880</v>
      </c>
      <c r="BN74" s="976" t="s">
        <v>1881</v>
      </c>
    </row>
    <row r="75" customFormat="false" ht="11.25" hidden="false" customHeight="true" outlineLevel="0" collapsed="false">
      <c r="A75" s="132" t="s">
        <v>1882</v>
      </c>
      <c r="AZ75" s="954" t="s">
        <v>1883</v>
      </c>
      <c r="BH75" s="976" t="s">
        <v>1884</v>
      </c>
      <c r="BJ75" s="976" t="s">
        <v>1884</v>
      </c>
      <c r="BL75" s="976" t="s">
        <v>1884</v>
      </c>
    </row>
    <row r="76" customFormat="false" ht="11.25" hidden="false" customHeight="true" outlineLevel="0" collapsed="false">
      <c r="A76" s="132" t="s">
        <v>1885</v>
      </c>
      <c r="AZ76" s="975" t="s">
        <v>1398</v>
      </c>
      <c r="BH76" s="976" t="s">
        <v>1886</v>
      </c>
      <c r="BJ76" s="976" t="s">
        <v>1887</v>
      </c>
      <c r="BL76" s="1020" t="s">
        <v>1888</v>
      </c>
    </row>
    <row r="77" customFormat="false" ht="11.25" hidden="false" customHeight="true" outlineLevel="0" collapsed="false">
      <c r="A77" s="132" t="s">
        <v>1889</v>
      </c>
      <c r="AZ77" s="975" t="s">
        <v>1424</v>
      </c>
    </row>
    <row r="78" customFormat="false" ht="11.25" hidden="false" customHeight="true" outlineLevel="0" collapsed="false">
      <c r="A78" s="132" t="s">
        <v>1890</v>
      </c>
      <c r="AZ78" s="975" t="s">
        <v>1455</v>
      </c>
    </row>
    <row r="79" customFormat="false" ht="11.25" hidden="false" customHeight="true" outlineLevel="0" collapsed="false">
      <c r="A79" s="132" t="s">
        <v>1891</v>
      </c>
      <c r="AZ79" s="975" t="s">
        <v>1486</v>
      </c>
      <c r="BH79" s="954" t="s">
        <v>1892</v>
      </c>
      <c r="BJ79" s="954" t="s">
        <v>1893</v>
      </c>
      <c r="BL79" s="954" t="s">
        <v>1894</v>
      </c>
    </row>
    <row r="80" customFormat="false" ht="11.25" hidden="false" customHeight="true" outlineLevel="0" collapsed="false">
      <c r="A80" s="132" t="s">
        <v>1895</v>
      </c>
      <c r="AZ80" s="975" t="s">
        <v>1506</v>
      </c>
      <c r="BH80" s="976" t="s">
        <v>1896</v>
      </c>
      <c r="BJ80" s="976" t="s">
        <v>1897</v>
      </c>
      <c r="BL80" s="976" t="s">
        <v>1898</v>
      </c>
    </row>
    <row r="81" customFormat="false" ht="11.25" hidden="false" customHeight="true" outlineLevel="0" collapsed="false">
      <c r="A81" s="132" t="s">
        <v>1899</v>
      </c>
      <c r="AZ81" s="975" t="s">
        <v>1522</v>
      </c>
      <c r="BH81" s="976" t="s">
        <v>1900</v>
      </c>
      <c r="BJ81" s="976" t="s">
        <v>1901</v>
      </c>
      <c r="BL81" s="976" t="s">
        <v>1902</v>
      </c>
    </row>
    <row r="82" customFormat="false" ht="11.25" hidden="false" customHeight="true" outlineLevel="0" collapsed="false">
      <c r="A82" s="132" t="s">
        <v>1903</v>
      </c>
      <c r="AZ82" s="975" t="s">
        <v>1536</v>
      </c>
      <c r="BH82" s="976" t="s">
        <v>1904</v>
      </c>
      <c r="BJ82" s="976" t="s">
        <v>1905</v>
      </c>
      <c r="BL82" s="976" t="s">
        <v>1906</v>
      </c>
    </row>
    <row r="83" customFormat="false" ht="11.25" hidden="false" customHeight="true" outlineLevel="0" collapsed="false">
      <c r="A83" s="132" t="s">
        <v>1907</v>
      </c>
      <c r="BH83" s="976" t="s">
        <v>1908</v>
      </c>
      <c r="BJ83" s="976" t="s">
        <v>1909</v>
      </c>
      <c r="BL83" s="976" t="s">
        <v>1910</v>
      </c>
    </row>
    <row r="84" customFormat="false" ht="11.25" hidden="false" customHeight="true" outlineLevel="0" collapsed="false">
      <c r="A84" s="132" t="s">
        <v>1911</v>
      </c>
      <c r="AZ84" s="954" t="s">
        <v>1912</v>
      </c>
    </row>
    <row r="85" customFormat="false" ht="11.25" hidden="false" customHeight="true" outlineLevel="0" collapsed="false">
      <c r="A85" s="994" t="s">
        <v>1913</v>
      </c>
      <c r="AZ85" s="975" t="s">
        <v>1914</v>
      </c>
    </row>
    <row r="86" customFormat="false" ht="11.25" hidden="false" customHeight="true" outlineLevel="0" collapsed="false">
      <c r="A86" s="132" t="s">
        <v>1915</v>
      </c>
      <c r="AZ86" s="975" t="s">
        <v>1916</v>
      </c>
      <c r="BH86" s="954" t="s">
        <v>1917</v>
      </c>
      <c r="BJ86" s="954" t="s">
        <v>1918</v>
      </c>
      <c r="BL86" s="954" t="s">
        <v>1919</v>
      </c>
    </row>
    <row r="87" customFormat="false" ht="11.25" hidden="false" customHeight="true" outlineLevel="0" collapsed="false">
      <c r="A87" s="132" t="s">
        <v>1920</v>
      </c>
      <c r="AZ87" s="975" t="s">
        <v>1921</v>
      </c>
      <c r="BH87" s="976" t="s">
        <v>1922</v>
      </c>
      <c r="BJ87" s="976" t="s">
        <v>1923</v>
      </c>
      <c r="BL87" s="976" t="s">
        <v>1924</v>
      </c>
    </row>
    <row r="88" customFormat="false" ht="11.25" hidden="false" customHeight="true" outlineLevel="0" collapsed="false">
      <c r="A88" s="132" t="s">
        <v>1925</v>
      </c>
      <c r="AZ88" s="53"/>
      <c r="BH88" s="976" t="s">
        <v>1926</v>
      </c>
      <c r="BJ88" s="976" t="s">
        <v>1927</v>
      </c>
      <c r="BL88" s="976" t="s">
        <v>1928</v>
      </c>
    </row>
    <row r="89" customFormat="false" ht="11.25" hidden="false" customHeight="true" outlineLevel="0" collapsed="false">
      <c r="A89" s="132" t="s">
        <v>1929</v>
      </c>
      <c r="AZ89" s="954" t="s">
        <v>1930</v>
      </c>
    </row>
    <row r="90" customFormat="false" ht="11.25" hidden="false" customHeight="true" outlineLevel="0" collapsed="false">
      <c r="A90" s="132" t="s">
        <v>1931</v>
      </c>
      <c r="AZ90" s="975" t="s">
        <v>1188</v>
      </c>
    </row>
    <row r="91" customFormat="false" ht="11.25" hidden="false" customHeight="true" outlineLevel="0" collapsed="false">
      <c r="A91" s="132" t="s">
        <v>16</v>
      </c>
      <c r="AZ91" s="975" t="s">
        <v>1224</v>
      </c>
      <c r="BH91" s="954" t="s">
        <v>1932</v>
      </c>
      <c r="BJ91" s="954" t="s">
        <v>1933</v>
      </c>
      <c r="BL91" s="954" t="s">
        <v>1934</v>
      </c>
    </row>
    <row r="92" customFormat="false" ht="11.25" hidden="false" customHeight="true" outlineLevel="0" collapsed="false">
      <c r="AZ92" s="975" t="s">
        <v>1935</v>
      </c>
      <c r="BH92" s="976" t="s">
        <v>1936</v>
      </c>
      <c r="BJ92" s="976" t="s">
        <v>1937</v>
      </c>
      <c r="BL92" s="976" t="s">
        <v>1938</v>
      </c>
    </row>
    <row r="93" customFormat="false" ht="11.25" hidden="false" customHeight="true" outlineLevel="0" collapsed="false">
      <c r="AZ93" s="975" t="s">
        <v>1939</v>
      </c>
      <c r="BH93" s="976" t="s">
        <v>1940</v>
      </c>
      <c r="BJ93" s="976" t="s">
        <v>1941</v>
      </c>
      <c r="BL93" s="976" t="s">
        <v>1942</v>
      </c>
    </row>
    <row r="94" customFormat="false" ht="11.25" hidden="false" customHeight="true" outlineLevel="0" collapsed="false">
      <c r="AZ94" s="975" t="s">
        <v>1943</v>
      </c>
    </row>
    <row r="96" customFormat="false" ht="11.25" hidden="false" customHeight="true" outlineLevel="0" collapsed="false">
      <c r="AZ96" s="954" t="s">
        <v>1944</v>
      </c>
      <c r="BH96" s="954" t="s">
        <v>1945</v>
      </c>
      <c r="BJ96" s="954" t="s">
        <v>1946</v>
      </c>
      <c r="BL96" s="954" t="s">
        <v>1947</v>
      </c>
      <c r="BN96" s="954" t="s">
        <v>1948</v>
      </c>
    </row>
    <row r="97" customFormat="false" ht="11.25" hidden="false" customHeight="true" outlineLevel="0" collapsed="false">
      <c r="AZ97" s="1021" t="s">
        <v>1949</v>
      </c>
      <c r="BA97" s="488" t="s">
        <v>1950</v>
      </c>
      <c r="BH97" s="976" t="s">
        <v>1951</v>
      </c>
      <c r="BJ97" s="976" t="s">
        <v>1952</v>
      </c>
      <c r="BL97" s="976" t="s">
        <v>1953</v>
      </c>
      <c r="BN97" s="976" t="s">
        <v>1954</v>
      </c>
    </row>
    <row r="98" customFormat="false" ht="11.25" hidden="false" customHeight="true" outlineLevel="0" collapsed="false">
      <c r="AZ98" s="1021" t="s">
        <v>1955</v>
      </c>
      <c r="BA98" s="488" t="s">
        <v>1956</v>
      </c>
      <c r="BH98" s="976" t="s">
        <v>1957</v>
      </c>
      <c r="BJ98" s="976" t="s">
        <v>1958</v>
      </c>
      <c r="BL98" s="976" t="s">
        <v>1959</v>
      </c>
      <c r="BN98" s="976" t="s">
        <v>1960</v>
      </c>
    </row>
    <row r="99" customFormat="false" ht="22.5" hidden="false" customHeight="true" outlineLevel="0" collapsed="false">
      <c r="AZ99" s="1021" t="s">
        <v>1961</v>
      </c>
      <c r="BA99" s="488" t="str">
        <f aca="false">"не позднее чем за "&amp;IF(TEMPLATE_SPHERE="TKO","3","10")&amp;" дней до дня проведения заседания правления"</f>
        <v>не позднее чем за 10 дней до дня проведения заседания правления</v>
      </c>
      <c r="BH99" s="976" t="s">
        <v>1962</v>
      </c>
      <c r="BJ99" s="976" t="s">
        <v>1963</v>
      </c>
      <c r="BL99" s="976" t="s">
        <v>1964</v>
      </c>
      <c r="BN99" s="976" t="s">
        <v>1965</v>
      </c>
    </row>
    <row r="100" customFormat="false" ht="22.5" hidden="false" customHeight="true" outlineLevel="0" collapsed="false">
      <c r="AZ100" s="1021" t="s">
        <v>1966</v>
      </c>
      <c r="BA100" s="488" t="str">
        <f aca="false">"в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76" t="s">
        <v>1575</v>
      </c>
      <c r="BL100" s="976" t="s">
        <v>1575</v>
      </c>
      <c r="BN100" s="976" t="s">
        <v>1967</v>
      </c>
    </row>
    <row r="101" customFormat="false" ht="22.5" hidden="false" customHeight="true" outlineLevel="0" collapsed="false">
      <c r="AZ101" s="1021" t="s">
        <v>1968</v>
      </c>
      <c r="BA101" s="488" t="s">
        <v>1969</v>
      </c>
      <c r="BN101" s="976" t="s">
        <v>1970</v>
      </c>
    </row>
    <row r="102" customFormat="false" ht="22.5" hidden="false" customHeight="true" outlineLevel="0" collapsed="false">
      <c r="AZ102" s="1021" t="s">
        <v>1971</v>
      </c>
      <c r="BA102" s="488" t="str">
        <f aca="false">"в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76" t="s">
        <v>1972</v>
      </c>
    </row>
    <row r="103" customFormat="false" ht="11.25" hidden="false" customHeight="true" outlineLevel="0" collapsed="false">
      <c r="AZ103" s="1021" t="s">
        <v>1973</v>
      </c>
      <c r="BA103" s="488" t="s">
        <v>1974</v>
      </c>
      <c r="BN103" s="976" t="s">
        <v>1975</v>
      </c>
    </row>
    <row r="104" customFormat="false" ht="11.25" hidden="false" customHeight="true" outlineLevel="0" collapsed="false">
      <c r="BN104" s="976" t="s">
        <v>1976</v>
      </c>
    </row>
    <row r="105" customFormat="false" ht="11.25" hidden="false" customHeight="true" outlineLevel="0" collapsed="false">
      <c r="AZ105" s="954" t="s">
        <v>1977</v>
      </c>
    </row>
    <row r="106" customFormat="false" ht="11.25" hidden="false" customHeight="true" outlineLevel="0" collapsed="false">
      <c r="AZ106" s="975" t="s">
        <v>1978</v>
      </c>
    </row>
    <row r="107" customFormat="false" ht="11.25" hidden="false" customHeight="true" outlineLevel="0" collapsed="false">
      <c r="AZ107" s="975" t="s">
        <v>1979</v>
      </c>
      <c r="BH107" s="954" t="s">
        <v>1980</v>
      </c>
      <c r="BJ107" s="954" t="s">
        <v>1981</v>
      </c>
      <c r="BL107" s="954" t="s">
        <v>1982</v>
      </c>
      <c r="BN107" s="954" t="s">
        <v>1983</v>
      </c>
    </row>
    <row r="108" customFormat="false" ht="11.25" hidden="false" customHeight="true" outlineLevel="0" collapsed="false">
      <c r="AZ108" s="975" t="s">
        <v>587</v>
      </c>
      <c r="BH108" s="976" t="s">
        <v>1984</v>
      </c>
      <c r="BJ108" s="976" t="s">
        <v>1985</v>
      </c>
      <c r="BL108" s="976" t="s">
        <v>1653</v>
      </c>
      <c r="BN108" s="976" t="s">
        <v>1986</v>
      </c>
    </row>
    <row r="109" customFormat="false" ht="11.25" hidden="false" customHeight="true" outlineLevel="0" collapsed="false">
      <c r="BH109" s="976" t="s">
        <v>1987</v>
      </c>
    </row>
    <row r="110" customFormat="false" ht="11.25" hidden="false" customHeight="true" outlineLevel="0" collapsed="false">
      <c r="AZ110" s="954" t="s">
        <v>1988</v>
      </c>
      <c r="BH110" s="976" t="s">
        <v>1987</v>
      </c>
    </row>
    <row r="111" customFormat="false" ht="11.25" hidden="false" customHeight="true" outlineLevel="0" collapsed="false">
      <c r="AZ111" s="1021" t="s">
        <v>1949</v>
      </c>
      <c r="BA111" s="488" t="s">
        <v>1950</v>
      </c>
    </row>
    <row r="112" customFormat="false" ht="11.25" hidden="false" customHeight="true" outlineLevel="0" collapsed="false">
      <c r="AZ112" s="1021" t="s">
        <v>1955</v>
      </c>
      <c r="BA112" s="488" t="s">
        <v>1956</v>
      </c>
    </row>
    <row r="113" customFormat="false" ht="22.5" hidden="false" customHeight="true" outlineLevel="0" collapsed="false">
      <c r="AZ113" s="1021" t="s">
        <v>1961</v>
      </c>
      <c r="BA113" s="488" t="str">
        <f aca="false">"не позднее чем за "&amp;IF(TEMPLATE_SPHERE="TKO","3","10")&amp;" дней до дня проведения заседания правления"</f>
        <v>не позднее чем за 10 дней до дня проведения заседания правления</v>
      </c>
    </row>
    <row r="114" customFormat="false" ht="22.5" hidden="false" customHeight="true" outlineLevel="0" collapsed="false">
      <c r="AZ114" s="1021" t="s">
        <v>1966</v>
      </c>
      <c r="BA114" s="488" t="str">
        <f aca="false">"в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54" t="s">
        <v>1989</v>
      </c>
    </row>
    <row r="115" customFormat="false" ht="22.5" hidden="false" customHeight="true" outlineLevel="0" collapsed="false">
      <c r="AZ115" s="1021" t="s">
        <v>1971</v>
      </c>
      <c r="BA115" s="488" t="str">
        <f aca="false">"в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76" t="s">
        <v>1385</v>
      </c>
    </row>
    <row r="116" customFormat="false" ht="11.25" hidden="false" customHeight="true" outlineLevel="0" collapsed="false">
      <c r="AZ116" s="1021" t="s">
        <v>1973</v>
      </c>
      <c r="BA116" s="488" t="s">
        <v>1974</v>
      </c>
      <c r="BH116" s="976" t="s">
        <v>1410</v>
      </c>
    </row>
    <row r="117" customFormat="false" ht="11.25" hidden="false" customHeight="true" outlineLevel="0" collapsed="false">
      <c r="BH117" s="976" t="s">
        <v>1444</v>
      </c>
    </row>
    <row r="118" customFormat="false" ht="11.25" hidden="false" customHeight="true" outlineLevel="0" collapsed="false">
      <c r="BH118" s="976" t="s">
        <v>1477</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2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1.25" zeroHeight="false" outlineLevelRow="0" outlineLevelCol="0"/>
  <cols>
    <col collapsed="false" customWidth="true" hidden="true" outlineLevel="0" max="2" min="1" style="285" width="15"/>
    <col collapsed="false" customWidth="true" hidden="false" outlineLevel="0" max="3" min="3" style="286" width="3"/>
    <col collapsed="false" customWidth="true" hidden="false" outlineLevel="0" max="4" min="4" style="287" width="6"/>
    <col collapsed="false" customWidth="true" hidden="false" outlineLevel="0" max="5" min="5" style="286" width="52"/>
    <col collapsed="false" customWidth="true" hidden="false" outlineLevel="0" max="6" min="6" style="286" width="48"/>
    <col collapsed="false" customWidth="true" hidden="false" outlineLevel="0" max="7" min="7" style="286" width="93"/>
    <col collapsed="false" customWidth="true" hidden="false" outlineLevel="0" max="8" min="8" style="286" width="8"/>
    <col collapsed="false" customWidth="true" hidden="false" outlineLevel="0" max="9" min="9" style="286" width="64"/>
    <col collapsed="false" customWidth="false" hidden="true" outlineLevel="0" max="10" min="10" style="286" width="9.14"/>
  </cols>
  <sheetData>
    <row r="1" customFormat="false" ht="11.25" hidden="true" customHeight="true" outlineLevel="0" collapsed="false">
      <c r="A1" s="285" t="s">
        <v>312</v>
      </c>
      <c r="J1" s="286" t="s">
        <v>14</v>
      </c>
    </row>
    <row r="2" customFormat="false" ht="22.5" hidden="true" customHeight="true" outlineLevel="0" collapsed="false">
      <c r="A2" s="293"/>
      <c r="B2" s="293"/>
      <c r="C2" s="721" t="s">
        <v>103</v>
      </c>
      <c r="D2" s="1022"/>
      <c r="E2" s="333"/>
      <c r="F2" s="566"/>
      <c r="H2" s="302"/>
      <c r="J2" s="286" t="n">
        <v>0</v>
      </c>
    </row>
    <row r="3" customFormat="false" ht="11.25" hidden="true" customHeight="true" outlineLevel="0" collapsed="false">
      <c r="J3" s="286" t="n">
        <v>0</v>
      </c>
    </row>
    <row r="4" customFormat="false" ht="11.25" hidden="false" customHeight="true" outlineLevel="0" collapsed="false">
      <c r="A4" s="1023"/>
      <c r="B4" s="1023"/>
      <c r="J4" s="286" t="n">
        <v>11</v>
      </c>
    </row>
    <row r="5" customFormat="false" ht="27" hidden="false" customHeight="true" outlineLevel="0" collapsed="false">
      <c r="D5" s="176" t="str">
        <f aca="false">"Форма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76"/>
      <c r="F5" s="176"/>
      <c r="I5" s="290"/>
      <c r="J5" s="286" t="n">
        <v>26</v>
      </c>
    </row>
    <row r="6" customFormat="false" ht="18" hidden="false" customHeight="true" outlineLevel="0" collapsed="false">
      <c r="D6" s="261" t="str">
        <f aca="false">IF(region_name=0,"Не определено",region_name)</f>
        <v>Ярославская область</v>
      </c>
      <c r="E6" s="261"/>
      <c r="F6" s="261"/>
      <c r="I6" s="290"/>
      <c r="J6" s="286" t="n">
        <v>17</v>
      </c>
    </row>
    <row r="7" s="288" customFormat="true" ht="11.25" hidden="false" customHeight="true" outlineLevel="0" collapsed="false">
      <c r="A7" s="285"/>
      <c r="B7" s="285"/>
      <c r="D7" s="291"/>
      <c r="E7" s="291"/>
      <c r="F7" s="292"/>
      <c r="G7" s="291"/>
      <c r="J7" s="288" t="n">
        <v>11</v>
      </c>
    </row>
    <row r="8" customFormat="false" ht="11.25" hidden="true" customHeight="true" outlineLevel="0" collapsed="false">
      <c r="A8" s="293"/>
      <c r="B8" s="293"/>
      <c r="C8" s="80"/>
      <c r="D8" s="72"/>
      <c r="E8" s="294"/>
      <c r="F8" s="294"/>
      <c r="J8" s="286" t="n">
        <v>0</v>
      </c>
    </row>
    <row r="9" customFormat="false" ht="11.25" hidden="false" customHeight="true" outlineLevel="0" collapsed="false">
      <c r="A9" s="293"/>
      <c r="B9" s="293"/>
      <c r="C9" s="80"/>
      <c r="D9" s="295" t="s">
        <v>313</v>
      </c>
      <c r="E9" s="295"/>
      <c r="F9" s="295"/>
      <c r="G9" s="296" t="s">
        <v>314</v>
      </c>
      <c r="J9" s="286" t="n">
        <v>11</v>
      </c>
    </row>
    <row r="10" customFormat="false" ht="11.25" hidden="false" customHeight="true" outlineLevel="0" collapsed="false">
      <c r="A10" s="293"/>
      <c r="B10" s="293"/>
      <c r="C10" s="80"/>
      <c r="D10" s="297" t="s">
        <v>87</v>
      </c>
      <c r="E10" s="296" t="s">
        <v>315</v>
      </c>
      <c r="F10" s="296" t="s">
        <v>316</v>
      </c>
      <c r="G10" s="296"/>
      <c r="J10" s="286" t="n">
        <v>11</v>
      </c>
    </row>
    <row r="11" customFormat="false" ht="0.75" hidden="false" customHeight="true" outlineLevel="0" collapsed="false">
      <c r="A11" s="293"/>
      <c r="B11" s="293"/>
      <c r="C11" s="80"/>
      <c r="D11" s="298"/>
      <c r="E11" s="298"/>
      <c r="F11" s="298"/>
      <c r="G11" s="298"/>
      <c r="J11" s="286" t="n">
        <v>1</v>
      </c>
    </row>
    <row r="12" customFormat="false" ht="24" hidden="false" customHeight="true" outlineLevel="0" collapsed="false">
      <c r="A12" s="293"/>
      <c r="B12" s="293"/>
      <c r="C12" s="80"/>
      <c r="D12" s="1022" t="n">
        <v>1</v>
      </c>
      <c r="E12" s="305" t="str">
        <f aca="false">"Наименование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v>
      </c>
      <c r="F12" s="420" t="str">
        <f aca="false">IF(org="","",org)</f>
        <v>ООО "Газпром теплоэнерго Ярославль"</v>
      </c>
      <c r="G12" s="305" t="str">
        <f aca="false">"Указывается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024"/>
      <c r="J12" s="286" t="n">
        <v>23</v>
      </c>
    </row>
    <row r="13" customFormat="false" ht="19.5" hidden="false" customHeight="true" outlineLevel="0" collapsed="false">
      <c r="A13" s="293"/>
      <c r="B13" s="293"/>
      <c r="C13" s="80"/>
      <c r="D13" s="1022" t="n">
        <v>2</v>
      </c>
      <c r="E13" s="416" t="s">
        <v>1990</v>
      </c>
      <c r="F13" s="146" t="s">
        <v>319</v>
      </c>
      <c r="G13" s="305"/>
      <c r="H13" s="1024"/>
      <c r="J13" s="286" t="n">
        <v>19</v>
      </c>
    </row>
    <row r="14" customFormat="false" ht="19.5" hidden="false" customHeight="true" outlineLevel="0" collapsed="false">
      <c r="A14" s="293"/>
      <c r="B14" s="293"/>
      <c r="C14" s="80"/>
      <c r="D14" s="282" t="s">
        <v>739</v>
      </c>
      <c r="E14" s="568" t="s">
        <v>1991</v>
      </c>
      <c r="F14" s="333"/>
      <c r="G14" s="417" t="s">
        <v>1992</v>
      </c>
      <c r="H14" s="1024"/>
      <c r="J14" s="286" t="n">
        <v>19</v>
      </c>
    </row>
    <row r="15" customFormat="false" ht="19.5" hidden="false" customHeight="true" outlineLevel="0" collapsed="false">
      <c r="A15" s="293"/>
      <c r="B15" s="293"/>
      <c r="C15" s="80"/>
      <c r="D15" s="282" t="s">
        <v>320</v>
      </c>
      <c r="E15" s="568" t="s">
        <v>1993</v>
      </c>
      <c r="F15" s="333"/>
      <c r="G15" s="417" t="s">
        <v>1994</v>
      </c>
      <c r="H15" s="1024"/>
      <c r="J15" s="286" t="n">
        <v>19</v>
      </c>
    </row>
    <row r="16" customFormat="false" ht="24" hidden="false" customHeight="true" outlineLevel="0" collapsed="false">
      <c r="A16" s="293"/>
      <c r="B16" s="293"/>
      <c r="C16" s="80"/>
      <c r="D16" s="282" t="s">
        <v>323</v>
      </c>
      <c r="E16" s="424" t="s">
        <v>1995</v>
      </c>
      <c r="F16" s="334"/>
      <c r="G16" s="305" t="s">
        <v>1996</v>
      </c>
      <c r="H16" s="1024"/>
      <c r="J16" s="286" t="n">
        <v>23</v>
      </c>
    </row>
    <row r="17" customFormat="false" ht="48" hidden="false" customHeight="true" outlineLevel="0" collapsed="false">
      <c r="A17" s="293"/>
      <c r="B17" s="293"/>
      <c r="C17" s="80"/>
      <c r="D17" s="1022" t="n">
        <v>3</v>
      </c>
      <c r="E17" s="416" t="s">
        <v>1997</v>
      </c>
      <c r="F17" s="333"/>
      <c r="G17" s="305" t="s">
        <v>1998</v>
      </c>
      <c r="H17" s="1024"/>
      <c r="J17" s="286" t="n">
        <v>46</v>
      </c>
    </row>
    <row r="18" customFormat="false" ht="48" hidden="false" customHeight="true" outlineLevel="0" collapsed="false">
      <c r="A18" s="1025" t="n">
        <v>1</v>
      </c>
      <c r="B18" s="293"/>
      <c r="C18" s="310"/>
      <c r="D18" s="1022" t="s">
        <v>90</v>
      </c>
      <c r="E18" s="416" t="s">
        <v>1999</v>
      </c>
      <c r="F18" s="333"/>
      <c r="G18" s="305" t="s">
        <v>1998</v>
      </c>
      <c r="H18" s="1024"/>
      <c r="I18" s="311"/>
      <c r="J18" s="286" t="n">
        <v>46</v>
      </c>
    </row>
    <row r="19" customFormat="false" ht="23.25" hidden="false" customHeight="true" outlineLevel="0" collapsed="false">
      <c r="A19" s="293"/>
      <c r="B19" s="293"/>
      <c r="C19" s="80"/>
      <c r="D19" s="1022" t="s">
        <v>121</v>
      </c>
      <c r="E19" s="416" t="s">
        <v>2000</v>
      </c>
      <c r="F19" s="146" t="s">
        <v>319</v>
      </c>
      <c r="G19" s="1026" t="s">
        <v>2001</v>
      </c>
      <c r="H19" s="302"/>
      <c r="J19" s="286" t="n">
        <v>22</v>
      </c>
    </row>
    <row r="20" s="1029" customFormat="true" ht="5.25" hidden="true" customHeight="true" outlineLevel="0" collapsed="false">
      <c r="A20" s="293"/>
      <c r="B20" s="293"/>
      <c r="C20" s="1027"/>
      <c r="D20" s="1028" t="s">
        <v>1287</v>
      </c>
      <c r="E20" s="323"/>
      <c r="F20" s="147"/>
      <c r="G20" s="1026"/>
      <c r="J20" s="1029" t="n">
        <v>0</v>
      </c>
    </row>
    <row r="21" customFormat="false" ht="15.75" hidden="false" customHeight="true" outlineLevel="0" collapsed="false">
      <c r="A21" s="293"/>
      <c r="B21" s="293"/>
      <c r="C21" s="80"/>
      <c r="D21" s="317"/>
      <c r="E21" s="161" t="s">
        <v>352</v>
      </c>
      <c r="F21" s="319"/>
      <c r="G21" s="1026"/>
      <c r="H21" s="1024"/>
      <c r="J21" s="286" t="n">
        <v>15</v>
      </c>
    </row>
    <row r="22" s="285" customFormat="true" ht="26.25" hidden="false" customHeight="true" outlineLevel="0" collapsed="false">
      <c r="A22" s="293"/>
      <c r="B22" s="293"/>
      <c r="C22" s="293"/>
      <c r="D22" s="1022" t="s">
        <v>91</v>
      </c>
      <c r="E22" s="305" t="s">
        <v>2002</v>
      </c>
      <c r="F22" s="333"/>
      <c r="G22" s="305" t="s">
        <v>2003</v>
      </c>
      <c r="H22" s="1030"/>
      <c r="J22" s="285" t="n">
        <v>25</v>
      </c>
    </row>
    <row r="23" s="285" customFormat="true" ht="19.5" hidden="false" customHeight="true" outlineLevel="0" collapsed="false">
      <c r="A23" s="293"/>
      <c r="B23" s="293"/>
      <c r="C23" s="293"/>
      <c r="D23" s="1022" t="s">
        <v>92</v>
      </c>
      <c r="E23" s="416" t="s">
        <v>2004</v>
      </c>
      <c r="F23" s="334"/>
      <c r="G23" s="305" t="s">
        <v>2005</v>
      </c>
      <c r="H23" s="1030"/>
      <c r="J23" s="285" t="n">
        <v>19</v>
      </c>
    </row>
    <row r="24" s="285" customFormat="true" ht="144" hidden="true" customHeight="true" outlineLevel="0" collapsed="false">
      <c r="A24" s="293"/>
      <c r="B24" s="293"/>
      <c r="C24" s="293"/>
      <c r="D24" s="1022" t="s">
        <v>122</v>
      </c>
      <c r="E24" s="328" t="str">
        <f aca="false">"Доклад,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031"/>
      <c r="G24" s="1032" t="str">
        <f aca="false">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030"/>
      <c r="J24" s="285" t="n">
        <v>0</v>
      </c>
    </row>
    <row r="25" customFormat="false" ht="11.25" hidden="true" customHeight="true" outlineLevel="0" collapsed="false">
      <c r="A25" s="285" t="s">
        <v>81</v>
      </c>
      <c r="B25" s="285" t="n">
        <v>0</v>
      </c>
      <c r="C25" s="286" t="n">
        <v>3</v>
      </c>
      <c r="D25" s="287" t="n">
        <v>6</v>
      </c>
      <c r="E25" s="286" t="n">
        <v>52</v>
      </c>
      <c r="F25" s="286" t="n">
        <v>48</v>
      </c>
      <c r="G25" s="286" t="n">
        <v>93</v>
      </c>
      <c r="H25" s="286" t="n">
        <v>8</v>
      </c>
      <c r="I25" s="286" t="n">
        <v>64</v>
      </c>
      <c r="J25" s="286" t="n">
        <v>11</v>
      </c>
    </row>
  </sheetData>
  <mergeCells count="6">
    <mergeCell ref="D5:F5"/>
    <mergeCell ref="D6:F6"/>
    <mergeCell ref="E8:F8"/>
    <mergeCell ref="D9:F9"/>
    <mergeCell ref="G9:G10"/>
    <mergeCell ref="G19:G21"/>
  </mergeCells>
  <dataValidations count="2">
    <dataValidation allowBlank="true" error="Допускается ввод не более 900 символов!" errorStyle="stop" errorTitle="Ошибка" operator="lessThanOrEqual" showDropDown="false" showErrorMessage="true" showInputMessage="true" sqref="F12 F14:F18 F22:F2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F2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U2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4.25" zeroHeight="false" outlineLevelRow="0" outlineLevelCol="0"/>
  <cols>
    <col collapsed="false" customWidth="false" hidden="true" outlineLevel="0" max="1" min="1" style="42" width="9.14"/>
    <col collapsed="false" customWidth="false" hidden="true" outlineLevel="0" max="2" min="2" style="45" width="9.14"/>
    <col collapsed="false" customWidth="true" hidden="true" outlineLevel="0" max="3" min="3" style="42" width="3.71"/>
    <col collapsed="false" customWidth="true" hidden="false" outlineLevel="0" max="4" min="4" style="117" width="3"/>
    <col collapsed="false" customWidth="true" hidden="false" outlineLevel="0" max="5" min="5" style="42" width="6"/>
    <col collapsed="false" customWidth="true" hidden="false" outlineLevel="0" max="6" min="6" style="42" width="46"/>
    <col collapsed="false" customWidth="true" hidden="false" outlineLevel="0" max="8" min="7" style="42" width="16"/>
    <col collapsed="false" customWidth="true" hidden="false" outlineLevel="0" max="9" min="9" style="42" width="35"/>
    <col collapsed="false" customWidth="true" hidden="false" outlineLevel="0" max="10" min="10" style="42" width="89"/>
    <col collapsed="false" customWidth="true" hidden="false" outlineLevel="0" max="11" min="11" style="118" width="3"/>
    <col collapsed="false" customWidth="true" hidden="false" outlineLevel="0" max="14" min="12" style="118" width="8"/>
    <col collapsed="false" customWidth="true" hidden="false" outlineLevel="0" max="15" min="15" style="118" width="25"/>
    <col collapsed="false" customWidth="true" hidden="false" outlineLevel="0" max="16" min="16" style="118" width="14"/>
    <col collapsed="false" customWidth="true" hidden="false" outlineLevel="0" max="20" min="17" style="119" width="8"/>
    <col collapsed="false" customWidth="true" hidden="false" outlineLevel="0" max="254" min="21" style="42" width="8"/>
    <col collapsed="false" customWidth="false" hidden="true" outlineLevel="0" max="255" min="255" style="42" width="9.14"/>
  </cols>
  <sheetData>
    <row r="1" customFormat="false" ht="22.5" hidden="true" customHeight="true" outlineLevel="0" collapsed="false">
      <c r="F1" s="42" t="s">
        <v>2006</v>
      </c>
      <c r="G1" s="42" t="s">
        <v>46</v>
      </c>
      <c r="H1" s="42" t="s">
        <v>48</v>
      </c>
      <c r="IU1" s="42" t="s">
        <v>14</v>
      </c>
    </row>
    <row r="2" s="53" customFormat="true" ht="22.5" hidden="true" customHeight="true" outlineLevel="0" collapsed="false">
      <c r="A2" s="109"/>
      <c r="B2" s="45" t="n">
        <v>1</v>
      </c>
      <c r="C2" s="45"/>
      <c r="D2" s="909" t="s">
        <v>103</v>
      </c>
      <c r="E2" s="146"/>
      <c r="F2" s="335"/>
      <c r="G2" s="335"/>
      <c r="H2" s="335"/>
      <c r="I2" s="1033"/>
      <c r="J2" s="1034"/>
      <c r="K2" s="1035"/>
      <c r="L2" s="47"/>
      <c r="M2" s="47"/>
      <c r="N2" s="118" t="str">
        <f aca="false" t="array" ref="N2:N2">IF(ISERROR(MATCH(MID(O2,1,250),MID(note_ter,1,250),0)),"n","y")</f>
        <v>n</v>
      </c>
      <c r="O2" s="47"/>
      <c r="P2" s="118" t="str">
        <f aca="false">G2&amp;"("&amp;J2&amp;")"</f>
        <v>()</v>
      </c>
      <c r="Q2" s="45"/>
      <c r="R2" s="45"/>
      <c r="S2" s="155"/>
      <c r="T2" s="45"/>
      <c r="U2" s="45"/>
      <c r="V2" s="45"/>
      <c r="W2" s="54"/>
      <c r="X2" s="54"/>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54"/>
      <c r="BU2" s="54"/>
      <c r="BV2" s="54"/>
      <c r="BW2" s="54"/>
      <c r="BX2" s="54"/>
      <c r="BY2" s="54"/>
      <c r="BZ2" s="54"/>
      <c r="CA2" s="54"/>
      <c r="CB2" s="54"/>
      <c r="CC2" s="54"/>
      <c r="IU2" s="53" t="n">
        <v>0</v>
      </c>
    </row>
    <row r="3" s="47" customFormat="true" ht="3.75" hidden="false" customHeight="true" outlineLevel="0" collapsed="false">
      <c r="A3" s="120"/>
      <c r="D3" s="121"/>
      <c r="F3" s="122" t="s">
        <v>82</v>
      </c>
      <c r="G3" s="121" t="s">
        <v>83</v>
      </c>
      <c r="H3" s="121"/>
      <c r="I3" s="121"/>
      <c r="J3" s="123" t="s">
        <v>84</v>
      </c>
      <c r="K3" s="122" t="s">
        <v>82</v>
      </c>
      <c r="L3" s="122"/>
      <c r="M3" s="122"/>
      <c r="N3" s="122"/>
      <c r="O3" s="122"/>
      <c r="P3" s="122"/>
      <c r="Q3" s="122"/>
      <c r="R3" s="122"/>
      <c r="S3" s="122"/>
      <c r="T3" s="122"/>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47" t="n">
        <v>4</v>
      </c>
    </row>
    <row r="4" s="129" customFormat="true" ht="14.25" hidden="false" customHeight="true" outlineLevel="0" collapsed="false">
      <c r="A4" s="42"/>
      <c r="B4" s="45"/>
      <c r="C4" s="42"/>
      <c r="D4" s="117"/>
      <c r="E4" s="42"/>
      <c r="F4" s="47"/>
      <c r="G4" s="42"/>
      <c r="H4" s="42"/>
      <c r="I4" s="42"/>
      <c r="J4" s="128"/>
      <c r="K4" s="122"/>
      <c r="L4" s="118"/>
      <c r="M4" s="118"/>
      <c r="N4" s="118"/>
      <c r="O4" s="118"/>
      <c r="P4" s="118"/>
      <c r="Q4" s="119"/>
      <c r="R4" s="119"/>
      <c r="S4" s="119"/>
      <c r="T4" s="119"/>
      <c r="IU4" s="129" t="n">
        <v>14</v>
      </c>
    </row>
    <row r="5" s="129" customFormat="true" ht="27" hidden="false" customHeight="true" outlineLevel="0" collapsed="false">
      <c r="A5" s="42"/>
      <c r="B5" s="45"/>
      <c r="C5" s="42"/>
      <c r="D5" s="117"/>
      <c r="E5" s="130" t="str">
        <f aca="false">"Форма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30"/>
      <c r="G5" s="130"/>
      <c r="H5" s="130"/>
      <c r="I5" s="130"/>
      <c r="J5" s="130"/>
      <c r="K5" s="122"/>
      <c r="L5" s="118"/>
      <c r="M5" s="118"/>
      <c r="N5" s="118"/>
      <c r="O5" s="118"/>
      <c r="P5" s="118"/>
      <c r="Q5" s="119"/>
      <c r="R5" s="119"/>
      <c r="S5" s="119"/>
      <c r="T5" s="119"/>
      <c r="IU5" s="129" t="n">
        <v>26</v>
      </c>
    </row>
    <row r="6" s="129" customFormat="true" ht="14.25" hidden="false" customHeight="true" outlineLevel="0" collapsed="false">
      <c r="A6" s="42"/>
      <c r="B6" s="45"/>
      <c r="C6" s="42"/>
      <c r="D6" s="117"/>
      <c r="E6" s="42"/>
      <c r="F6" s="131"/>
      <c r="G6" s="131"/>
      <c r="H6" s="131"/>
      <c r="I6" s="131"/>
      <c r="J6" s="109"/>
      <c r="K6" s="118"/>
      <c r="L6" s="118"/>
      <c r="M6" s="118"/>
      <c r="N6" s="118"/>
      <c r="O6" s="118"/>
      <c r="P6" s="118"/>
      <c r="Q6" s="119"/>
      <c r="R6" s="119"/>
      <c r="S6" s="119"/>
      <c r="T6" s="119"/>
      <c r="IU6" s="129" t="n">
        <v>14</v>
      </c>
    </row>
    <row r="7" s="129" customFormat="true" ht="14.25" hidden="false" customHeight="true" outlineLevel="0" collapsed="false">
      <c r="A7" s="42"/>
      <c r="B7" s="45"/>
      <c r="C7" s="42"/>
      <c r="D7" s="117"/>
      <c r="E7" s="265" t="s">
        <v>313</v>
      </c>
      <c r="F7" s="265"/>
      <c r="G7" s="265"/>
      <c r="H7" s="265"/>
      <c r="I7" s="265"/>
      <c r="J7" s="135" t="s">
        <v>314</v>
      </c>
      <c r="K7" s="118"/>
      <c r="L7" s="118"/>
      <c r="M7" s="118"/>
      <c r="N7" s="118"/>
      <c r="O7" s="118"/>
      <c r="P7" s="118"/>
      <c r="Q7" s="119"/>
      <c r="R7" s="119"/>
      <c r="S7" s="119"/>
      <c r="T7" s="119"/>
      <c r="IU7" s="129" t="n">
        <v>14</v>
      </c>
    </row>
    <row r="8" s="129" customFormat="true" ht="21" hidden="false" customHeight="true" outlineLevel="0" collapsed="false">
      <c r="A8" s="42"/>
      <c r="B8" s="45"/>
      <c r="C8" s="42"/>
      <c r="D8" s="117"/>
      <c r="E8" s="1036" t="s">
        <v>87</v>
      </c>
      <c r="F8" s="1037" t="s">
        <v>2006</v>
      </c>
      <c r="G8" s="1037" t="s">
        <v>46</v>
      </c>
      <c r="H8" s="1037" t="s">
        <v>48</v>
      </c>
      <c r="I8" s="1037" t="s">
        <v>2007</v>
      </c>
      <c r="J8" s="135"/>
      <c r="K8" s="118"/>
      <c r="L8" s="118"/>
      <c r="M8" s="118"/>
      <c r="N8" s="118"/>
      <c r="O8" s="118"/>
      <c r="P8" s="118"/>
      <c r="Q8" s="119"/>
      <c r="R8" s="119"/>
      <c r="S8" s="119"/>
      <c r="T8" s="119"/>
      <c r="IU8" s="129" t="n">
        <v>20</v>
      </c>
    </row>
    <row r="9" s="53" customFormat="true" ht="23.25" hidden="false" customHeight="true" outlineLevel="0" collapsed="false">
      <c r="A9" s="42"/>
      <c r="B9" s="45" t="n">
        <v>1</v>
      </c>
      <c r="C9" s="45"/>
      <c r="D9" s="158"/>
      <c r="E9" s="146" t="n">
        <v>1</v>
      </c>
      <c r="F9" s="1038"/>
      <c r="G9" s="335"/>
      <c r="H9" s="335"/>
      <c r="I9" s="1039"/>
      <c r="J9" s="911" t="str">
        <f aca="false">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035"/>
      <c r="L9" s="47"/>
      <c r="M9" s="47"/>
      <c r="N9" s="118" t="str">
        <f aca="false" t="array" ref="N9:N9">IF(ISERROR(MATCH(MID(O9,1,250),MID(note_ter,1,250),0)),"n","y")</f>
        <v>n</v>
      </c>
      <c r="O9" s="47"/>
      <c r="P9" s="118" t="str">
        <f aca="false">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5"/>
      <c r="R9" s="45"/>
      <c r="S9" s="155"/>
      <c r="T9" s="45"/>
      <c r="U9" s="45"/>
      <c r="V9" s="45"/>
      <c r="W9" s="54"/>
      <c r="X9" s="54"/>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54"/>
      <c r="BU9" s="54"/>
      <c r="BV9" s="54"/>
      <c r="BW9" s="54"/>
      <c r="BX9" s="54"/>
      <c r="BY9" s="54"/>
      <c r="BZ9" s="54"/>
      <c r="CA9" s="54"/>
      <c r="CB9" s="54"/>
      <c r="CC9" s="54"/>
      <c r="IU9" s="53" t="n">
        <v>22</v>
      </c>
    </row>
    <row r="10" s="53" customFormat="true" ht="15.75" hidden="false" customHeight="true" outlineLevel="0" collapsed="false">
      <c r="A10" s="42"/>
      <c r="B10" s="45"/>
      <c r="C10" s="157"/>
      <c r="D10" s="158"/>
      <c r="E10" s="1040"/>
      <c r="F10" s="596" t="s">
        <v>2008</v>
      </c>
      <c r="G10" s="1041"/>
      <c r="H10" s="1041"/>
      <c r="I10" s="1042"/>
      <c r="J10" s="911"/>
      <c r="K10" s="1043"/>
      <c r="L10" s="47"/>
      <c r="M10" s="47"/>
      <c r="N10" s="47"/>
      <c r="O10" s="118"/>
      <c r="P10" s="47"/>
      <c r="Q10" s="45"/>
      <c r="R10" s="45"/>
      <c r="S10" s="155"/>
      <c r="T10" s="45"/>
      <c r="U10" s="45"/>
      <c r="V10" s="45"/>
      <c r="W10" s="54"/>
      <c r="X10" s="54"/>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54"/>
      <c r="BU10" s="54"/>
      <c r="BV10" s="54"/>
      <c r="BW10" s="54"/>
      <c r="BX10" s="54"/>
      <c r="BY10" s="54"/>
      <c r="BZ10" s="54"/>
      <c r="CA10" s="54"/>
      <c r="CB10" s="54"/>
      <c r="CC10" s="54"/>
      <c r="IU10" s="53" t="n">
        <v>15</v>
      </c>
    </row>
    <row r="11" s="129" customFormat="true" ht="21.75" hidden="false" customHeight="true" outlineLevel="0" collapsed="false">
      <c r="A11" s="42"/>
      <c r="B11" s="45"/>
      <c r="C11" s="42"/>
      <c r="D11" s="117"/>
      <c r="E11" s="170"/>
      <c r="F11" s="170"/>
      <c r="G11" s="170"/>
      <c r="H11" s="170"/>
      <c r="I11" s="170"/>
      <c r="J11" s="170"/>
      <c r="K11" s="118"/>
      <c r="L11" s="118"/>
      <c r="M11" s="118"/>
      <c r="N11" s="118"/>
      <c r="O11" s="118"/>
      <c r="P11" s="118"/>
      <c r="Q11" s="119"/>
      <c r="R11" s="119"/>
      <c r="S11" s="119"/>
      <c r="T11" s="119"/>
      <c r="IU11" s="129" t="n">
        <v>21</v>
      </c>
    </row>
    <row r="12" s="129" customFormat="true" ht="14.25" hidden="false" customHeight="true" outlineLevel="0" collapsed="false">
      <c r="A12" s="42"/>
      <c r="B12" s="45"/>
      <c r="C12" s="42"/>
      <c r="D12" s="117"/>
      <c r="E12" s="42"/>
      <c r="F12" s="42"/>
      <c r="G12" s="42"/>
      <c r="H12" s="42"/>
      <c r="I12" s="42"/>
      <c r="J12" s="42"/>
      <c r="K12" s="118"/>
      <c r="L12" s="118"/>
      <c r="M12" s="118"/>
      <c r="N12" s="118"/>
      <c r="O12" s="118"/>
      <c r="P12" s="118"/>
      <c r="Q12" s="119"/>
      <c r="R12" s="119"/>
      <c r="S12" s="119"/>
      <c r="T12" s="119"/>
      <c r="IU12" s="129" t="n">
        <v>14</v>
      </c>
    </row>
    <row r="13" s="129" customFormat="true" ht="0.75" hidden="false" customHeight="true" outlineLevel="0" collapsed="false">
      <c r="A13" s="42"/>
      <c r="B13" s="45"/>
      <c r="C13" s="42"/>
      <c r="D13" s="117"/>
      <c r="E13" s="42"/>
      <c r="F13" s="42"/>
      <c r="G13" s="42"/>
      <c r="H13" s="42"/>
      <c r="I13" s="42"/>
      <c r="J13" s="42"/>
      <c r="K13" s="118"/>
      <c r="L13" s="118"/>
      <c r="M13" s="118"/>
      <c r="N13" s="118"/>
      <c r="O13" s="118"/>
      <c r="P13" s="118"/>
      <c r="Q13" s="119"/>
      <c r="R13" s="119"/>
      <c r="S13" s="119"/>
      <c r="T13" s="119"/>
      <c r="IU13" s="129" t="n">
        <v>1</v>
      </c>
    </row>
    <row r="14" s="171" customFormat="true" ht="10.5" hidden="false" customHeight="true" outlineLevel="0" collapsed="false">
      <c r="B14" s="172"/>
      <c r="D14" s="173"/>
      <c r="K14" s="118"/>
      <c r="L14" s="118"/>
      <c r="M14" s="118"/>
      <c r="N14" s="118"/>
      <c r="O14" s="118"/>
      <c r="P14" s="118"/>
      <c r="Q14" s="119"/>
      <c r="R14" s="119"/>
      <c r="S14" s="119"/>
      <c r="T14" s="119"/>
      <c r="IU14" s="171" t="n">
        <v>10</v>
      </c>
    </row>
    <row r="15" s="171" customFormat="true" ht="10.5" hidden="false" customHeight="true" outlineLevel="0" collapsed="false">
      <c r="B15" s="172"/>
      <c r="D15" s="173"/>
      <c r="K15" s="118"/>
      <c r="L15" s="118"/>
      <c r="M15" s="118"/>
      <c r="N15" s="118"/>
      <c r="O15" s="118"/>
      <c r="P15" s="118"/>
      <c r="Q15" s="119"/>
      <c r="R15" s="119"/>
      <c r="S15" s="119"/>
      <c r="T15" s="119"/>
      <c r="IU15" s="171" t="n">
        <v>10</v>
      </c>
    </row>
    <row r="16" customFormat="false" ht="14.25" hidden="false" customHeight="true" outlineLevel="0" collapsed="false">
      <c r="IU16" s="42" t="n">
        <v>14</v>
      </c>
    </row>
    <row r="17" customFormat="false" ht="14.25" hidden="false" customHeight="true" outlineLevel="0" collapsed="false">
      <c r="IU17" s="42" t="n">
        <v>14</v>
      </c>
    </row>
    <row r="18" customFormat="false" ht="14.25" hidden="false" customHeight="true" outlineLevel="0" collapsed="false">
      <c r="IU18" s="42" t="n">
        <v>14</v>
      </c>
    </row>
    <row r="19" customFormat="false" ht="14.25" hidden="false" customHeight="true" outlineLevel="0" collapsed="false">
      <c r="G19" s="53"/>
      <c r="H19" s="53"/>
      <c r="I19" s="53"/>
      <c r="IU19" s="42" t="n">
        <v>14</v>
      </c>
    </row>
    <row r="20" customFormat="false" ht="14.25" hidden="false" customHeight="true" outlineLevel="0" collapsed="false">
      <c r="IU20" s="42" t="n">
        <v>14</v>
      </c>
    </row>
    <row r="21" customFormat="false" ht="14.25" hidden="false" customHeight="true" outlineLevel="0" collapsed="false">
      <c r="IU21" s="42" t="n">
        <v>14</v>
      </c>
    </row>
    <row r="22" customFormat="false" ht="14.25" hidden="false" customHeight="true" outlineLevel="0" collapsed="false">
      <c r="IU22" s="42" t="n">
        <v>14</v>
      </c>
    </row>
    <row r="23" customFormat="false" ht="14.25" hidden="false" customHeight="true" outlineLevel="0" collapsed="false">
      <c r="K23" s="42"/>
      <c r="L23" s="42"/>
      <c r="M23" s="42"/>
      <c r="IU23" s="42" t="n">
        <v>14</v>
      </c>
    </row>
    <row r="24" customFormat="false" ht="22.5" hidden="true" customHeight="true" outlineLevel="0" collapsed="false">
      <c r="A24" s="42" t="s">
        <v>81</v>
      </c>
      <c r="B24" s="45" t="n">
        <v>0</v>
      </c>
      <c r="C24" s="42" t="n">
        <v>0</v>
      </c>
      <c r="D24" s="117" t="n">
        <v>3</v>
      </c>
      <c r="E24" s="42" t="n">
        <v>6</v>
      </c>
      <c r="F24" s="42" t="n">
        <v>46</v>
      </c>
      <c r="G24" s="42" t="n">
        <v>16</v>
      </c>
      <c r="H24" s="42" t="n">
        <v>16</v>
      </c>
      <c r="I24" s="42" t="n">
        <v>35</v>
      </c>
      <c r="J24" s="42" t="n">
        <v>89</v>
      </c>
      <c r="K24" s="118" t="n">
        <v>3</v>
      </c>
      <c r="L24" s="118" t="n">
        <v>8</v>
      </c>
      <c r="M24" s="118" t="n">
        <v>8</v>
      </c>
      <c r="N24" s="118" t="n">
        <v>8</v>
      </c>
      <c r="O24" s="118" t="n">
        <v>25</v>
      </c>
      <c r="P24" s="118" t="n">
        <v>14</v>
      </c>
      <c r="Q24" s="119" t="n">
        <v>8</v>
      </c>
      <c r="R24" s="119" t="n">
        <v>8</v>
      </c>
      <c r="S24" s="119" t="n">
        <v>8</v>
      </c>
      <c r="T24" s="119" t="n">
        <v>8</v>
      </c>
      <c r="U24" s="42" t="n">
        <v>8</v>
      </c>
      <c r="V24" s="42" t="n">
        <v>8</v>
      </c>
      <c r="W24" s="42" t="n">
        <v>8</v>
      </c>
      <c r="X24" s="42" t="n">
        <v>8</v>
      </c>
      <c r="Y24" s="42" t="n">
        <v>8</v>
      </c>
      <c r="Z24" s="42" t="n">
        <v>8</v>
      </c>
      <c r="AA24" s="42" t="n">
        <v>8</v>
      </c>
      <c r="AB24" s="42" t="n">
        <v>8</v>
      </c>
      <c r="AC24" s="42" t="n">
        <v>8</v>
      </c>
      <c r="AD24" s="42" t="n">
        <v>8</v>
      </c>
      <c r="AE24" s="42" t="n">
        <v>8</v>
      </c>
      <c r="AF24" s="42" t="n">
        <v>8</v>
      </c>
      <c r="AG24" s="42" t="n">
        <v>8</v>
      </c>
      <c r="AH24" s="42" t="n">
        <v>8</v>
      </c>
      <c r="AI24" s="42" t="n">
        <v>8</v>
      </c>
      <c r="AJ24" s="42" t="n">
        <v>8</v>
      </c>
      <c r="AK24" s="42" t="n">
        <v>8</v>
      </c>
      <c r="AL24" s="42" t="n">
        <v>8</v>
      </c>
      <c r="AM24" s="42" t="n">
        <v>8</v>
      </c>
      <c r="AN24" s="42" t="n">
        <v>8</v>
      </c>
      <c r="AO24" s="42" t="n">
        <v>8</v>
      </c>
      <c r="AP24" s="42" t="n">
        <v>8</v>
      </c>
      <c r="AQ24" s="42" t="n">
        <v>8</v>
      </c>
      <c r="AR24" s="42" t="n">
        <v>8</v>
      </c>
      <c r="AS24" s="42" t="n">
        <v>8</v>
      </c>
      <c r="AT24" s="42" t="n">
        <v>8</v>
      </c>
      <c r="AU24" s="42" t="n">
        <v>8</v>
      </c>
      <c r="AV24" s="42" t="n">
        <v>8</v>
      </c>
      <c r="AW24" s="42" t="n">
        <v>8</v>
      </c>
      <c r="AX24" s="42" t="n">
        <v>8</v>
      </c>
      <c r="AY24" s="42" t="n">
        <v>8</v>
      </c>
      <c r="AZ24" s="42" t="n">
        <v>8</v>
      </c>
      <c r="BA24" s="42" t="n">
        <v>8</v>
      </c>
      <c r="BB24" s="42" t="n">
        <v>8</v>
      </c>
      <c r="BC24" s="42" t="n">
        <v>8</v>
      </c>
      <c r="BD24" s="42" t="n">
        <v>8</v>
      </c>
      <c r="BE24" s="42" t="n">
        <v>8</v>
      </c>
      <c r="BF24" s="42" t="n">
        <v>8</v>
      </c>
      <c r="BG24" s="42" t="n">
        <v>8</v>
      </c>
      <c r="BH24" s="42" t="n">
        <v>8</v>
      </c>
      <c r="BI24" s="42" t="n">
        <v>8</v>
      </c>
      <c r="BJ24" s="42" t="n">
        <v>8</v>
      </c>
      <c r="BK24" s="42" t="n">
        <v>8</v>
      </c>
      <c r="BL24" s="42" t="n">
        <v>8</v>
      </c>
      <c r="BM24" s="42" t="n">
        <v>8</v>
      </c>
      <c r="BN24" s="42" t="n">
        <v>8</v>
      </c>
      <c r="BO24" s="42" t="n">
        <v>8</v>
      </c>
      <c r="BP24" s="42" t="n">
        <v>8</v>
      </c>
      <c r="BQ24" s="42" t="n">
        <v>8</v>
      </c>
      <c r="BR24" s="42" t="n">
        <v>8</v>
      </c>
      <c r="BS24" s="42" t="n">
        <v>8</v>
      </c>
      <c r="BT24" s="42" t="n">
        <v>8</v>
      </c>
      <c r="BU24" s="42" t="n">
        <v>8</v>
      </c>
      <c r="BV24" s="42" t="n">
        <v>8</v>
      </c>
      <c r="BW24" s="42" t="n">
        <v>8</v>
      </c>
      <c r="BX24" s="42" t="n">
        <v>8</v>
      </c>
      <c r="BY24" s="42" t="n">
        <v>8</v>
      </c>
      <c r="BZ24" s="42" t="n">
        <v>8</v>
      </c>
      <c r="CA24" s="42" t="n">
        <v>8</v>
      </c>
      <c r="CB24" s="42" t="n">
        <v>8</v>
      </c>
      <c r="CC24" s="42" t="n">
        <v>8</v>
      </c>
      <c r="CD24" s="42" t="n">
        <v>8</v>
      </c>
      <c r="CE24" s="42" t="n">
        <v>8</v>
      </c>
      <c r="CF24" s="42" t="n">
        <v>8</v>
      </c>
      <c r="CG24" s="42" t="n">
        <v>8</v>
      </c>
      <c r="CH24" s="42" t="n">
        <v>8</v>
      </c>
      <c r="CI24" s="42" t="n">
        <v>8</v>
      </c>
      <c r="CJ24" s="42" t="n">
        <v>8</v>
      </c>
      <c r="CK24" s="42" t="n">
        <v>8</v>
      </c>
      <c r="CL24" s="42" t="n">
        <v>8</v>
      </c>
      <c r="CM24" s="42" t="n">
        <v>8</v>
      </c>
      <c r="CN24" s="42" t="n">
        <v>8</v>
      </c>
      <c r="CO24" s="42" t="n">
        <v>8</v>
      </c>
      <c r="CP24" s="42" t="n">
        <v>8</v>
      </c>
      <c r="CQ24" s="42" t="n">
        <v>8</v>
      </c>
      <c r="CR24" s="42" t="n">
        <v>8</v>
      </c>
      <c r="CS24" s="42" t="n">
        <v>8</v>
      </c>
      <c r="CT24" s="42" t="n">
        <v>8</v>
      </c>
      <c r="CU24" s="42" t="n">
        <v>8</v>
      </c>
      <c r="CV24" s="42" t="n">
        <v>8</v>
      </c>
      <c r="CW24" s="42" t="n">
        <v>8</v>
      </c>
      <c r="CX24" s="42" t="n">
        <v>8</v>
      </c>
      <c r="CY24" s="42" t="n">
        <v>8</v>
      </c>
      <c r="CZ24" s="42" t="n">
        <v>8</v>
      </c>
      <c r="DA24" s="42" t="n">
        <v>8</v>
      </c>
      <c r="DB24" s="42" t="n">
        <v>8</v>
      </c>
      <c r="DC24" s="42" t="n">
        <v>8</v>
      </c>
      <c r="DD24" s="42" t="n">
        <v>8</v>
      </c>
      <c r="DE24" s="42" t="n">
        <v>8</v>
      </c>
      <c r="DF24" s="42" t="n">
        <v>8</v>
      </c>
      <c r="DG24" s="42" t="n">
        <v>8</v>
      </c>
      <c r="DH24" s="42" t="n">
        <v>8</v>
      </c>
      <c r="DI24" s="42" t="n">
        <v>8</v>
      </c>
      <c r="DJ24" s="42" t="n">
        <v>8</v>
      </c>
      <c r="DK24" s="42" t="n">
        <v>8</v>
      </c>
      <c r="DL24" s="42" t="n">
        <v>8</v>
      </c>
      <c r="DM24" s="42" t="n">
        <v>8</v>
      </c>
      <c r="DN24" s="42" t="n">
        <v>8</v>
      </c>
      <c r="DO24" s="42" t="n">
        <v>8</v>
      </c>
      <c r="DP24" s="42" t="n">
        <v>8</v>
      </c>
      <c r="DQ24" s="42" t="n">
        <v>8</v>
      </c>
      <c r="DR24" s="42" t="n">
        <v>8</v>
      </c>
      <c r="DS24" s="42" t="n">
        <v>8</v>
      </c>
      <c r="DT24" s="42" t="n">
        <v>8</v>
      </c>
      <c r="DU24" s="42" t="n">
        <v>8</v>
      </c>
      <c r="DV24" s="42" t="n">
        <v>8</v>
      </c>
      <c r="DW24" s="42" t="n">
        <v>8</v>
      </c>
      <c r="DX24" s="42" t="n">
        <v>8</v>
      </c>
      <c r="DY24" s="42" t="n">
        <v>8</v>
      </c>
      <c r="DZ24" s="42" t="n">
        <v>8</v>
      </c>
      <c r="EA24" s="42" t="n">
        <v>8</v>
      </c>
      <c r="EB24" s="42" t="n">
        <v>8</v>
      </c>
      <c r="EC24" s="42" t="n">
        <v>8</v>
      </c>
      <c r="ED24" s="42" t="n">
        <v>8</v>
      </c>
      <c r="EE24" s="42" t="n">
        <v>8</v>
      </c>
      <c r="EF24" s="42" t="n">
        <v>8</v>
      </c>
      <c r="EG24" s="42" t="n">
        <v>8</v>
      </c>
      <c r="EH24" s="42" t="n">
        <v>8</v>
      </c>
      <c r="EI24" s="42" t="n">
        <v>8</v>
      </c>
      <c r="EJ24" s="42" t="n">
        <v>8</v>
      </c>
      <c r="EK24" s="42" t="n">
        <v>8</v>
      </c>
      <c r="EL24" s="42" t="n">
        <v>8</v>
      </c>
      <c r="EM24" s="42" t="n">
        <v>8</v>
      </c>
      <c r="EN24" s="42" t="n">
        <v>8</v>
      </c>
      <c r="EO24" s="42" t="n">
        <v>8</v>
      </c>
      <c r="EP24" s="42" t="n">
        <v>8</v>
      </c>
      <c r="EQ24" s="42" t="n">
        <v>8</v>
      </c>
      <c r="ER24" s="42" t="n">
        <v>8</v>
      </c>
      <c r="ES24" s="42" t="n">
        <v>8</v>
      </c>
      <c r="ET24" s="42" t="n">
        <v>8</v>
      </c>
      <c r="EU24" s="42" t="n">
        <v>8</v>
      </c>
      <c r="EV24" s="42" t="n">
        <v>8</v>
      </c>
      <c r="EW24" s="42" t="n">
        <v>8</v>
      </c>
      <c r="EX24" s="42" t="n">
        <v>8</v>
      </c>
      <c r="EY24" s="42" t="n">
        <v>8</v>
      </c>
      <c r="EZ24" s="42" t="n">
        <v>8</v>
      </c>
      <c r="FA24" s="42" t="n">
        <v>8</v>
      </c>
      <c r="FB24" s="42" t="n">
        <v>8</v>
      </c>
      <c r="FC24" s="42" t="n">
        <v>8</v>
      </c>
      <c r="FD24" s="42" t="n">
        <v>8</v>
      </c>
      <c r="FE24" s="42" t="n">
        <v>8</v>
      </c>
      <c r="FF24" s="42" t="n">
        <v>8</v>
      </c>
      <c r="FG24" s="42" t="n">
        <v>8</v>
      </c>
      <c r="FH24" s="42" t="n">
        <v>8</v>
      </c>
      <c r="FI24" s="42" t="n">
        <v>8</v>
      </c>
      <c r="FJ24" s="42" t="n">
        <v>8</v>
      </c>
      <c r="FK24" s="42" t="n">
        <v>8</v>
      </c>
      <c r="FL24" s="42" t="n">
        <v>8</v>
      </c>
      <c r="FM24" s="42" t="n">
        <v>8</v>
      </c>
      <c r="FN24" s="42" t="n">
        <v>8</v>
      </c>
      <c r="FO24" s="42" t="n">
        <v>8</v>
      </c>
      <c r="FP24" s="42" t="n">
        <v>8</v>
      </c>
      <c r="FQ24" s="42" t="n">
        <v>8</v>
      </c>
      <c r="FR24" s="42" t="n">
        <v>8</v>
      </c>
      <c r="FS24" s="42" t="n">
        <v>8</v>
      </c>
      <c r="FT24" s="42" t="n">
        <v>8</v>
      </c>
      <c r="FU24" s="42" t="n">
        <v>8</v>
      </c>
      <c r="FV24" s="42" t="n">
        <v>8</v>
      </c>
      <c r="FW24" s="42" t="n">
        <v>8</v>
      </c>
      <c r="FX24" s="42" t="n">
        <v>8</v>
      </c>
      <c r="FY24" s="42" t="n">
        <v>8</v>
      </c>
      <c r="FZ24" s="42" t="n">
        <v>8</v>
      </c>
      <c r="GA24" s="42" t="n">
        <v>8</v>
      </c>
      <c r="GB24" s="42" t="n">
        <v>8</v>
      </c>
      <c r="GC24" s="42" t="n">
        <v>8</v>
      </c>
      <c r="GD24" s="42" t="n">
        <v>8</v>
      </c>
      <c r="GE24" s="42" t="n">
        <v>8</v>
      </c>
      <c r="GF24" s="42" t="n">
        <v>8</v>
      </c>
      <c r="GG24" s="42" t="n">
        <v>8</v>
      </c>
      <c r="GH24" s="42" t="n">
        <v>8</v>
      </c>
      <c r="GI24" s="42" t="n">
        <v>8</v>
      </c>
      <c r="GJ24" s="42" t="n">
        <v>8</v>
      </c>
      <c r="GK24" s="42" t="n">
        <v>8</v>
      </c>
      <c r="GL24" s="42" t="n">
        <v>8</v>
      </c>
      <c r="GM24" s="42" t="n">
        <v>8</v>
      </c>
      <c r="GN24" s="42" t="n">
        <v>8</v>
      </c>
      <c r="GO24" s="42" t="n">
        <v>8</v>
      </c>
      <c r="GP24" s="42" t="n">
        <v>8</v>
      </c>
      <c r="GQ24" s="42" t="n">
        <v>8</v>
      </c>
      <c r="GR24" s="42" t="n">
        <v>8</v>
      </c>
      <c r="GS24" s="42" t="n">
        <v>8</v>
      </c>
      <c r="GT24" s="42" t="n">
        <v>8</v>
      </c>
      <c r="GU24" s="42" t="n">
        <v>8</v>
      </c>
      <c r="GV24" s="42" t="n">
        <v>8</v>
      </c>
      <c r="GW24" s="42" t="n">
        <v>8</v>
      </c>
      <c r="GX24" s="42" t="n">
        <v>8</v>
      </c>
      <c r="GY24" s="42" t="n">
        <v>8</v>
      </c>
      <c r="GZ24" s="42" t="n">
        <v>8</v>
      </c>
      <c r="HA24" s="42" t="n">
        <v>8</v>
      </c>
      <c r="HB24" s="42" t="n">
        <v>8</v>
      </c>
      <c r="HC24" s="42" t="n">
        <v>8</v>
      </c>
      <c r="HD24" s="42" t="n">
        <v>8</v>
      </c>
      <c r="HE24" s="42" t="n">
        <v>8</v>
      </c>
      <c r="HF24" s="42" t="n">
        <v>8</v>
      </c>
      <c r="HG24" s="42" t="n">
        <v>8</v>
      </c>
      <c r="HH24" s="42" t="n">
        <v>8</v>
      </c>
      <c r="HI24" s="42" t="n">
        <v>8</v>
      </c>
      <c r="HJ24" s="42" t="n">
        <v>8</v>
      </c>
      <c r="HK24" s="42" t="n">
        <v>8</v>
      </c>
      <c r="HL24" s="42" t="n">
        <v>8</v>
      </c>
      <c r="HM24" s="42" t="n">
        <v>8</v>
      </c>
      <c r="HN24" s="42" t="n">
        <v>8</v>
      </c>
      <c r="HO24" s="42" t="n">
        <v>8</v>
      </c>
      <c r="HP24" s="42" t="n">
        <v>8</v>
      </c>
      <c r="HQ24" s="42" t="n">
        <v>8</v>
      </c>
      <c r="HR24" s="42" t="n">
        <v>8</v>
      </c>
      <c r="HS24" s="42" t="n">
        <v>8</v>
      </c>
      <c r="HT24" s="42" t="n">
        <v>8</v>
      </c>
      <c r="HU24" s="42" t="n">
        <v>8</v>
      </c>
      <c r="HV24" s="42" t="n">
        <v>8</v>
      </c>
      <c r="HW24" s="42" t="n">
        <v>8</v>
      </c>
      <c r="HX24" s="42" t="n">
        <v>8</v>
      </c>
      <c r="HY24" s="42" t="n">
        <v>8</v>
      </c>
      <c r="HZ24" s="42" t="n">
        <v>8</v>
      </c>
      <c r="IA24" s="42" t="n">
        <v>8</v>
      </c>
      <c r="IB24" s="42" t="n">
        <v>8</v>
      </c>
      <c r="IC24" s="42" t="n">
        <v>8</v>
      </c>
      <c r="ID24" s="42" t="n">
        <v>8</v>
      </c>
      <c r="IE24" s="42" t="n">
        <v>8</v>
      </c>
      <c r="IF24" s="42" t="n">
        <v>8</v>
      </c>
      <c r="IG24" s="42" t="n">
        <v>8</v>
      </c>
      <c r="IH24" s="42" t="n">
        <v>8</v>
      </c>
      <c r="II24" s="42" t="n">
        <v>8</v>
      </c>
      <c r="IJ24" s="42" t="n">
        <v>8</v>
      </c>
      <c r="IK24" s="42" t="n">
        <v>8</v>
      </c>
      <c r="IL24" s="42" t="n">
        <v>8</v>
      </c>
      <c r="IM24" s="42" t="n">
        <v>8</v>
      </c>
      <c r="IN24" s="42" t="n">
        <v>8</v>
      </c>
      <c r="IO24" s="42" t="n">
        <v>8</v>
      </c>
      <c r="IP24" s="42" t="n">
        <v>8</v>
      </c>
      <c r="IQ24" s="42" t="n">
        <v>8</v>
      </c>
      <c r="IR24" s="42" t="n">
        <v>8</v>
      </c>
      <c r="IS24" s="42" t="n">
        <v>8</v>
      </c>
      <c r="IT24" s="42" t="n">
        <v>8</v>
      </c>
      <c r="IU24" s="42" t="n">
        <v>23</v>
      </c>
    </row>
  </sheetData>
  <mergeCells count="4">
    <mergeCell ref="E5:J5"/>
    <mergeCell ref="E7:I7"/>
    <mergeCell ref="J7:J8"/>
    <mergeCell ref="J9:J10"/>
  </mergeCells>
  <dataValidations count="2">
    <dataValidation allowBlank="true" errorStyle="stop" operator="between" showDropDown="false" showErrorMessage="true" showInputMessage="true" sqref="I3" type="textLength">
      <formula1>13</formula1>
      <formula2>15</formula2>
    </dataValidation>
    <dataValidation allowBlank="true" errorStyle="stop" operator="between" prompt="ОГРН состоит из 13 цифр, ОГРНИП - из 15" showDropDown="false" showErrorMessage="true" showInputMessage="true" sqref="I2 I9" type="textLength">
      <formula1>13</formula1>
      <formula2>15</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4.25" zeroHeight="false" outlineLevelRow="0" outlineLevelCol="0"/>
  <cols>
    <col collapsed="false" customWidth="false" hidden="true" outlineLevel="0" max="1" min="1" style="42" width="9.14"/>
    <col collapsed="false" customWidth="false" hidden="true" outlineLevel="0" max="2" min="2" style="45" width="9.14"/>
    <col collapsed="false" customWidth="true" hidden="true" outlineLevel="0" max="3" min="3" style="42" width="3.71"/>
    <col collapsed="false" customWidth="true" hidden="false" outlineLevel="0" max="4" min="4" style="117" width="3"/>
    <col collapsed="false" customWidth="true" hidden="false" outlineLevel="0" max="5" min="5" style="42" width="6"/>
    <col collapsed="false" customWidth="true" hidden="false" outlineLevel="0" max="6" min="6" style="42" width="27"/>
    <col collapsed="false" customWidth="true" hidden="false" outlineLevel="0" max="7" min="7" style="42" width="16"/>
    <col collapsed="false" customWidth="true" hidden="false" outlineLevel="0" max="8" min="8" style="42" width="12"/>
    <col collapsed="false" customWidth="true" hidden="false" outlineLevel="0" max="9" min="9" style="42" width="32"/>
    <col collapsed="false" customWidth="true" hidden="false" outlineLevel="0" max="11" min="10" style="42" width="41"/>
    <col collapsed="false" customWidth="true" hidden="false" outlineLevel="0" max="12" min="12" style="42" width="89"/>
    <col collapsed="false" customWidth="true" hidden="false" outlineLevel="0" max="13" min="13" style="118" width="3"/>
    <col collapsed="false" customWidth="true" hidden="false" outlineLevel="0" max="16" min="14" style="118" width="8"/>
    <col collapsed="false" customWidth="true" hidden="false" outlineLevel="0" max="17" min="17" style="118" width="25"/>
    <col collapsed="false" customWidth="true" hidden="false" outlineLevel="0" max="18" min="18" style="118" width="14"/>
    <col collapsed="false" customWidth="true" hidden="false" outlineLevel="0" max="22" min="19" style="119" width="8"/>
    <col collapsed="false" customWidth="true" hidden="false" outlineLevel="0" max="256" min="23" style="42" width="8"/>
    <col collapsed="false" customWidth="false" hidden="true" outlineLevel="0" max="257" min="257" style="42" width="9.14"/>
  </cols>
  <sheetData>
    <row r="1" customFormat="false" ht="22.5" hidden="true" customHeight="true" outlineLevel="0" collapsed="false">
      <c r="IW1" s="42" t="s">
        <v>14</v>
      </c>
    </row>
    <row r="2" s="53" customFormat="true" ht="22.5" hidden="true" customHeight="true" outlineLevel="0" collapsed="false">
      <c r="A2" s="109"/>
      <c r="B2" s="45" t="n">
        <v>1</v>
      </c>
      <c r="C2" s="45"/>
      <c r="D2" s="909" t="s">
        <v>103</v>
      </c>
      <c r="E2" s="265"/>
      <c r="F2" s="469" t="str">
        <f aca="false">IF(ROIV_INFO_NAME="","",ROIV_INFO_NAME)</f>
        <v>ООО "Газпром теплоэнерго Ярославль"</v>
      </c>
      <c r="G2" s="1044"/>
      <c r="H2" s="1045"/>
      <c r="I2" s="1039"/>
      <c r="J2" s="668"/>
      <c r="K2" s="668"/>
      <c r="L2" s="124"/>
      <c r="M2" s="1035" t="e">
        <f aca="false">mergevalue(F2)</f>
        <v>#NAME?</v>
      </c>
      <c r="N2" s="47"/>
      <c r="O2" s="47"/>
      <c r="P2" s="118" t="str">
        <f aca="false" t="array" ref="P2:P2">IF(ISERROR(MATCH(MID(Q2,1,250),MID(note_ter,1,250),0)),"n","y")</f>
        <v>n</v>
      </c>
      <c r="Q2" s="47"/>
      <c r="R2" s="118" t="str">
        <f aca="false">G2&amp;"("&amp;L2&amp;")"</f>
        <v>()</v>
      </c>
      <c r="S2" s="45"/>
      <c r="T2" s="45"/>
      <c r="U2" s="155"/>
      <c r="V2" s="45"/>
      <c r="W2" s="45"/>
      <c r="X2" s="45"/>
      <c r="Y2" s="54"/>
      <c r="Z2" s="54"/>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54"/>
      <c r="BW2" s="54"/>
      <c r="BX2" s="54"/>
      <c r="BY2" s="54"/>
      <c r="BZ2" s="54"/>
      <c r="CA2" s="54"/>
      <c r="CB2" s="54"/>
      <c r="CC2" s="54"/>
      <c r="CD2" s="54"/>
      <c r="CE2" s="54"/>
      <c r="IW2" s="53" t="n">
        <v>0</v>
      </c>
    </row>
    <row r="3" s="47" customFormat="true" ht="5.25" hidden="true" customHeight="true" outlineLevel="0" collapsed="false">
      <c r="A3" s="120"/>
      <c r="D3" s="121"/>
      <c r="F3" s="122" t="s">
        <v>82</v>
      </c>
      <c r="G3" s="1046" t="s">
        <v>83</v>
      </c>
      <c r="H3" s="121"/>
      <c r="I3" s="121"/>
      <c r="J3" s="121"/>
      <c r="K3" s="121"/>
      <c r="L3" s="123" t="s">
        <v>84</v>
      </c>
      <c r="M3" s="122" t="s">
        <v>82</v>
      </c>
      <c r="N3" s="122"/>
      <c r="O3" s="122"/>
      <c r="P3" s="122"/>
      <c r="Q3" s="122"/>
      <c r="R3" s="122"/>
      <c r="S3" s="122"/>
      <c r="T3" s="122"/>
      <c r="U3" s="122"/>
      <c r="V3" s="122"/>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23"/>
      <c r="IW3" s="47" t="n">
        <v>0</v>
      </c>
    </row>
    <row r="4" s="129" customFormat="true" ht="14.25" hidden="false" customHeight="true" outlineLevel="0" collapsed="false">
      <c r="A4" s="42"/>
      <c r="B4" s="45"/>
      <c r="C4" s="42"/>
      <c r="D4" s="117"/>
      <c r="E4" s="42"/>
      <c r="F4" s="42"/>
      <c r="G4" s="42"/>
      <c r="H4" s="42"/>
      <c r="I4" s="42"/>
      <c r="J4" s="42"/>
      <c r="K4" s="42"/>
      <c r="L4" s="128"/>
      <c r="M4" s="122"/>
      <c r="N4" s="118"/>
      <c r="O4" s="118"/>
      <c r="P4" s="118"/>
      <c r="Q4" s="118"/>
      <c r="R4" s="118"/>
      <c r="S4" s="119"/>
      <c r="T4" s="119"/>
      <c r="U4" s="119"/>
      <c r="V4" s="119"/>
      <c r="IW4" s="129" t="n">
        <v>14</v>
      </c>
    </row>
    <row r="5" s="129" customFormat="true" ht="27" hidden="false" customHeight="true" outlineLevel="0" collapsed="false">
      <c r="A5" s="42"/>
      <c r="B5" s="45"/>
      <c r="C5" s="42"/>
      <c r="D5" s="117"/>
      <c r="E5" s="130" t="str">
        <f aca="false">"Форма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30"/>
      <c r="G5" s="130"/>
      <c r="H5" s="130"/>
      <c r="I5" s="130"/>
      <c r="J5" s="130"/>
      <c r="K5" s="130"/>
      <c r="L5" s="42"/>
      <c r="M5" s="122"/>
      <c r="N5" s="118"/>
      <c r="O5" s="118"/>
      <c r="P5" s="118"/>
      <c r="Q5" s="118"/>
      <c r="R5" s="118"/>
      <c r="S5" s="119"/>
      <c r="T5" s="119"/>
      <c r="U5" s="119"/>
      <c r="V5" s="119"/>
      <c r="IW5" s="129" t="n">
        <v>26</v>
      </c>
    </row>
    <row r="6" s="129" customFormat="true" ht="14.25" hidden="false" customHeight="true" outlineLevel="0" collapsed="false">
      <c r="A6" s="42"/>
      <c r="B6" s="45"/>
      <c r="C6" s="42"/>
      <c r="D6" s="117"/>
      <c r="E6" s="42"/>
      <c r="F6" s="131"/>
      <c r="G6" s="131"/>
      <c r="H6" s="131"/>
      <c r="I6" s="131"/>
      <c r="J6" s="131"/>
      <c r="K6" s="131"/>
      <c r="L6" s="109"/>
      <c r="M6" s="118"/>
      <c r="N6" s="118"/>
      <c r="O6" s="118"/>
      <c r="P6" s="118"/>
      <c r="Q6" s="118"/>
      <c r="R6" s="118"/>
      <c r="S6" s="119"/>
      <c r="T6" s="119"/>
      <c r="U6" s="119"/>
      <c r="V6" s="119"/>
      <c r="IW6" s="129" t="n">
        <v>14</v>
      </c>
    </row>
    <row r="7" s="129" customFormat="true" ht="14.25" hidden="false" customHeight="true" outlineLevel="0" collapsed="false">
      <c r="A7" s="42"/>
      <c r="B7" s="45"/>
      <c r="C7" s="42"/>
      <c r="D7" s="117"/>
      <c r="E7" s="265" t="s">
        <v>313</v>
      </c>
      <c r="F7" s="265"/>
      <c r="G7" s="265"/>
      <c r="H7" s="265"/>
      <c r="I7" s="265"/>
      <c r="J7" s="265"/>
      <c r="K7" s="265"/>
      <c r="L7" s="135" t="s">
        <v>314</v>
      </c>
      <c r="M7" s="118"/>
      <c r="N7" s="118"/>
      <c r="O7" s="118"/>
      <c r="P7" s="118"/>
      <c r="Q7" s="118"/>
      <c r="R7" s="118"/>
      <c r="S7" s="119"/>
      <c r="T7" s="119"/>
      <c r="U7" s="119"/>
      <c r="V7" s="119"/>
      <c r="IW7" s="129" t="n">
        <v>14</v>
      </c>
    </row>
    <row r="8" s="129" customFormat="true" ht="66.75" hidden="false" customHeight="true" outlineLevel="0" collapsed="false">
      <c r="A8" s="42"/>
      <c r="B8" s="45"/>
      <c r="C8" s="42"/>
      <c r="D8" s="117"/>
      <c r="E8" s="137" t="s">
        <v>87</v>
      </c>
      <c r="F8" s="137" t="str">
        <f aca="false">"Наименование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137" t="str">
        <f aca="false">"Заседание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37"/>
      <c r="I8" s="137"/>
      <c r="J8" s="137" t="str">
        <f aca="false">"Принятые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37"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35"/>
      <c r="M8" s="118"/>
      <c r="N8" s="118"/>
      <c r="O8" s="118"/>
      <c r="P8" s="118"/>
      <c r="Q8" s="118"/>
      <c r="R8" s="118"/>
      <c r="S8" s="119"/>
      <c r="T8" s="119"/>
      <c r="U8" s="119"/>
      <c r="V8" s="119"/>
      <c r="IW8" s="129" t="n">
        <v>64</v>
      </c>
    </row>
    <row r="9" s="129" customFormat="true" ht="29.25" hidden="false" customHeight="true" outlineLevel="0" collapsed="false">
      <c r="A9" s="42"/>
      <c r="B9" s="45"/>
      <c r="C9" s="42"/>
      <c r="D9" s="117"/>
      <c r="E9" s="137"/>
      <c r="F9" s="137"/>
      <c r="G9" s="1047" t="s">
        <v>2009</v>
      </c>
      <c r="H9" s="1047" t="s">
        <v>2010</v>
      </c>
      <c r="I9" s="1047" t="s">
        <v>2011</v>
      </c>
      <c r="J9" s="137"/>
      <c r="K9" s="137"/>
      <c r="L9" s="135"/>
      <c r="M9" s="118"/>
      <c r="N9" s="118"/>
      <c r="O9" s="118"/>
      <c r="P9" s="118"/>
      <c r="Q9" s="118"/>
      <c r="R9" s="118"/>
      <c r="S9" s="119"/>
      <c r="T9" s="119"/>
      <c r="U9" s="119"/>
      <c r="V9" s="119"/>
      <c r="IW9" s="129" t="n">
        <v>28</v>
      </c>
    </row>
    <row r="10" s="53" customFormat="true" ht="23.25" hidden="false" customHeight="true" outlineLevel="0" collapsed="false">
      <c r="A10" s="43"/>
      <c r="B10" s="45" t="n">
        <v>1</v>
      </c>
      <c r="C10" s="45"/>
      <c r="D10" s="150"/>
      <c r="E10" s="151" t="n">
        <v>1</v>
      </c>
      <c r="F10" s="1048" t="str">
        <f aca="false">IF(ROIV_INFO_NAME="","",ROIV_INFO_NAME)</f>
        <v>ООО "Газпром теплоэнерго Ярославль"</v>
      </c>
      <c r="G10" s="78"/>
      <c r="H10" s="1045"/>
      <c r="I10" s="1049"/>
      <c r="J10" s="668"/>
      <c r="K10" s="668"/>
      <c r="L10" s="1050"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035" t="e">
        <f aca="false">mergevalue(F10)</f>
        <v>#NAME?</v>
      </c>
      <c r="N10" s="47"/>
      <c r="O10" s="47"/>
      <c r="P10" s="118" t="str">
        <f aca="false" t="array" ref="P10:P10">IF(ISERROR(MATCH(MID(Q10,1,250),MID(note_ter,1,250),0)),"n","y")</f>
        <v>n</v>
      </c>
      <c r="Q10" s="47"/>
      <c r="R10" s="118" t="str">
        <f aca="false">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45"/>
      <c r="T10" s="45"/>
      <c r="U10" s="155"/>
      <c r="V10" s="45"/>
      <c r="W10" s="45"/>
      <c r="X10" s="45"/>
      <c r="Y10" s="54"/>
      <c r="Z10" s="54"/>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54"/>
      <c r="BW10" s="54"/>
      <c r="BX10" s="54"/>
      <c r="BY10" s="54"/>
      <c r="BZ10" s="54"/>
      <c r="CA10" s="54"/>
      <c r="CB10" s="54"/>
      <c r="CC10" s="54"/>
      <c r="CD10" s="54"/>
      <c r="CE10" s="54"/>
      <c r="IW10" s="53" t="n">
        <v>22</v>
      </c>
    </row>
    <row r="11" s="53" customFormat="true" ht="15.75" hidden="false" customHeight="true" outlineLevel="0" collapsed="false">
      <c r="A11" s="43"/>
      <c r="B11" s="45"/>
      <c r="C11" s="157"/>
      <c r="D11" s="158"/>
      <c r="E11" s="159"/>
      <c r="F11" s="168" t="s">
        <v>2012</v>
      </c>
      <c r="G11" s="162"/>
      <c r="H11" s="162"/>
      <c r="I11" s="162"/>
      <c r="J11" s="162"/>
      <c r="K11" s="163"/>
      <c r="L11" s="1050"/>
      <c r="M11" s="1043"/>
      <c r="N11" s="47"/>
      <c r="O11" s="47"/>
      <c r="P11" s="47"/>
      <c r="Q11" s="118"/>
      <c r="R11" s="47"/>
      <c r="S11" s="45"/>
      <c r="T11" s="45"/>
      <c r="U11" s="155"/>
      <c r="V11" s="45"/>
      <c r="W11" s="45"/>
      <c r="X11" s="45"/>
      <c r="Y11" s="54"/>
      <c r="Z11" s="54"/>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54"/>
      <c r="BW11" s="54"/>
      <c r="BX11" s="54"/>
      <c r="BY11" s="54"/>
      <c r="BZ11" s="54"/>
      <c r="CA11" s="54"/>
      <c r="CB11" s="54"/>
      <c r="CC11" s="54"/>
      <c r="CD11" s="54"/>
      <c r="CE11" s="54"/>
      <c r="IW11" s="53" t="n">
        <v>15</v>
      </c>
    </row>
    <row r="12" s="129" customFormat="true" ht="21.75" hidden="false" customHeight="true" outlineLevel="0" collapsed="false">
      <c r="A12" s="42"/>
      <c r="B12" s="45"/>
      <c r="C12" s="42"/>
      <c r="D12" s="117"/>
      <c r="E12" s="170"/>
      <c r="F12" s="170"/>
      <c r="G12" s="170"/>
      <c r="H12" s="170"/>
      <c r="I12" s="170"/>
      <c r="J12" s="170"/>
      <c r="K12" s="170"/>
      <c r="L12" s="170"/>
      <c r="M12" s="118"/>
      <c r="N12" s="118"/>
      <c r="O12" s="118"/>
      <c r="P12" s="118"/>
      <c r="Q12" s="118"/>
      <c r="R12" s="118"/>
      <c r="S12" s="119"/>
      <c r="T12" s="119"/>
      <c r="U12" s="119"/>
      <c r="V12" s="119"/>
      <c r="IW12" s="129" t="n">
        <v>21</v>
      </c>
    </row>
    <row r="13" s="129" customFormat="true" ht="14.25" hidden="false" customHeight="true" outlineLevel="0" collapsed="false">
      <c r="A13" s="42"/>
      <c r="B13" s="45"/>
      <c r="C13" s="42"/>
      <c r="D13" s="117"/>
      <c r="E13" s="42"/>
      <c r="F13" s="42"/>
      <c r="G13" s="42"/>
      <c r="H13" s="42"/>
      <c r="I13" s="42"/>
      <c r="J13" s="42"/>
      <c r="K13" s="42"/>
      <c r="L13" s="42"/>
      <c r="M13" s="118"/>
      <c r="N13" s="118"/>
      <c r="O13" s="118"/>
      <c r="P13" s="118"/>
      <c r="Q13" s="118"/>
      <c r="R13" s="118"/>
      <c r="S13" s="119"/>
      <c r="T13" s="119"/>
      <c r="U13" s="119"/>
      <c r="V13" s="119"/>
      <c r="IW13" s="129" t="n">
        <v>14</v>
      </c>
    </row>
    <row r="14" s="129" customFormat="true" ht="0.75" hidden="false" customHeight="true" outlineLevel="0" collapsed="false">
      <c r="A14" s="42"/>
      <c r="B14" s="45"/>
      <c r="C14" s="42"/>
      <c r="D14" s="117"/>
      <c r="E14" s="42"/>
      <c r="F14" s="42"/>
      <c r="G14" s="42"/>
      <c r="H14" s="42"/>
      <c r="I14" s="42"/>
      <c r="J14" s="42"/>
      <c r="K14" s="42"/>
      <c r="L14" s="42"/>
      <c r="M14" s="118"/>
      <c r="N14" s="118"/>
      <c r="O14" s="118"/>
      <c r="P14" s="118"/>
      <c r="Q14" s="118"/>
      <c r="R14" s="118"/>
      <c r="S14" s="119"/>
      <c r="T14" s="119"/>
      <c r="U14" s="119"/>
      <c r="V14" s="119"/>
      <c r="IW14" s="129" t="n">
        <v>1</v>
      </c>
    </row>
    <row r="15" customFormat="false" ht="22.5" hidden="true" customHeight="true" outlineLevel="0" collapsed="false">
      <c r="A15" s="42" t="s">
        <v>81</v>
      </c>
      <c r="B15" s="45" t="n">
        <v>0</v>
      </c>
      <c r="C15" s="42" t="n">
        <v>0</v>
      </c>
      <c r="D15" s="117" t="n">
        <v>3</v>
      </c>
      <c r="E15" s="42" t="n">
        <v>6</v>
      </c>
      <c r="F15" s="42" t="n">
        <v>27</v>
      </c>
      <c r="G15" s="42" t="n">
        <v>16</v>
      </c>
      <c r="H15" s="42" t="n">
        <v>12</v>
      </c>
      <c r="I15" s="42" t="n">
        <v>32</v>
      </c>
      <c r="J15" s="42" t="n">
        <v>41</v>
      </c>
      <c r="K15" s="42" t="n">
        <v>41</v>
      </c>
      <c r="L15" s="42" t="n">
        <v>89</v>
      </c>
      <c r="M15" s="118" t="n">
        <v>3</v>
      </c>
      <c r="N15" s="118" t="n">
        <v>8</v>
      </c>
      <c r="O15" s="118" t="n">
        <v>8</v>
      </c>
      <c r="P15" s="118" t="n">
        <v>8</v>
      </c>
      <c r="Q15" s="118" t="n">
        <v>25</v>
      </c>
      <c r="R15" s="118" t="n">
        <v>14</v>
      </c>
      <c r="S15" s="119" t="n">
        <v>8</v>
      </c>
      <c r="T15" s="119" t="n">
        <v>8</v>
      </c>
      <c r="U15" s="119" t="n">
        <v>8</v>
      </c>
      <c r="V15" s="119" t="n">
        <v>8</v>
      </c>
      <c r="W15" s="42" t="n">
        <v>8</v>
      </c>
      <c r="X15" s="42" t="n">
        <v>8</v>
      </c>
      <c r="Y15" s="42" t="n">
        <v>8</v>
      </c>
      <c r="Z15" s="42" t="n">
        <v>8</v>
      </c>
      <c r="AA15" s="42" t="n">
        <v>8</v>
      </c>
      <c r="AB15" s="42" t="n">
        <v>8</v>
      </c>
      <c r="AC15" s="42" t="n">
        <v>8</v>
      </c>
      <c r="AD15" s="42" t="n">
        <v>8</v>
      </c>
      <c r="AE15" s="42" t="n">
        <v>8</v>
      </c>
      <c r="AF15" s="42" t="n">
        <v>8</v>
      </c>
      <c r="AG15" s="42" t="n">
        <v>8</v>
      </c>
      <c r="AH15" s="42" t="n">
        <v>8</v>
      </c>
      <c r="AI15" s="42" t="n">
        <v>8</v>
      </c>
      <c r="AJ15" s="42" t="n">
        <v>8</v>
      </c>
      <c r="AK15" s="42" t="n">
        <v>8</v>
      </c>
      <c r="AL15" s="42" t="n">
        <v>8</v>
      </c>
      <c r="AM15" s="42" t="n">
        <v>8</v>
      </c>
      <c r="AN15" s="42" t="n">
        <v>8</v>
      </c>
      <c r="AO15" s="42" t="n">
        <v>8</v>
      </c>
      <c r="AP15" s="42" t="n">
        <v>8</v>
      </c>
      <c r="AQ15" s="42" t="n">
        <v>8</v>
      </c>
      <c r="AR15" s="42" t="n">
        <v>8</v>
      </c>
      <c r="AS15" s="42" t="n">
        <v>8</v>
      </c>
      <c r="AT15" s="42" t="n">
        <v>8</v>
      </c>
      <c r="AU15" s="42" t="n">
        <v>8</v>
      </c>
      <c r="AV15" s="42" t="n">
        <v>8</v>
      </c>
      <c r="AW15" s="42" t="n">
        <v>8</v>
      </c>
      <c r="AX15" s="42" t="n">
        <v>8</v>
      </c>
      <c r="AY15" s="42" t="n">
        <v>8</v>
      </c>
      <c r="AZ15" s="42" t="n">
        <v>8</v>
      </c>
      <c r="BA15" s="42" t="n">
        <v>8</v>
      </c>
      <c r="BB15" s="42" t="n">
        <v>8</v>
      </c>
      <c r="BC15" s="42" t="n">
        <v>8</v>
      </c>
      <c r="BD15" s="42" t="n">
        <v>8</v>
      </c>
      <c r="BE15" s="42" t="n">
        <v>8</v>
      </c>
      <c r="BF15" s="42" t="n">
        <v>8</v>
      </c>
      <c r="BG15" s="42" t="n">
        <v>8</v>
      </c>
      <c r="BH15" s="42" t="n">
        <v>8</v>
      </c>
      <c r="BI15" s="42" t="n">
        <v>8</v>
      </c>
      <c r="BJ15" s="42" t="n">
        <v>8</v>
      </c>
      <c r="BK15" s="42" t="n">
        <v>8</v>
      </c>
      <c r="BL15" s="42" t="n">
        <v>8</v>
      </c>
      <c r="BM15" s="42" t="n">
        <v>8</v>
      </c>
      <c r="BN15" s="42" t="n">
        <v>8</v>
      </c>
      <c r="BO15" s="42" t="n">
        <v>8</v>
      </c>
      <c r="BP15" s="42" t="n">
        <v>8</v>
      </c>
      <c r="BQ15" s="42" t="n">
        <v>8</v>
      </c>
      <c r="BR15" s="42" t="n">
        <v>8</v>
      </c>
      <c r="BS15" s="42" t="n">
        <v>8</v>
      </c>
      <c r="BT15" s="42" t="n">
        <v>8</v>
      </c>
      <c r="BU15" s="42" t="n">
        <v>8</v>
      </c>
      <c r="BV15" s="42" t="n">
        <v>8</v>
      </c>
      <c r="BW15" s="42" t="n">
        <v>8</v>
      </c>
      <c r="BX15" s="42" t="n">
        <v>8</v>
      </c>
      <c r="BY15" s="42" t="n">
        <v>8</v>
      </c>
      <c r="BZ15" s="42" t="n">
        <v>8</v>
      </c>
      <c r="CA15" s="42" t="n">
        <v>8</v>
      </c>
      <c r="CB15" s="42" t="n">
        <v>8</v>
      </c>
      <c r="CC15" s="42" t="n">
        <v>8</v>
      </c>
      <c r="CD15" s="42" t="n">
        <v>8</v>
      </c>
      <c r="CE15" s="42" t="n">
        <v>8</v>
      </c>
      <c r="CF15" s="42" t="n">
        <v>8</v>
      </c>
      <c r="CG15" s="42" t="n">
        <v>8</v>
      </c>
      <c r="CH15" s="42" t="n">
        <v>8</v>
      </c>
      <c r="CI15" s="42" t="n">
        <v>8</v>
      </c>
      <c r="CJ15" s="42" t="n">
        <v>8</v>
      </c>
      <c r="CK15" s="42" t="n">
        <v>8</v>
      </c>
      <c r="CL15" s="42" t="n">
        <v>8</v>
      </c>
      <c r="CM15" s="42" t="n">
        <v>8</v>
      </c>
      <c r="CN15" s="42" t="n">
        <v>8</v>
      </c>
      <c r="CO15" s="42" t="n">
        <v>8</v>
      </c>
      <c r="CP15" s="42" t="n">
        <v>8</v>
      </c>
      <c r="CQ15" s="42" t="n">
        <v>8</v>
      </c>
      <c r="CR15" s="42" t="n">
        <v>8</v>
      </c>
      <c r="CS15" s="42" t="n">
        <v>8</v>
      </c>
      <c r="CT15" s="42" t="n">
        <v>8</v>
      </c>
      <c r="CU15" s="42" t="n">
        <v>8</v>
      </c>
      <c r="CV15" s="42" t="n">
        <v>8</v>
      </c>
      <c r="CW15" s="42" t="n">
        <v>8</v>
      </c>
      <c r="CX15" s="42" t="n">
        <v>8</v>
      </c>
      <c r="CY15" s="42" t="n">
        <v>8</v>
      </c>
      <c r="CZ15" s="42" t="n">
        <v>8</v>
      </c>
      <c r="DA15" s="42" t="n">
        <v>8</v>
      </c>
      <c r="DB15" s="42" t="n">
        <v>8</v>
      </c>
      <c r="DC15" s="42" t="n">
        <v>8</v>
      </c>
      <c r="DD15" s="42" t="n">
        <v>8</v>
      </c>
      <c r="DE15" s="42" t="n">
        <v>8</v>
      </c>
      <c r="DF15" s="42" t="n">
        <v>8</v>
      </c>
      <c r="DG15" s="42" t="n">
        <v>8</v>
      </c>
      <c r="DH15" s="42" t="n">
        <v>8</v>
      </c>
      <c r="DI15" s="42" t="n">
        <v>8</v>
      </c>
      <c r="DJ15" s="42" t="n">
        <v>8</v>
      </c>
      <c r="DK15" s="42" t="n">
        <v>8</v>
      </c>
      <c r="DL15" s="42" t="n">
        <v>8</v>
      </c>
      <c r="DM15" s="42" t="n">
        <v>8</v>
      </c>
      <c r="DN15" s="42" t="n">
        <v>8</v>
      </c>
      <c r="DO15" s="42" t="n">
        <v>8</v>
      </c>
      <c r="DP15" s="42" t="n">
        <v>8</v>
      </c>
      <c r="DQ15" s="42" t="n">
        <v>8</v>
      </c>
      <c r="DR15" s="42" t="n">
        <v>8</v>
      </c>
      <c r="DS15" s="42" t="n">
        <v>8</v>
      </c>
      <c r="DT15" s="42" t="n">
        <v>8</v>
      </c>
      <c r="DU15" s="42" t="n">
        <v>8</v>
      </c>
      <c r="DV15" s="42" t="n">
        <v>8</v>
      </c>
      <c r="DW15" s="42" t="n">
        <v>8</v>
      </c>
      <c r="DX15" s="42" t="n">
        <v>8</v>
      </c>
      <c r="DY15" s="42" t="n">
        <v>8</v>
      </c>
      <c r="DZ15" s="42" t="n">
        <v>8</v>
      </c>
      <c r="EA15" s="42" t="n">
        <v>8</v>
      </c>
      <c r="EB15" s="42" t="n">
        <v>8</v>
      </c>
      <c r="EC15" s="42" t="n">
        <v>8</v>
      </c>
      <c r="ED15" s="42" t="n">
        <v>8</v>
      </c>
      <c r="EE15" s="42" t="n">
        <v>8</v>
      </c>
      <c r="EF15" s="42" t="n">
        <v>8</v>
      </c>
      <c r="EG15" s="42" t="n">
        <v>8</v>
      </c>
      <c r="EH15" s="42" t="n">
        <v>8</v>
      </c>
      <c r="EI15" s="42" t="n">
        <v>8</v>
      </c>
      <c r="EJ15" s="42" t="n">
        <v>8</v>
      </c>
      <c r="EK15" s="42" t="n">
        <v>8</v>
      </c>
      <c r="EL15" s="42" t="n">
        <v>8</v>
      </c>
      <c r="EM15" s="42" t="n">
        <v>8</v>
      </c>
      <c r="EN15" s="42" t="n">
        <v>8</v>
      </c>
      <c r="EO15" s="42" t="n">
        <v>8</v>
      </c>
      <c r="EP15" s="42" t="n">
        <v>8</v>
      </c>
      <c r="EQ15" s="42" t="n">
        <v>8</v>
      </c>
      <c r="ER15" s="42" t="n">
        <v>8</v>
      </c>
      <c r="ES15" s="42" t="n">
        <v>8</v>
      </c>
      <c r="ET15" s="42" t="n">
        <v>8</v>
      </c>
      <c r="EU15" s="42" t="n">
        <v>8</v>
      </c>
      <c r="EV15" s="42" t="n">
        <v>8</v>
      </c>
      <c r="EW15" s="42" t="n">
        <v>8</v>
      </c>
      <c r="EX15" s="42" t="n">
        <v>8</v>
      </c>
      <c r="EY15" s="42" t="n">
        <v>8</v>
      </c>
      <c r="EZ15" s="42" t="n">
        <v>8</v>
      </c>
      <c r="FA15" s="42" t="n">
        <v>8</v>
      </c>
      <c r="FB15" s="42" t="n">
        <v>8</v>
      </c>
      <c r="FC15" s="42" t="n">
        <v>8</v>
      </c>
      <c r="FD15" s="42" t="n">
        <v>8</v>
      </c>
      <c r="FE15" s="42" t="n">
        <v>8</v>
      </c>
      <c r="FF15" s="42" t="n">
        <v>8</v>
      </c>
      <c r="FG15" s="42" t="n">
        <v>8</v>
      </c>
      <c r="FH15" s="42" t="n">
        <v>8</v>
      </c>
      <c r="FI15" s="42" t="n">
        <v>8</v>
      </c>
      <c r="FJ15" s="42" t="n">
        <v>8</v>
      </c>
      <c r="FK15" s="42" t="n">
        <v>8</v>
      </c>
      <c r="FL15" s="42" t="n">
        <v>8</v>
      </c>
      <c r="FM15" s="42" t="n">
        <v>8</v>
      </c>
      <c r="FN15" s="42" t="n">
        <v>8</v>
      </c>
      <c r="FO15" s="42" t="n">
        <v>8</v>
      </c>
      <c r="FP15" s="42" t="n">
        <v>8</v>
      </c>
      <c r="FQ15" s="42" t="n">
        <v>8</v>
      </c>
      <c r="FR15" s="42" t="n">
        <v>8</v>
      </c>
      <c r="FS15" s="42" t="n">
        <v>8</v>
      </c>
      <c r="FT15" s="42" t="n">
        <v>8</v>
      </c>
      <c r="FU15" s="42" t="n">
        <v>8</v>
      </c>
      <c r="FV15" s="42" t="n">
        <v>8</v>
      </c>
      <c r="FW15" s="42" t="n">
        <v>8</v>
      </c>
      <c r="FX15" s="42" t="n">
        <v>8</v>
      </c>
      <c r="FY15" s="42" t="n">
        <v>8</v>
      </c>
      <c r="FZ15" s="42" t="n">
        <v>8</v>
      </c>
      <c r="GA15" s="42" t="n">
        <v>8</v>
      </c>
      <c r="GB15" s="42" t="n">
        <v>8</v>
      </c>
      <c r="GC15" s="42" t="n">
        <v>8</v>
      </c>
      <c r="GD15" s="42" t="n">
        <v>8</v>
      </c>
      <c r="GE15" s="42" t="n">
        <v>8</v>
      </c>
      <c r="GF15" s="42" t="n">
        <v>8</v>
      </c>
      <c r="GG15" s="42" t="n">
        <v>8</v>
      </c>
      <c r="GH15" s="42" t="n">
        <v>8</v>
      </c>
      <c r="GI15" s="42" t="n">
        <v>8</v>
      </c>
      <c r="GJ15" s="42" t="n">
        <v>8</v>
      </c>
      <c r="GK15" s="42" t="n">
        <v>8</v>
      </c>
      <c r="GL15" s="42" t="n">
        <v>8</v>
      </c>
      <c r="GM15" s="42" t="n">
        <v>8</v>
      </c>
      <c r="GN15" s="42" t="n">
        <v>8</v>
      </c>
      <c r="GO15" s="42" t="n">
        <v>8</v>
      </c>
      <c r="GP15" s="42" t="n">
        <v>8</v>
      </c>
      <c r="GQ15" s="42" t="n">
        <v>8</v>
      </c>
      <c r="GR15" s="42" t="n">
        <v>8</v>
      </c>
      <c r="GS15" s="42" t="n">
        <v>8</v>
      </c>
      <c r="GT15" s="42" t="n">
        <v>8</v>
      </c>
      <c r="GU15" s="42" t="n">
        <v>8</v>
      </c>
      <c r="GV15" s="42" t="n">
        <v>8</v>
      </c>
      <c r="GW15" s="42" t="n">
        <v>8</v>
      </c>
      <c r="GX15" s="42" t="n">
        <v>8</v>
      </c>
      <c r="GY15" s="42" t="n">
        <v>8</v>
      </c>
      <c r="GZ15" s="42" t="n">
        <v>8</v>
      </c>
      <c r="HA15" s="42" t="n">
        <v>8</v>
      </c>
      <c r="HB15" s="42" t="n">
        <v>8</v>
      </c>
      <c r="HC15" s="42" t="n">
        <v>8</v>
      </c>
      <c r="HD15" s="42" t="n">
        <v>8</v>
      </c>
      <c r="HE15" s="42" t="n">
        <v>8</v>
      </c>
      <c r="HF15" s="42" t="n">
        <v>8</v>
      </c>
      <c r="HG15" s="42" t="n">
        <v>8</v>
      </c>
      <c r="HH15" s="42" t="n">
        <v>8</v>
      </c>
      <c r="HI15" s="42" t="n">
        <v>8</v>
      </c>
      <c r="HJ15" s="42" t="n">
        <v>8</v>
      </c>
      <c r="HK15" s="42" t="n">
        <v>8</v>
      </c>
      <c r="HL15" s="42" t="n">
        <v>8</v>
      </c>
      <c r="HM15" s="42" t="n">
        <v>8</v>
      </c>
      <c r="HN15" s="42" t="n">
        <v>8</v>
      </c>
      <c r="HO15" s="42" t="n">
        <v>8</v>
      </c>
      <c r="HP15" s="42" t="n">
        <v>8</v>
      </c>
      <c r="HQ15" s="42" t="n">
        <v>8</v>
      </c>
      <c r="HR15" s="42" t="n">
        <v>8</v>
      </c>
      <c r="HS15" s="42" t="n">
        <v>8</v>
      </c>
      <c r="HT15" s="42" t="n">
        <v>8</v>
      </c>
      <c r="HU15" s="42" t="n">
        <v>8</v>
      </c>
      <c r="HV15" s="42" t="n">
        <v>8</v>
      </c>
      <c r="HW15" s="42" t="n">
        <v>8</v>
      </c>
      <c r="HX15" s="42" t="n">
        <v>8</v>
      </c>
      <c r="HY15" s="42" t="n">
        <v>8</v>
      </c>
      <c r="HZ15" s="42" t="n">
        <v>8</v>
      </c>
      <c r="IA15" s="42" t="n">
        <v>8</v>
      </c>
      <c r="IB15" s="42" t="n">
        <v>8</v>
      </c>
      <c r="IC15" s="42" t="n">
        <v>8</v>
      </c>
      <c r="ID15" s="42" t="n">
        <v>8</v>
      </c>
      <c r="IE15" s="42" t="n">
        <v>8</v>
      </c>
      <c r="IF15" s="42" t="n">
        <v>8</v>
      </c>
      <c r="IG15" s="42" t="n">
        <v>8</v>
      </c>
      <c r="IH15" s="42" t="n">
        <v>8</v>
      </c>
      <c r="II15" s="42" t="n">
        <v>8</v>
      </c>
      <c r="IJ15" s="42" t="n">
        <v>8</v>
      </c>
      <c r="IK15" s="42" t="n">
        <v>8</v>
      </c>
      <c r="IL15" s="42" t="n">
        <v>8</v>
      </c>
      <c r="IM15" s="42" t="n">
        <v>8</v>
      </c>
      <c r="IN15" s="42" t="n">
        <v>8</v>
      </c>
      <c r="IO15" s="42" t="n">
        <v>8</v>
      </c>
      <c r="IP15" s="42" t="n">
        <v>8</v>
      </c>
      <c r="IQ15" s="42" t="n">
        <v>8</v>
      </c>
      <c r="IR15" s="42" t="n">
        <v>8</v>
      </c>
      <c r="IS15" s="42" t="n">
        <v>8</v>
      </c>
      <c r="IT15" s="42" t="n">
        <v>8</v>
      </c>
      <c r="IU15" s="42" t="n">
        <v>8</v>
      </c>
      <c r="IV15" s="42" t="n">
        <v>8</v>
      </c>
      <c r="IW15" s="42" t="n">
        <v>23</v>
      </c>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G10" type="none">
      <formula1>0</formula1>
      <formula2>0</formula2>
    </dataValidation>
    <dataValidation allowBlank="true" errorStyle="stop" operator="between" showDropDown="false" showErrorMessage="true" showInputMessage="true" sqref="H3:I3" type="textLength">
      <formula1>13</formula1>
      <formula2>15</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J2:K3 J10:K10" type="textLength">
      <formula1>900</formula1>
      <formula2>0</formula2>
    </dataValidation>
    <dataValidation allowBlank="true" errorStyle="stop" operator="between" prompt="Укажите время в формате ЧЧ:ММ" showDropDown="false" showErrorMessage="true" showInputMessage="true" sqref="H2 H10" type="time">
      <formula1>0</formula1>
      <formula2>0.999305555555556</formula2>
    </dataValidation>
    <dataValidation allowBlank="true" errorStyle="stop" operator="lessThanOrEqual" showDropDown="false" showErrorMessage="true" showInputMessage="true" sqref="I2 I10" type="textLength">
      <formula1>990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4.25" zeroHeight="false" outlineLevelRow="0" outlineLevelCol="0"/>
  <cols>
    <col collapsed="false" customWidth="false" hidden="true" outlineLevel="0" max="1" min="1" style="42" width="9.14"/>
    <col collapsed="false" customWidth="false" hidden="true" outlineLevel="0" max="2" min="2" style="45" width="9.14"/>
    <col collapsed="false" customWidth="true" hidden="true" outlineLevel="0" max="3" min="3" style="42" width="3.71"/>
    <col collapsed="false" customWidth="true" hidden="false" outlineLevel="0" max="4" min="4" style="117" width="3"/>
    <col collapsed="false" customWidth="true" hidden="false" outlineLevel="0" max="5" min="5" style="42" width="6"/>
    <col collapsed="false" customWidth="true" hidden="false" outlineLevel="0" max="6" min="6" style="42" width="27"/>
    <col collapsed="false" customWidth="true" hidden="false" outlineLevel="0" max="7" min="7" style="42" width="16"/>
    <col collapsed="false" customWidth="true" hidden="false" outlineLevel="0" max="8" min="8" style="42" width="12"/>
    <col collapsed="false" customWidth="true" hidden="false" outlineLevel="0" max="9" min="9" style="42" width="32"/>
    <col collapsed="false" customWidth="true" hidden="false" outlineLevel="0" max="11" min="10" style="42" width="41"/>
    <col collapsed="false" customWidth="true" hidden="false" outlineLevel="0" max="12" min="12" style="42" width="89"/>
    <col collapsed="false" customWidth="true" hidden="false" outlineLevel="0" max="13" min="13" style="118" width="3"/>
    <col collapsed="false" customWidth="true" hidden="false" outlineLevel="0" max="16" min="14" style="118" width="8"/>
    <col collapsed="false" customWidth="true" hidden="false" outlineLevel="0" max="17" min="17" style="118" width="25"/>
    <col collapsed="false" customWidth="true" hidden="false" outlineLevel="0" max="18" min="18" style="118" width="14"/>
    <col collapsed="false" customWidth="true" hidden="false" outlineLevel="0" max="22" min="19" style="119" width="8"/>
    <col collapsed="false" customWidth="true" hidden="false" outlineLevel="0" max="256" min="23" style="42" width="8"/>
    <col collapsed="false" customWidth="false" hidden="true" outlineLevel="0" max="257" min="257" style="42" width="9.14"/>
  </cols>
  <sheetData>
    <row r="1" customFormat="false" ht="22.5" hidden="true" customHeight="true" outlineLevel="0" collapsed="false">
      <c r="IW1" s="42" t="s">
        <v>14</v>
      </c>
    </row>
    <row r="2" s="53" customFormat="true" ht="22.5" hidden="true" customHeight="true" outlineLevel="0" collapsed="false">
      <c r="A2" s="109"/>
      <c r="B2" s="45" t="n">
        <v>1</v>
      </c>
      <c r="C2" s="45"/>
      <c r="D2" s="909" t="s">
        <v>103</v>
      </c>
      <c r="E2" s="146"/>
      <c r="F2" s="469" t="str">
        <f aca="false">IF(ROIV_INFO_NAME="","",ROIV_INFO_NAME)</f>
        <v>ООО "Газпром теплоэнерго Ярославль"</v>
      </c>
      <c r="G2" s="78"/>
      <c r="H2" s="1045"/>
      <c r="I2" s="1039"/>
      <c r="J2" s="668"/>
      <c r="K2" s="668"/>
      <c r="L2" s="124"/>
      <c r="M2" s="1035" t="e">
        <f aca="false">mergevalue(F2)</f>
        <v>#NAME?</v>
      </c>
      <c r="N2" s="47"/>
      <c r="O2" s="47"/>
      <c r="P2" s="118" t="str">
        <f aca="false" t="array" ref="P2:P2">IF(ISERROR(MATCH(MID(Q2,1,250),MID(note_ter,1,250),0)),"n","y")</f>
        <v>n</v>
      </c>
      <c r="Q2" s="47"/>
      <c r="R2" s="118" t="str">
        <f aca="false">G2&amp;"("&amp;L2&amp;")"</f>
        <v>()</v>
      </c>
      <c r="S2" s="45"/>
      <c r="T2" s="45"/>
      <c r="U2" s="155"/>
      <c r="V2" s="45"/>
      <c r="W2" s="45"/>
      <c r="X2" s="45"/>
      <c r="Y2" s="54"/>
      <c r="Z2" s="54"/>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54"/>
      <c r="BW2" s="54"/>
      <c r="BX2" s="54"/>
      <c r="BY2" s="54"/>
      <c r="BZ2" s="54"/>
      <c r="CA2" s="54"/>
      <c r="CB2" s="54"/>
      <c r="CC2" s="54"/>
      <c r="CD2" s="54"/>
      <c r="CE2" s="54"/>
      <c r="IW2" s="53" t="n">
        <v>0</v>
      </c>
    </row>
    <row r="3" s="47" customFormat="true" ht="5.25" hidden="true" customHeight="true" outlineLevel="0" collapsed="false">
      <c r="A3" s="120"/>
      <c r="D3" s="121"/>
      <c r="F3" s="122" t="s">
        <v>82</v>
      </c>
      <c r="G3" s="1046" t="s">
        <v>83</v>
      </c>
      <c r="H3" s="121"/>
      <c r="I3" s="121"/>
      <c r="J3" s="121"/>
      <c r="K3" s="121"/>
      <c r="L3" s="123" t="s">
        <v>84</v>
      </c>
      <c r="M3" s="122" t="s">
        <v>82</v>
      </c>
      <c r="N3" s="122"/>
      <c r="O3" s="122"/>
      <c r="P3" s="122"/>
      <c r="Q3" s="122"/>
      <c r="R3" s="122"/>
      <c r="S3" s="122"/>
      <c r="T3" s="122"/>
      <c r="U3" s="122"/>
      <c r="V3" s="122"/>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23"/>
      <c r="IW3" s="47" t="n">
        <v>0</v>
      </c>
    </row>
    <row r="4" s="129" customFormat="true" ht="14.25" hidden="false" customHeight="true" outlineLevel="0" collapsed="false">
      <c r="A4" s="42"/>
      <c r="B4" s="45"/>
      <c r="C4" s="42"/>
      <c r="D4" s="117"/>
      <c r="E4" s="42"/>
      <c r="F4" s="42"/>
      <c r="G4" s="42"/>
      <c r="H4" s="42"/>
      <c r="I4" s="42"/>
      <c r="J4" s="42"/>
      <c r="K4" s="42"/>
      <c r="L4" s="128"/>
      <c r="M4" s="122"/>
      <c r="N4" s="118"/>
      <c r="O4" s="118"/>
      <c r="P4" s="118"/>
      <c r="Q4" s="118"/>
      <c r="R4" s="118"/>
      <c r="S4" s="119"/>
      <c r="T4" s="119"/>
      <c r="U4" s="119"/>
      <c r="V4" s="119"/>
      <c r="IW4" s="129" t="n">
        <v>14</v>
      </c>
    </row>
    <row r="5" s="129" customFormat="true" ht="27" hidden="false" customHeight="true" outlineLevel="0" collapsed="false">
      <c r="A5" s="42"/>
      <c r="B5" s="45"/>
      <c r="C5" s="42"/>
      <c r="D5" s="117"/>
      <c r="E5" s="130" t="str">
        <f aca="false">"Форма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30"/>
      <c r="G5" s="130"/>
      <c r="H5" s="130"/>
      <c r="I5" s="130"/>
      <c r="J5" s="130"/>
      <c r="K5" s="130"/>
      <c r="L5" s="42"/>
      <c r="M5" s="122"/>
      <c r="N5" s="118"/>
      <c r="O5" s="118"/>
      <c r="P5" s="118"/>
      <c r="Q5" s="118"/>
      <c r="R5" s="118"/>
      <c r="S5" s="119"/>
      <c r="T5" s="119"/>
      <c r="U5" s="119"/>
      <c r="V5" s="119"/>
      <c r="IW5" s="129" t="n">
        <v>26</v>
      </c>
    </row>
    <row r="6" s="129" customFormat="true" ht="14.25" hidden="false" customHeight="true" outlineLevel="0" collapsed="false">
      <c r="A6" s="42"/>
      <c r="B6" s="45"/>
      <c r="C6" s="42"/>
      <c r="D6" s="117"/>
      <c r="E6" s="42"/>
      <c r="F6" s="131"/>
      <c r="G6" s="131"/>
      <c r="H6" s="131"/>
      <c r="I6" s="131"/>
      <c r="J6" s="131"/>
      <c r="K6" s="131"/>
      <c r="L6" s="109"/>
      <c r="M6" s="118"/>
      <c r="N6" s="118"/>
      <c r="O6" s="118"/>
      <c r="P6" s="118"/>
      <c r="Q6" s="118"/>
      <c r="R6" s="118"/>
      <c r="S6" s="119"/>
      <c r="T6" s="119"/>
      <c r="U6" s="119"/>
      <c r="V6" s="119"/>
      <c r="IW6" s="129" t="n">
        <v>14</v>
      </c>
    </row>
    <row r="7" s="129" customFormat="true" ht="14.25" hidden="false" customHeight="true" outlineLevel="0" collapsed="false">
      <c r="A7" s="42"/>
      <c r="B7" s="45"/>
      <c r="C7" s="42"/>
      <c r="D7" s="117"/>
      <c r="E7" s="265" t="s">
        <v>313</v>
      </c>
      <c r="F7" s="265"/>
      <c r="G7" s="265"/>
      <c r="H7" s="265"/>
      <c r="I7" s="265"/>
      <c r="J7" s="265"/>
      <c r="K7" s="265"/>
      <c r="L7" s="135" t="s">
        <v>314</v>
      </c>
      <c r="M7" s="118"/>
      <c r="N7" s="118"/>
      <c r="O7" s="118"/>
      <c r="P7" s="118"/>
      <c r="Q7" s="118"/>
      <c r="R7" s="118"/>
      <c r="S7" s="119"/>
      <c r="T7" s="119"/>
      <c r="U7" s="119"/>
      <c r="V7" s="119"/>
      <c r="IW7" s="129" t="n">
        <v>14</v>
      </c>
    </row>
    <row r="8" s="129" customFormat="true" ht="66.75" hidden="false" customHeight="true" outlineLevel="0" collapsed="false">
      <c r="A8" s="42"/>
      <c r="B8" s="45"/>
      <c r="C8" s="42"/>
      <c r="D8" s="117"/>
      <c r="E8" s="137" t="s">
        <v>87</v>
      </c>
      <c r="F8" s="137" t="s">
        <v>2013</v>
      </c>
      <c r="G8" s="137" t="s">
        <v>2014</v>
      </c>
      <c r="H8" s="137"/>
      <c r="I8" s="137"/>
      <c r="J8" s="137" t="s">
        <v>2015</v>
      </c>
      <c r="K8" s="137"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35"/>
      <c r="M8" s="118"/>
      <c r="N8" s="118"/>
      <c r="O8" s="118"/>
      <c r="P8" s="118"/>
      <c r="Q8" s="118"/>
      <c r="R8" s="118"/>
      <c r="S8" s="119"/>
      <c r="T8" s="119"/>
      <c r="U8" s="119"/>
      <c r="V8" s="119"/>
      <c r="IW8" s="129" t="n">
        <v>64</v>
      </c>
    </row>
    <row r="9" s="129" customFormat="true" ht="29.25" hidden="false" customHeight="true" outlineLevel="0" collapsed="false">
      <c r="A9" s="42"/>
      <c r="B9" s="45"/>
      <c r="C9" s="42"/>
      <c r="D9" s="117"/>
      <c r="E9" s="137"/>
      <c r="F9" s="137"/>
      <c r="G9" s="1047" t="s">
        <v>2009</v>
      </c>
      <c r="H9" s="1047" t="s">
        <v>2010</v>
      </c>
      <c r="I9" s="1047" t="s">
        <v>2011</v>
      </c>
      <c r="J9" s="137"/>
      <c r="K9" s="137"/>
      <c r="L9" s="135"/>
      <c r="M9" s="118"/>
      <c r="N9" s="118"/>
      <c r="O9" s="118"/>
      <c r="P9" s="118"/>
      <c r="Q9" s="118"/>
      <c r="R9" s="118"/>
      <c r="S9" s="119"/>
      <c r="T9" s="119"/>
      <c r="U9" s="119"/>
      <c r="V9" s="119"/>
      <c r="IW9" s="129" t="n">
        <v>28</v>
      </c>
    </row>
    <row r="10" s="53" customFormat="true" ht="0.75" hidden="false" customHeight="true" outlineLevel="0" collapsed="false">
      <c r="A10" s="43"/>
      <c r="B10" s="45" t="n">
        <v>1</v>
      </c>
      <c r="C10" s="45"/>
      <c r="D10" s="150"/>
      <c r="E10" s="152" t="n">
        <v>0</v>
      </c>
      <c r="F10" s="1051" t="str">
        <f aca="false">IF(ROIV_INFO_NAME="","",ROIV_INFO_NAME)</f>
        <v>ООО "Газпром теплоэнерго Ярославль"</v>
      </c>
      <c r="G10" s="85"/>
      <c r="H10" s="1052"/>
      <c r="I10" s="1052"/>
      <c r="J10" s="749"/>
      <c r="K10" s="749"/>
      <c r="L10" s="1050"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035" t="e">
        <f aca="false">mergevalue(F10)</f>
        <v>#NAME?</v>
      </c>
      <c r="N10" s="47"/>
      <c r="O10" s="47"/>
      <c r="P10" s="118" t="str">
        <f aca="false" t="array" ref="P10:P10">IF(ISERROR(MATCH(MID(Q10,1,250),MID(note_ter,1,250),0)),"n","y")</f>
        <v>n</v>
      </c>
      <c r="Q10" s="47"/>
      <c r="R10" s="118" t="str">
        <f aca="false">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45"/>
      <c r="T10" s="45"/>
      <c r="U10" s="155"/>
      <c r="V10" s="45"/>
      <c r="W10" s="45"/>
      <c r="X10" s="45"/>
      <c r="Y10" s="54"/>
      <c r="Z10" s="54"/>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54"/>
      <c r="BW10" s="54"/>
      <c r="BX10" s="54"/>
      <c r="BY10" s="54"/>
      <c r="BZ10" s="54"/>
      <c r="CA10" s="54"/>
      <c r="CB10" s="54"/>
      <c r="CC10" s="54"/>
      <c r="CD10" s="54"/>
      <c r="CE10" s="54"/>
      <c r="IW10" s="53" t="n">
        <v>1</v>
      </c>
    </row>
    <row r="11" s="53" customFormat="true" ht="15.75" hidden="false" customHeight="true" outlineLevel="0" collapsed="false">
      <c r="A11" s="43"/>
      <c r="B11" s="45"/>
      <c r="C11" s="157"/>
      <c r="D11" s="158"/>
      <c r="E11" s="159"/>
      <c r="F11" s="168" t="s">
        <v>2012</v>
      </c>
      <c r="G11" s="162"/>
      <c r="H11" s="162"/>
      <c r="I11" s="162"/>
      <c r="J11" s="162"/>
      <c r="K11" s="163"/>
      <c r="L11" s="1050"/>
      <c r="M11" s="1043"/>
      <c r="N11" s="47"/>
      <c r="O11" s="47"/>
      <c r="P11" s="47"/>
      <c r="Q11" s="118"/>
      <c r="R11" s="47"/>
      <c r="S11" s="45"/>
      <c r="T11" s="45"/>
      <c r="U11" s="155"/>
      <c r="V11" s="45"/>
      <c r="W11" s="45"/>
      <c r="X11" s="45"/>
      <c r="Y11" s="54"/>
      <c r="Z11" s="54"/>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54"/>
      <c r="BW11" s="54"/>
      <c r="BX11" s="54"/>
      <c r="BY11" s="54"/>
      <c r="BZ11" s="54"/>
      <c r="CA11" s="54"/>
      <c r="CB11" s="54"/>
      <c r="CC11" s="54"/>
      <c r="CD11" s="54"/>
      <c r="CE11" s="54"/>
      <c r="IW11" s="53" t="n">
        <v>15</v>
      </c>
    </row>
    <row r="12" s="129" customFormat="true" ht="21.75" hidden="false" customHeight="true" outlineLevel="0" collapsed="false">
      <c r="A12" s="42"/>
      <c r="B12" s="45"/>
      <c r="C12" s="42"/>
      <c r="D12" s="117"/>
      <c r="E12" s="170"/>
      <c r="F12" s="170"/>
      <c r="G12" s="170"/>
      <c r="H12" s="170"/>
      <c r="I12" s="170"/>
      <c r="J12" s="170"/>
      <c r="K12" s="170"/>
      <c r="L12" s="170"/>
      <c r="M12" s="118"/>
      <c r="N12" s="118"/>
      <c r="O12" s="118"/>
      <c r="P12" s="118"/>
      <c r="Q12" s="118"/>
      <c r="R12" s="118"/>
      <c r="S12" s="119"/>
      <c r="T12" s="119"/>
      <c r="U12" s="119"/>
      <c r="V12" s="119"/>
      <c r="IW12" s="129" t="n">
        <v>21</v>
      </c>
    </row>
    <row r="13" s="129" customFormat="true" ht="14.25" hidden="false" customHeight="true" outlineLevel="0" collapsed="false">
      <c r="A13" s="42"/>
      <c r="B13" s="45"/>
      <c r="C13" s="42"/>
      <c r="D13" s="117"/>
      <c r="E13" s="42"/>
      <c r="F13" s="42"/>
      <c r="G13" s="42"/>
      <c r="H13" s="42"/>
      <c r="I13" s="42"/>
      <c r="J13" s="42"/>
      <c r="K13" s="42"/>
      <c r="L13" s="42"/>
      <c r="M13" s="118"/>
      <c r="N13" s="118"/>
      <c r="O13" s="118"/>
      <c r="P13" s="118"/>
      <c r="Q13" s="118"/>
      <c r="R13" s="118"/>
      <c r="S13" s="119"/>
      <c r="T13" s="119"/>
      <c r="U13" s="119"/>
      <c r="V13" s="119"/>
      <c r="IW13" s="129" t="n">
        <v>14</v>
      </c>
    </row>
    <row r="14" s="129" customFormat="true" ht="0.75" hidden="false" customHeight="true" outlineLevel="0" collapsed="false">
      <c r="A14" s="42"/>
      <c r="B14" s="45"/>
      <c r="C14" s="42"/>
      <c r="D14" s="117"/>
      <c r="E14" s="42"/>
      <c r="F14" s="42"/>
      <c r="G14" s="42"/>
      <c r="H14" s="42"/>
      <c r="I14" s="42"/>
      <c r="J14" s="42"/>
      <c r="K14" s="42"/>
      <c r="L14" s="42"/>
      <c r="M14" s="118"/>
      <c r="N14" s="118"/>
      <c r="O14" s="118"/>
      <c r="P14" s="118"/>
      <c r="Q14" s="118"/>
      <c r="R14" s="118"/>
      <c r="S14" s="119"/>
      <c r="T14" s="119"/>
      <c r="U14" s="119"/>
      <c r="V14" s="119"/>
      <c r="IW14" s="129" t="n">
        <v>1</v>
      </c>
    </row>
    <row r="15" customFormat="false" ht="22.5" hidden="true" customHeight="true" outlineLevel="0" collapsed="false">
      <c r="A15" s="42" t="s">
        <v>81</v>
      </c>
      <c r="B15" s="45" t="n">
        <v>0</v>
      </c>
      <c r="C15" s="42" t="n">
        <v>0</v>
      </c>
      <c r="D15" s="117" t="n">
        <v>3</v>
      </c>
      <c r="E15" s="42" t="n">
        <v>6</v>
      </c>
      <c r="F15" s="42" t="n">
        <v>27</v>
      </c>
      <c r="G15" s="42" t="n">
        <v>16</v>
      </c>
      <c r="H15" s="42" t="n">
        <v>12</v>
      </c>
      <c r="I15" s="42" t="n">
        <v>32</v>
      </c>
      <c r="J15" s="42" t="n">
        <v>41</v>
      </c>
      <c r="K15" s="42" t="n">
        <v>41</v>
      </c>
      <c r="L15" s="42" t="n">
        <v>89</v>
      </c>
      <c r="M15" s="118" t="n">
        <v>3</v>
      </c>
      <c r="N15" s="118" t="n">
        <v>8</v>
      </c>
      <c r="O15" s="118" t="n">
        <v>8</v>
      </c>
      <c r="P15" s="118" t="n">
        <v>8</v>
      </c>
      <c r="Q15" s="118" t="n">
        <v>25</v>
      </c>
      <c r="R15" s="118" t="n">
        <v>14</v>
      </c>
      <c r="S15" s="119" t="n">
        <v>8</v>
      </c>
      <c r="T15" s="119" t="n">
        <v>8</v>
      </c>
      <c r="U15" s="119" t="n">
        <v>8</v>
      </c>
      <c r="V15" s="119" t="n">
        <v>8</v>
      </c>
      <c r="W15" s="42" t="n">
        <v>8</v>
      </c>
      <c r="X15" s="42" t="n">
        <v>8</v>
      </c>
      <c r="Y15" s="42" t="n">
        <v>8</v>
      </c>
      <c r="Z15" s="42" t="n">
        <v>8</v>
      </c>
      <c r="AA15" s="42" t="n">
        <v>8</v>
      </c>
      <c r="AB15" s="42" t="n">
        <v>8</v>
      </c>
      <c r="AC15" s="42" t="n">
        <v>8</v>
      </c>
      <c r="AD15" s="42" t="n">
        <v>8</v>
      </c>
      <c r="AE15" s="42" t="n">
        <v>8</v>
      </c>
      <c r="AF15" s="42" t="n">
        <v>8</v>
      </c>
      <c r="AG15" s="42" t="n">
        <v>8</v>
      </c>
      <c r="AH15" s="42" t="n">
        <v>8</v>
      </c>
      <c r="AI15" s="42" t="n">
        <v>8</v>
      </c>
      <c r="AJ15" s="42" t="n">
        <v>8</v>
      </c>
      <c r="AK15" s="42" t="n">
        <v>8</v>
      </c>
      <c r="AL15" s="42" t="n">
        <v>8</v>
      </c>
      <c r="AM15" s="42" t="n">
        <v>8</v>
      </c>
      <c r="AN15" s="42" t="n">
        <v>8</v>
      </c>
      <c r="AO15" s="42" t="n">
        <v>8</v>
      </c>
      <c r="AP15" s="42" t="n">
        <v>8</v>
      </c>
      <c r="AQ15" s="42" t="n">
        <v>8</v>
      </c>
      <c r="AR15" s="42" t="n">
        <v>8</v>
      </c>
      <c r="AS15" s="42" t="n">
        <v>8</v>
      </c>
      <c r="AT15" s="42" t="n">
        <v>8</v>
      </c>
      <c r="AU15" s="42" t="n">
        <v>8</v>
      </c>
      <c r="AV15" s="42" t="n">
        <v>8</v>
      </c>
      <c r="AW15" s="42" t="n">
        <v>8</v>
      </c>
      <c r="AX15" s="42" t="n">
        <v>8</v>
      </c>
      <c r="AY15" s="42" t="n">
        <v>8</v>
      </c>
      <c r="AZ15" s="42" t="n">
        <v>8</v>
      </c>
      <c r="BA15" s="42" t="n">
        <v>8</v>
      </c>
      <c r="BB15" s="42" t="n">
        <v>8</v>
      </c>
      <c r="BC15" s="42" t="n">
        <v>8</v>
      </c>
      <c r="BD15" s="42" t="n">
        <v>8</v>
      </c>
      <c r="BE15" s="42" t="n">
        <v>8</v>
      </c>
      <c r="BF15" s="42" t="n">
        <v>8</v>
      </c>
      <c r="BG15" s="42" t="n">
        <v>8</v>
      </c>
      <c r="BH15" s="42" t="n">
        <v>8</v>
      </c>
      <c r="BI15" s="42" t="n">
        <v>8</v>
      </c>
      <c r="BJ15" s="42" t="n">
        <v>8</v>
      </c>
      <c r="BK15" s="42" t="n">
        <v>8</v>
      </c>
      <c r="BL15" s="42" t="n">
        <v>8</v>
      </c>
      <c r="BM15" s="42" t="n">
        <v>8</v>
      </c>
      <c r="BN15" s="42" t="n">
        <v>8</v>
      </c>
      <c r="BO15" s="42" t="n">
        <v>8</v>
      </c>
      <c r="BP15" s="42" t="n">
        <v>8</v>
      </c>
      <c r="BQ15" s="42" t="n">
        <v>8</v>
      </c>
      <c r="BR15" s="42" t="n">
        <v>8</v>
      </c>
      <c r="BS15" s="42" t="n">
        <v>8</v>
      </c>
      <c r="BT15" s="42" t="n">
        <v>8</v>
      </c>
      <c r="BU15" s="42" t="n">
        <v>8</v>
      </c>
      <c r="BV15" s="42" t="n">
        <v>8</v>
      </c>
      <c r="BW15" s="42" t="n">
        <v>8</v>
      </c>
      <c r="BX15" s="42" t="n">
        <v>8</v>
      </c>
      <c r="BY15" s="42" t="n">
        <v>8</v>
      </c>
      <c r="BZ15" s="42" t="n">
        <v>8</v>
      </c>
      <c r="CA15" s="42" t="n">
        <v>8</v>
      </c>
      <c r="CB15" s="42" t="n">
        <v>8</v>
      </c>
      <c r="CC15" s="42" t="n">
        <v>8</v>
      </c>
      <c r="CD15" s="42" t="n">
        <v>8</v>
      </c>
      <c r="CE15" s="42" t="n">
        <v>8</v>
      </c>
      <c r="CF15" s="42" t="n">
        <v>8</v>
      </c>
      <c r="CG15" s="42" t="n">
        <v>8</v>
      </c>
      <c r="CH15" s="42" t="n">
        <v>8</v>
      </c>
      <c r="CI15" s="42" t="n">
        <v>8</v>
      </c>
      <c r="CJ15" s="42" t="n">
        <v>8</v>
      </c>
      <c r="CK15" s="42" t="n">
        <v>8</v>
      </c>
      <c r="CL15" s="42" t="n">
        <v>8</v>
      </c>
      <c r="CM15" s="42" t="n">
        <v>8</v>
      </c>
      <c r="CN15" s="42" t="n">
        <v>8</v>
      </c>
      <c r="CO15" s="42" t="n">
        <v>8</v>
      </c>
      <c r="CP15" s="42" t="n">
        <v>8</v>
      </c>
      <c r="CQ15" s="42" t="n">
        <v>8</v>
      </c>
      <c r="CR15" s="42" t="n">
        <v>8</v>
      </c>
      <c r="CS15" s="42" t="n">
        <v>8</v>
      </c>
      <c r="CT15" s="42" t="n">
        <v>8</v>
      </c>
      <c r="CU15" s="42" t="n">
        <v>8</v>
      </c>
      <c r="CV15" s="42" t="n">
        <v>8</v>
      </c>
      <c r="CW15" s="42" t="n">
        <v>8</v>
      </c>
      <c r="CX15" s="42" t="n">
        <v>8</v>
      </c>
      <c r="CY15" s="42" t="n">
        <v>8</v>
      </c>
      <c r="CZ15" s="42" t="n">
        <v>8</v>
      </c>
      <c r="DA15" s="42" t="n">
        <v>8</v>
      </c>
      <c r="DB15" s="42" t="n">
        <v>8</v>
      </c>
      <c r="DC15" s="42" t="n">
        <v>8</v>
      </c>
      <c r="DD15" s="42" t="n">
        <v>8</v>
      </c>
      <c r="DE15" s="42" t="n">
        <v>8</v>
      </c>
      <c r="DF15" s="42" t="n">
        <v>8</v>
      </c>
      <c r="DG15" s="42" t="n">
        <v>8</v>
      </c>
      <c r="DH15" s="42" t="n">
        <v>8</v>
      </c>
      <c r="DI15" s="42" t="n">
        <v>8</v>
      </c>
      <c r="DJ15" s="42" t="n">
        <v>8</v>
      </c>
      <c r="DK15" s="42" t="n">
        <v>8</v>
      </c>
      <c r="DL15" s="42" t="n">
        <v>8</v>
      </c>
      <c r="DM15" s="42" t="n">
        <v>8</v>
      </c>
      <c r="DN15" s="42" t="n">
        <v>8</v>
      </c>
      <c r="DO15" s="42" t="n">
        <v>8</v>
      </c>
      <c r="DP15" s="42" t="n">
        <v>8</v>
      </c>
      <c r="DQ15" s="42" t="n">
        <v>8</v>
      </c>
      <c r="DR15" s="42" t="n">
        <v>8</v>
      </c>
      <c r="DS15" s="42" t="n">
        <v>8</v>
      </c>
      <c r="DT15" s="42" t="n">
        <v>8</v>
      </c>
      <c r="DU15" s="42" t="n">
        <v>8</v>
      </c>
      <c r="DV15" s="42" t="n">
        <v>8</v>
      </c>
      <c r="DW15" s="42" t="n">
        <v>8</v>
      </c>
      <c r="DX15" s="42" t="n">
        <v>8</v>
      </c>
      <c r="DY15" s="42" t="n">
        <v>8</v>
      </c>
      <c r="DZ15" s="42" t="n">
        <v>8</v>
      </c>
      <c r="EA15" s="42" t="n">
        <v>8</v>
      </c>
      <c r="EB15" s="42" t="n">
        <v>8</v>
      </c>
      <c r="EC15" s="42" t="n">
        <v>8</v>
      </c>
      <c r="ED15" s="42" t="n">
        <v>8</v>
      </c>
      <c r="EE15" s="42" t="n">
        <v>8</v>
      </c>
      <c r="EF15" s="42" t="n">
        <v>8</v>
      </c>
      <c r="EG15" s="42" t="n">
        <v>8</v>
      </c>
      <c r="EH15" s="42" t="n">
        <v>8</v>
      </c>
      <c r="EI15" s="42" t="n">
        <v>8</v>
      </c>
      <c r="EJ15" s="42" t="n">
        <v>8</v>
      </c>
      <c r="EK15" s="42" t="n">
        <v>8</v>
      </c>
      <c r="EL15" s="42" t="n">
        <v>8</v>
      </c>
      <c r="EM15" s="42" t="n">
        <v>8</v>
      </c>
      <c r="EN15" s="42" t="n">
        <v>8</v>
      </c>
      <c r="EO15" s="42" t="n">
        <v>8</v>
      </c>
      <c r="EP15" s="42" t="n">
        <v>8</v>
      </c>
      <c r="EQ15" s="42" t="n">
        <v>8</v>
      </c>
      <c r="ER15" s="42" t="n">
        <v>8</v>
      </c>
      <c r="ES15" s="42" t="n">
        <v>8</v>
      </c>
      <c r="ET15" s="42" t="n">
        <v>8</v>
      </c>
      <c r="EU15" s="42" t="n">
        <v>8</v>
      </c>
      <c r="EV15" s="42" t="n">
        <v>8</v>
      </c>
      <c r="EW15" s="42" t="n">
        <v>8</v>
      </c>
      <c r="EX15" s="42" t="n">
        <v>8</v>
      </c>
      <c r="EY15" s="42" t="n">
        <v>8</v>
      </c>
      <c r="EZ15" s="42" t="n">
        <v>8</v>
      </c>
      <c r="FA15" s="42" t="n">
        <v>8</v>
      </c>
      <c r="FB15" s="42" t="n">
        <v>8</v>
      </c>
      <c r="FC15" s="42" t="n">
        <v>8</v>
      </c>
      <c r="FD15" s="42" t="n">
        <v>8</v>
      </c>
      <c r="FE15" s="42" t="n">
        <v>8</v>
      </c>
      <c r="FF15" s="42" t="n">
        <v>8</v>
      </c>
      <c r="FG15" s="42" t="n">
        <v>8</v>
      </c>
      <c r="FH15" s="42" t="n">
        <v>8</v>
      </c>
      <c r="FI15" s="42" t="n">
        <v>8</v>
      </c>
      <c r="FJ15" s="42" t="n">
        <v>8</v>
      </c>
      <c r="FK15" s="42" t="n">
        <v>8</v>
      </c>
      <c r="FL15" s="42" t="n">
        <v>8</v>
      </c>
      <c r="FM15" s="42" t="n">
        <v>8</v>
      </c>
      <c r="FN15" s="42" t="n">
        <v>8</v>
      </c>
      <c r="FO15" s="42" t="n">
        <v>8</v>
      </c>
      <c r="FP15" s="42" t="n">
        <v>8</v>
      </c>
      <c r="FQ15" s="42" t="n">
        <v>8</v>
      </c>
      <c r="FR15" s="42" t="n">
        <v>8</v>
      </c>
      <c r="FS15" s="42" t="n">
        <v>8</v>
      </c>
      <c r="FT15" s="42" t="n">
        <v>8</v>
      </c>
      <c r="FU15" s="42" t="n">
        <v>8</v>
      </c>
      <c r="FV15" s="42" t="n">
        <v>8</v>
      </c>
      <c r="FW15" s="42" t="n">
        <v>8</v>
      </c>
      <c r="FX15" s="42" t="n">
        <v>8</v>
      </c>
      <c r="FY15" s="42" t="n">
        <v>8</v>
      </c>
      <c r="FZ15" s="42" t="n">
        <v>8</v>
      </c>
      <c r="GA15" s="42" t="n">
        <v>8</v>
      </c>
      <c r="GB15" s="42" t="n">
        <v>8</v>
      </c>
      <c r="GC15" s="42" t="n">
        <v>8</v>
      </c>
      <c r="GD15" s="42" t="n">
        <v>8</v>
      </c>
      <c r="GE15" s="42" t="n">
        <v>8</v>
      </c>
      <c r="GF15" s="42" t="n">
        <v>8</v>
      </c>
      <c r="GG15" s="42" t="n">
        <v>8</v>
      </c>
      <c r="GH15" s="42" t="n">
        <v>8</v>
      </c>
      <c r="GI15" s="42" t="n">
        <v>8</v>
      </c>
      <c r="GJ15" s="42" t="n">
        <v>8</v>
      </c>
      <c r="GK15" s="42" t="n">
        <v>8</v>
      </c>
      <c r="GL15" s="42" t="n">
        <v>8</v>
      </c>
      <c r="GM15" s="42" t="n">
        <v>8</v>
      </c>
      <c r="GN15" s="42" t="n">
        <v>8</v>
      </c>
      <c r="GO15" s="42" t="n">
        <v>8</v>
      </c>
      <c r="GP15" s="42" t="n">
        <v>8</v>
      </c>
      <c r="GQ15" s="42" t="n">
        <v>8</v>
      </c>
      <c r="GR15" s="42" t="n">
        <v>8</v>
      </c>
      <c r="GS15" s="42" t="n">
        <v>8</v>
      </c>
      <c r="GT15" s="42" t="n">
        <v>8</v>
      </c>
      <c r="GU15" s="42" t="n">
        <v>8</v>
      </c>
      <c r="GV15" s="42" t="n">
        <v>8</v>
      </c>
      <c r="GW15" s="42" t="n">
        <v>8</v>
      </c>
      <c r="GX15" s="42" t="n">
        <v>8</v>
      </c>
      <c r="GY15" s="42" t="n">
        <v>8</v>
      </c>
      <c r="GZ15" s="42" t="n">
        <v>8</v>
      </c>
      <c r="HA15" s="42" t="n">
        <v>8</v>
      </c>
      <c r="HB15" s="42" t="n">
        <v>8</v>
      </c>
      <c r="HC15" s="42" t="n">
        <v>8</v>
      </c>
      <c r="HD15" s="42" t="n">
        <v>8</v>
      </c>
      <c r="HE15" s="42" t="n">
        <v>8</v>
      </c>
      <c r="HF15" s="42" t="n">
        <v>8</v>
      </c>
      <c r="HG15" s="42" t="n">
        <v>8</v>
      </c>
      <c r="HH15" s="42" t="n">
        <v>8</v>
      </c>
      <c r="HI15" s="42" t="n">
        <v>8</v>
      </c>
      <c r="HJ15" s="42" t="n">
        <v>8</v>
      </c>
      <c r="HK15" s="42" t="n">
        <v>8</v>
      </c>
      <c r="HL15" s="42" t="n">
        <v>8</v>
      </c>
      <c r="HM15" s="42" t="n">
        <v>8</v>
      </c>
      <c r="HN15" s="42" t="n">
        <v>8</v>
      </c>
      <c r="HO15" s="42" t="n">
        <v>8</v>
      </c>
      <c r="HP15" s="42" t="n">
        <v>8</v>
      </c>
      <c r="HQ15" s="42" t="n">
        <v>8</v>
      </c>
      <c r="HR15" s="42" t="n">
        <v>8</v>
      </c>
      <c r="HS15" s="42" t="n">
        <v>8</v>
      </c>
      <c r="HT15" s="42" t="n">
        <v>8</v>
      </c>
      <c r="HU15" s="42" t="n">
        <v>8</v>
      </c>
      <c r="HV15" s="42" t="n">
        <v>8</v>
      </c>
      <c r="HW15" s="42" t="n">
        <v>8</v>
      </c>
      <c r="HX15" s="42" t="n">
        <v>8</v>
      </c>
      <c r="HY15" s="42" t="n">
        <v>8</v>
      </c>
      <c r="HZ15" s="42" t="n">
        <v>8</v>
      </c>
      <c r="IA15" s="42" t="n">
        <v>8</v>
      </c>
      <c r="IB15" s="42" t="n">
        <v>8</v>
      </c>
      <c r="IC15" s="42" t="n">
        <v>8</v>
      </c>
      <c r="ID15" s="42" t="n">
        <v>8</v>
      </c>
      <c r="IE15" s="42" t="n">
        <v>8</v>
      </c>
      <c r="IF15" s="42" t="n">
        <v>8</v>
      </c>
      <c r="IG15" s="42" t="n">
        <v>8</v>
      </c>
      <c r="IH15" s="42" t="n">
        <v>8</v>
      </c>
      <c r="II15" s="42" t="n">
        <v>8</v>
      </c>
      <c r="IJ15" s="42" t="n">
        <v>8</v>
      </c>
      <c r="IK15" s="42" t="n">
        <v>8</v>
      </c>
      <c r="IL15" s="42" t="n">
        <v>8</v>
      </c>
      <c r="IM15" s="42" t="n">
        <v>8</v>
      </c>
      <c r="IN15" s="42" t="n">
        <v>8</v>
      </c>
      <c r="IO15" s="42" t="n">
        <v>8</v>
      </c>
      <c r="IP15" s="42" t="n">
        <v>8</v>
      </c>
      <c r="IQ15" s="42" t="n">
        <v>8</v>
      </c>
      <c r="IR15" s="42" t="n">
        <v>8</v>
      </c>
      <c r="IS15" s="42" t="n">
        <v>8</v>
      </c>
      <c r="IT15" s="42" t="n">
        <v>8</v>
      </c>
      <c r="IU15" s="42" t="n">
        <v>8</v>
      </c>
      <c r="IV15" s="42" t="n">
        <v>8</v>
      </c>
      <c r="IW15" s="42" t="n">
        <v>23</v>
      </c>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J2:K3"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lessThanOrEqual" showDropDown="false" showErrorMessage="true" showInputMessage="true" sqref="I2" type="textLength">
      <formula1>990</formula1>
      <formula2>0</formula2>
    </dataValidation>
    <dataValidation allowBlank="true" errorStyle="stop" operator="between" prompt="Укажите время в формате ЧЧ:ММ" showDropDown="false" showErrorMessage="true" showInputMessage="true" sqref="H2" type="time">
      <formula1>0</formula1>
      <formula2>0.999305555555556</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4.25" zeroHeight="false" outlineLevelRow="0" outlineLevelCol="0"/>
  <cols>
    <col collapsed="false" customWidth="false" hidden="true" outlineLevel="0" max="1" min="1" style="42" width="9.14"/>
    <col collapsed="false" customWidth="false" hidden="true" outlineLevel="0" max="2" min="2" style="45" width="9.14"/>
    <col collapsed="false" customWidth="true" hidden="true" outlineLevel="0" max="3" min="3" style="42" width="3.71"/>
    <col collapsed="false" customWidth="true" hidden="false" outlineLevel="0" max="4" min="4" style="117" width="3"/>
    <col collapsed="false" customWidth="true" hidden="false" outlineLevel="0" max="5" min="5" style="42" width="6"/>
    <col collapsed="false" customWidth="true" hidden="false" outlineLevel="0" max="6" min="6" style="42" width="27"/>
    <col collapsed="false" customWidth="true" hidden="false" outlineLevel="0" max="7" min="7" style="42" width="29"/>
    <col collapsed="false" customWidth="true" hidden="false" outlineLevel="0" max="8" min="8" style="42" width="25"/>
    <col collapsed="false" customWidth="true" hidden="false" outlineLevel="0" max="9" min="9" style="42" width="5"/>
    <col collapsed="false" customWidth="true" hidden="false" outlineLevel="0" max="10" min="10" style="42" width="6"/>
    <col collapsed="false" customWidth="true" hidden="false" outlineLevel="0" max="11" min="11" style="42" width="41"/>
    <col collapsed="false" customWidth="true" hidden="false" outlineLevel="0" max="12" min="12" style="42" width="42"/>
    <col collapsed="false" customWidth="true" hidden="false" outlineLevel="0" max="13" min="13" style="42" width="41"/>
    <col collapsed="false" customWidth="true" hidden="false" outlineLevel="0" max="14" min="14" style="42" width="89"/>
    <col collapsed="false" customWidth="true" hidden="false" outlineLevel="0" max="15" min="15" style="118" width="3"/>
    <col collapsed="false" customWidth="true" hidden="false" outlineLevel="0" max="16" min="16" style="118" width="8"/>
    <col collapsed="false" customWidth="false" hidden="true" outlineLevel="0" max="17" min="17" style="42" width="9.14"/>
  </cols>
  <sheetData>
    <row r="1" customFormat="false" ht="22.5" hidden="true" customHeight="true" outlineLevel="0" collapsed="false">
      <c r="Q1" s="42" t="s">
        <v>14</v>
      </c>
    </row>
    <row r="2" s="53" customFormat="true" ht="22.5" hidden="true" customHeight="true" outlineLevel="0" collapsed="false">
      <c r="A2" s="120"/>
      <c r="B2" s="45" t="n">
        <v>1</v>
      </c>
      <c r="C2" s="45"/>
      <c r="D2" s="909" t="s">
        <v>103</v>
      </c>
      <c r="E2" s="134" t="n">
        <v>1</v>
      </c>
      <c r="F2" s="420" t="str">
        <f aca="false">IF(region_name="","",region_name)</f>
        <v>Ярославская область</v>
      </c>
      <c r="G2" s="1038"/>
      <c r="H2" s="337"/>
      <c r="I2" s="305"/>
      <c r="J2" s="265" t="n">
        <v>1</v>
      </c>
      <c r="K2" s="333"/>
      <c r="L2" s="333"/>
      <c r="M2" s="333"/>
      <c r="N2" s="316"/>
      <c r="O2" s="1035"/>
      <c r="P2" s="47"/>
      <c r="Q2" s="53" t="n">
        <v>0</v>
      </c>
    </row>
    <row r="3" s="53" customFormat="true" ht="22.5" hidden="true" customHeight="true" outlineLevel="0" collapsed="false">
      <c r="A3" s="109"/>
      <c r="B3" s="45"/>
      <c r="C3" s="45"/>
      <c r="D3" s="158"/>
      <c r="E3" s="134"/>
      <c r="F3" s="420"/>
      <c r="G3" s="1038"/>
      <c r="H3" s="337"/>
      <c r="I3" s="159"/>
      <c r="J3" s="596"/>
      <c r="K3" s="596" t="s">
        <v>2016</v>
      </c>
      <c r="L3" s="1053"/>
      <c r="M3" s="1054"/>
      <c r="N3" s="1055"/>
      <c r="O3" s="1035"/>
      <c r="P3" s="47"/>
      <c r="Q3" s="53" t="n">
        <v>0</v>
      </c>
    </row>
    <row r="4" s="47" customFormat="true" ht="5.25" hidden="true" customHeight="true" outlineLevel="0" collapsed="false">
      <c r="A4" s="120"/>
      <c r="D4" s="121"/>
      <c r="F4" s="122" t="s">
        <v>82</v>
      </c>
      <c r="G4" s="121" t="s">
        <v>83</v>
      </c>
      <c r="H4" s="121"/>
      <c r="I4" s="121"/>
      <c r="J4" s="1056"/>
      <c r="K4" s="121"/>
      <c r="L4" s="121"/>
      <c r="M4" s="121"/>
      <c r="N4" s="121"/>
      <c r="O4" s="122" t="s">
        <v>82</v>
      </c>
      <c r="P4" s="122"/>
      <c r="Q4" s="47" t="n">
        <v>0</v>
      </c>
    </row>
    <row r="5" s="53" customFormat="true" ht="22.5" hidden="true" customHeight="true" outlineLevel="0" collapsed="false">
      <c r="A5" s="120"/>
      <c r="B5" s="45" t="n">
        <v>1</v>
      </c>
      <c r="C5" s="45"/>
      <c r="D5" s="158"/>
      <c r="E5" s="1055"/>
      <c r="F5" s="1055"/>
      <c r="G5" s="1055"/>
      <c r="H5" s="1057"/>
      <c r="I5" s="1058" t="s">
        <v>103</v>
      </c>
      <c r="J5" s="716" t="n">
        <v>1</v>
      </c>
      <c r="K5" s="333"/>
      <c r="L5" s="333"/>
      <c r="M5" s="333"/>
      <c r="N5" s="316"/>
      <c r="O5" s="1035"/>
      <c r="P5" s="47"/>
      <c r="Q5" s="53" t="n">
        <v>0</v>
      </c>
    </row>
    <row r="6" s="129" customFormat="true" ht="14.25" hidden="false" customHeight="true" outlineLevel="0" collapsed="false">
      <c r="A6" s="42"/>
      <c r="B6" s="45"/>
      <c r="C6" s="42"/>
      <c r="D6" s="117"/>
      <c r="E6" s="42"/>
      <c r="F6" s="42"/>
      <c r="G6" s="42"/>
      <c r="H6" s="42"/>
      <c r="I6" s="42"/>
      <c r="J6" s="42"/>
      <c r="K6" s="42"/>
      <c r="L6" s="42"/>
      <c r="M6" s="42"/>
      <c r="N6" s="42"/>
      <c r="O6" s="122"/>
      <c r="P6" s="118"/>
      <c r="Q6" s="129" t="n">
        <v>14</v>
      </c>
    </row>
    <row r="7" s="129" customFormat="true" ht="27" hidden="false" customHeight="true" outlineLevel="0" collapsed="false">
      <c r="A7" s="42"/>
      <c r="B7" s="45"/>
      <c r="C7" s="42"/>
      <c r="D7" s="117"/>
      <c r="E7" s="1059" t="str">
        <f aca="false">"Форма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059"/>
      <c r="G7" s="1059"/>
      <c r="H7" s="1059"/>
      <c r="I7" s="1059"/>
      <c r="J7" s="1059"/>
      <c r="K7" s="1059"/>
      <c r="L7" s="1059"/>
      <c r="M7" s="1059"/>
      <c r="N7" s="109"/>
      <c r="O7" s="122"/>
      <c r="P7" s="118"/>
      <c r="Q7" s="129" t="n">
        <v>26</v>
      </c>
    </row>
    <row r="8" s="129" customFormat="true" ht="14.25" hidden="false" customHeight="true" outlineLevel="0" collapsed="false">
      <c r="A8" s="42"/>
      <c r="B8" s="45"/>
      <c r="C8" s="42"/>
      <c r="D8" s="117"/>
      <c r="E8" s="42"/>
      <c r="F8" s="131"/>
      <c r="G8" s="131"/>
      <c r="H8" s="131"/>
      <c r="I8" s="131"/>
      <c r="J8" s="131"/>
      <c r="K8" s="131"/>
      <c r="L8" s="131"/>
      <c r="M8" s="131"/>
      <c r="N8" s="131"/>
      <c r="O8" s="118"/>
      <c r="P8" s="118"/>
      <c r="Q8" s="129" t="n">
        <v>14</v>
      </c>
    </row>
    <row r="9" s="1062" customFormat="true" ht="14.25" hidden="true" customHeight="true" outlineLevel="0" collapsed="false">
      <c r="A9" s="43"/>
      <c r="B9" s="44"/>
      <c r="C9" s="43"/>
      <c r="D9" s="117"/>
      <c r="E9" s="1060"/>
      <c r="F9" s="1060"/>
      <c r="G9" s="1060"/>
      <c r="H9" s="1060"/>
      <c r="I9" s="1060"/>
      <c r="J9" s="1060"/>
      <c r="K9" s="1060"/>
      <c r="L9" s="1060"/>
      <c r="M9" s="1061"/>
      <c r="O9" s="192"/>
      <c r="P9" s="192"/>
      <c r="Q9" s="1062" t="n">
        <v>0</v>
      </c>
    </row>
    <row r="10" s="129" customFormat="true" ht="14.25" hidden="false" customHeight="true" outlineLevel="0" collapsed="false">
      <c r="A10" s="42"/>
      <c r="B10" s="45"/>
      <c r="C10" s="42"/>
      <c r="D10" s="117"/>
      <c r="E10" s="265" t="s">
        <v>313</v>
      </c>
      <c r="F10" s="265"/>
      <c r="G10" s="265"/>
      <c r="H10" s="265"/>
      <c r="I10" s="265"/>
      <c r="J10" s="265"/>
      <c r="K10" s="265"/>
      <c r="L10" s="265"/>
      <c r="M10" s="265"/>
      <c r="N10" s="137" t="s">
        <v>314</v>
      </c>
      <c r="O10" s="118"/>
      <c r="P10" s="118"/>
      <c r="Q10" s="129" t="n">
        <v>14</v>
      </c>
    </row>
    <row r="11" s="129" customFormat="true" ht="44.25" hidden="false" customHeight="true" outlineLevel="0" collapsed="false">
      <c r="A11" s="42"/>
      <c r="B11" s="45"/>
      <c r="C11" s="42"/>
      <c r="D11" s="117"/>
      <c r="E11" s="1037" t="s">
        <v>87</v>
      </c>
      <c r="F11" s="137" t="s">
        <v>317</v>
      </c>
      <c r="G11" s="137" t="s">
        <v>2017</v>
      </c>
      <c r="H11" s="137"/>
      <c r="I11" s="137" t="s">
        <v>2018</v>
      </c>
      <c r="J11" s="137"/>
      <c r="K11" s="137"/>
      <c r="L11" s="137" t="s">
        <v>2019</v>
      </c>
      <c r="M11" s="136" t="s">
        <v>2020</v>
      </c>
      <c r="N11" s="137"/>
      <c r="O11" s="118"/>
      <c r="P11" s="118"/>
      <c r="Q11" s="129" t="n">
        <v>42</v>
      </c>
    </row>
    <row r="12" s="129" customFormat="true" ht="29.25" hidden="false" customHeight="true" outlineLevel="0" collapsed="false">
      <c r="A12" s="42"/>
      <c r="B12" s="45"/>
      <c r="C12" s="42"/>
      <c r="D12" s="117"/>
      <c r="E12" s="1037"/>
      <c r="F12" s="137"/>
      <c r="G12" s="137" t="s">
        <v>2021</v>
      </c>
      <c r="H12" s="137" t="s">
        <v>321</v>
      </c>
      <c r="I12" s="137"/>
      <c r="J12" s="137"/>
      <c r="K12" s="137"/>
      <c r="L12" s="137"/>
      <c r="M12" s="136"/>
      <c r="N12" s="137"/>
      <c r="O12" s="118"/>
      <c r="P12" s="118"/>
      <c r="Q12" s="129" t="n">
        <v>28</v>
      </c>
    </row>
    <row r="13" s="53" customFormat="true" ht="23.25" hidden="false" customHeight="true" outlineLevel="0" collapsed="false">
      <c r="A13" s="43" t="n">
        <v>26379339</v>
      </c>
      <c r="B13" s="45" t="n">
        <v>1</v>
      </c>
      <c r="C13" s="45"/>
      <c r="D13" s="158"/>
      <c r="E13" s="134" t="n">
        <v>1</v>
      </c>
      <c r="F13" s="1063" t="str">
        <f aca="false">IF(region_name="","",region_name)</f>
        <v>Ярославская область</v>
      </c>
      <c r="G13" s="401"/>
      <c r="H13" s="1064"/>
      <c r="I13" s="305"/>
      <c r="J13" s="151" t="n">
        <v>1</v>
      </c>
      <c r="K13" s="1065"/>
      <c r="L13" s="1066"/>
      <c r="M13" s="1066"/>
      <c r="N13" s="1067" t="s">
        <v>2022</v>
      </c>
      <c r="O13" s="1035"/>
      <c r="P13" s="47"/>
      <c r="Q13" s="53" t="n">
        <v>22</v>
      </c>
    </row>
    <row r="14" s="53" customFormat="true" ht="23.25" hidden="false" customHeight="true" outlineLevel="0" collapsed="false">
      <c r="A14" s="43"/>
      <c r="B14" s="45"/>
      <c r="C14" s="45"/>
      <c r="D14" s="158"/>
      <c r="E14" s="134"/>
      <c r="F14" s="1063"/>
      <c r="G14" s="401"/>
      <c r="H14" s="1064"/>
      <c r="I14" s="159"/>
      <c r="J14" s="596"/>
      <c r="K14" s="596" t="s">
        <v>2016</v>
      </c>
      <c r="L14" s="1053"/>
      <c r="M14" s="1053"/>
      <c r="N14" s="1067"/>
      <c r="O14" s="1035"/>
      <c r="P14" s="47"/>
      <c r="Q14" s="53" t="n">
        <v>22</v>
      </c>
    </row>
    <row r="15" s="53" customFormat="true" ht="23.25" hidden="false" customHeight="true" outlineLevel="0" collapsed="false">
      <c r="A15" s="43"/>
      <c r="B15" s="45"/>
      <c r="C15" s="157"/>
      <c r="D15" s="158"/>
      <c r="E15" s="159"/>
      <c r="F15" s="596" t="s">
        <v>2008</v>
      </c>
      <c r="G15" s="1041"/>
      <c r="H15" s="1041"/>
      <c r="I15" s="162"/>
      <c r="J15" s="162"/>
      <c r="K15" s="162"/>
      <c r="L15" s="162"/>
      <c r="M15" s="162"/>
      <c r="N15" s="1067"/>
      <c r="O15" s="1043"/>
      <c r="P15" s="47"/>
      <c r="Q15" s="53" t="n">
        <v>22</v>
      </c>
    </row>
    <row r="16" s="129" customFormat="true" ht="21.75" hidden="false" customHeight="true" outlineLevel="0" collapsed="false">
      <c r="A16" s="42"/>
      <c r="B16" s="45"/>
      <c r="C16" s="42"/>
      <c r="D16" s="117"/>
      <c r="E16" s="170"/>
      <c r="F16" s="170"/>
      <c r="G16" s="170"/>
      <c r="H16" s="170"/>
      <c r="I16" s="170"/>
      <c r="J16" s="170"/>
      <c r="K16" s="170"/>
      <c r="L16" s="170"/>
      <c r="M16" s="42"/>
      <c r="N16" s="42"/>
      <c r="O16" s="118"/>
      <c r="P16" s="118"/>
      <c r="Q16" s="129" t="n">
        <v>21</v>
      </c>
    </row>
    <row r="17" s="129" customFormat="true" ht="14.25" hidden="false" customHeight="true" outlineLevel="0" collapsed="false">
      <c r="A17" s="42"/>
      <c r="B17" s="45"/>
      <c r="C17" s="42"/>
      <c r="D17" s="117"/>
      <c r="E17" s="42"/>
      <c r="F17" s="42"/>
      <c r="G17" s="42"/>
      <c r="H17" s="42"/>
      <c r="I17" s="42"/>
      <c r="J17" s="42"/>
      <c r="K17" s="42"/>
      <c r="L17" s="42"/>
      <c r="M17" s="42"/>
      <c r="N17" s="42"/>
      <c r="O17" s="118"/>
      <c r="P17" s="118"/>
      <c r="Q17" s="129" t="n">
        <v>14</v>
      </c>
    </row>
    <row r="18" s="129" customFormat="true" ht="0.75" hidden="false" customHeight="true" outlineLevel="0" collapsed="false">
      <c r="A18" s="42"/>
      <c r="B18" s="45"/>
      <c r="C18" s="42"/>
      <c r="D18" s="117"/>
      <c r="E18" s="42"/>
      <c r="F18" s="42"/>
      <c r="G18" s="42"/>
      <c r="H18" s="42"/>
      <c r="I18" s="42"/>
      <c r="J18" s="42"/>
      <c r="K18" s="42"/>
      <c r="L18" s="42"/>
      <c r="M18" s="42"/>
      <c r="N18" s="42"/>
      <c r="O18" s="118"/>
      <c r="P18" s="118"/>
      <c r="Q18" s="129" t="n">
        <v>1</v>
      </c>
    </row>
    <row r="19" customFormat="false" ht="22.5" hidden="true" customHeight="true" outlineLevel="0" collapsed="false">
      <c r="A19" s="42" t="s">
        <v>81</v>
      </c>
      <c r="B19" s="45" t="n">
        <v>0</v>
      </c>
      <c r="C19" s="42" t="n">
        <v>0</v>
      </c>
      <c r="D19" s="117" t="n">
        <v>3</v>
      </c>
      <c r="E19" s="42" t="n">
        <v>6</v>
      </c>
      <c r="F19" s="42" t="n">
        <v>27</v>
      </c>
      <c r="G19" s="42" t="n">
        <v>29</v>
      </c>
      <c r="H19" s="42" t="n">
        <v>25</v>
      </c>
      <c r="I19" s="42" t="n">
        <v>5</v>
      </c>
      <c r="J19" s="42" t="n">
        <v>6</v>
      </c>
      <c r="K19" s="42" t="n">
        <v>41</v>
      </c>
      <c r="L19" s="42" t="n">
        <v>42</v>
      </c>
      <c r="M19" s="42" t="n">
        <v>41</v>
      </c>
      <c r="N19" s="42" t="n">
        <v>89</v>
      </c>
      <c r="O19" s="118" t="n">
        <v>3</v>
      </c>
      <c r="P19" s="118" t="n">
        <v>8</v>
      </c>
      <c r="Q19" s="42" t="n">
        <v>23</v>
      </c>
    </row>
  </sheetData>
  <mergeCells count="20">
    <mergeCell ref="E2:E3"/>
    <mergeCell ref="F2:F3"/>
    <mergeCell ref="G2:G3"/>
    <mergeCell ref="H2:H3"/>
    <mergeCell ref="E7:M7"/>
    <mergeCell ref="I9:K9"/>
    <mergeCell ref="E10:M10"/>
    <mergeCell ref="N10:N12"/>
    <mergeCell ref="E11:E12"/>
    <mergeCell ref="F11:F12"/>
    <mergeCell ref="G11:H11"/>
    <mergeCell ref="I11:K12"/>
    <mergeCell ref="L11:L12"/>
    <mergeCell ref="M11:M12"/>
    <mergeCell ref="A13:A15"/>
    <mergeCell ref="E13:E14"/>
    <mergeCell ref="F13:F14"/>
    <mergeCell ref="G13:G14"/>
    <mergeCell ref="H13:H14"/>
    <mergeCell ref="N13:N15"/>
  </mergeCells>
  <dataValidations count="2">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 showDropDown="false" showErrorMessage="true" showInputMessage="true" sqref="M4"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AEBEE"/>
    <pageSetUpPr fitToPage="true"/>
  </sheetPr>
  <dimension ref="A1:M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4.25" zeroHeight="false" outlineLevelRow="0" outlineLevelCol="0"/>
  <cols>
    <col collapsed="false" customWidth="false" hidden="true" outlineLevel="0" max="1" min="1" style="54" width="9.14"/>
    <col collapsed="false" customWidth="false" hidden="true" outlineLevel="0" max="2" min="2" style="132" width="9.14"/>
    <col collapsed="false" customWidth="true" hidden="false" outlineLevel="0" max="3" min="3" style="1068" width="3"/>
    <col collapsed="false" customWidth="true" hidden="false" outlineLevel="0" max="4" min="4" style="132" width="6"/>
    <col collapsed="false" customWidth="true" hidden="false" outlineLevel="0" max="5" min="5" style="132" width="22"/>
    <col collapsed="false" customWidth="true" hidden="false" outlineLevel="0" max="6" min="6" style="132" width="15"/>
    <col collapsed="false" customWidth="true" hidden="false" outlineLevel="0" max="7" min="7" style="132" width="14"/>
    <col collapsed="false" customWidth="true" hidden="false" outlineLevel="0" max="8" min="8" style="132" width="47"/>
    <col collapsed="false" customWidth="true" hidden="false" outlineLevel="0" max="9" min="9" style="132" width="115"/>
    <col collapsed="false" customWidth="true" hidden="false" outlineLevel="0" max="10" min="10" style="132" width="3"/>
    <col collapsed="false" customWidth="true" hidden="false" outlineLevel="0" max="12" min="11" style="132" width="8"/>
    <col collapsed="false" customWidth="false" hidden="true" outlineLevel="0" max="13" min="13" style="132" width="9.14"/>
  </cols>
  <sheetData>
    <row r="1" customFormat="false" ht="14.25" hidden="true" customHeight="true" outlineLevel="0" collapsed="false">
      <c r="M1" s="132" t="s">
        <v>14</v>
      </c>
    </row>
    <row r="2" customFormat="false" ht="14.25" hidden="true" customHeight="true" outlineLevel="0" collapsed="false">
      <c r="M2" s="132" t="n">
        <v>0</v>
      </c>
    </row>
    <row r="3" customFormat="false" ht="14.25" hidden="true" customHeight="true" outlineLevel="0" collapsed="false">
      <c r="M3" s="132" t="n">
        <v>0</v>
      </c>
    </row>
    <row r="4" customFormat="false" ht="3" hidden="false" customHeight="true" outlineLevel="0" collapsed="false">
      <c r="M4" s="132" t="n">
        <v>3</v>
      </c>
    </row>
    <row r="5" s="42" customFormat="true" ht="31.5" hidden="false" customHeight="true" outlineLevel="0" collapsed="false">
      <c r="A5" s="45"/>
      <c r="C5" s="329"/>
      <c r="D5" s="130" t="s">
        <v>2023</v>
      </c>
      <c r="E5" s="130"/>
      <c r="F5" s="130"/>
      <c r="G5" s="130"/>
      <c r="H5" s="130"/>
      <c r="I5" s="221"/>
      <c r="M5" s="42" t="n">
        <v>30</v>
      </c>
    </row>
    <row r="6" customFormat="false" ht="3" hidden="true" customHeight="true" outlineLevel="0" collapsed="false">
      <c r="D6" s="284"/>
      <c r="E6" s="284"/>
      <c r="F6" s="284"/>
      <c r="G6" s="284"/>
      <c r="H6" s="284"/>
      <c r="I6" s="284"/>
      <c r="M6" s="132" t="n">
        <v>0</v>
      </c>
    </row>
    <row r="7" s="54" customFormat="true" ht="14.25" hidden="false" customHeight="true" outlineLevel="0" collapsed="false">
      <c r="B7" s="132"/>
      <c r="C7" s="1068"/>
      <c r="D7" s="1069"/>
      <c r="E7" s="1069"/>
      <c r="F7" s="1069"/>
      <c r="G7" s="1069"/>
      <c r="H7" s="292"/>
      <c r="I7" s="1069"/>
      <c r="J7" s="1023"/>
      <c r="M7" s="54" t="n">
        <v>14</v>
      </c>
    </row>
    <row r="8" customFormat="false" ht="14.25" hidden="false" customHeight="true" outlineLevel="0" collapsed="false">
      <c r="D8" s="391" t="s">
        <v>313</v>
      </c>
      <c r="E8" s="391"/>
      <c r="F8" s="391"/>
      <c r="G8" s="391"/>
      <c r="H8" s="391"/>
      <c r="I8" s="391" t="s">
        <v>314</v>
      </c>
      <c r="M8" s="132" t="n">
        <v>14</v>
      </c>
    </row>
    <row r="9" customFormat="false" ht="29.25" hidden="false" customHeight="true" outlineLevel="0" collapsed="false">
      <c r="D9" s="391" t="s">
        <v>87</v>
      </c>
      <c r="E9" s="391" t="s">
        <v>2024</v>
      </c>
      <c r="F9" s="391"/>
      <c r="G9" s="391"/>
      <c r="H9" s="391"/>
      <c r="I9" s="391"/>
      <c r="M9" s="132" t="n">
        <v>28</v>
      </c>
    </row>
    <row r="10" customFormat="false" ht="24" hidden="false" customHeight="true" outlineLevel="0" collapsed="false">
      <c r="D10" s="391"/>
      <c r="E10" s="391" t="s">
        <v>2025</v>
      </c>
      <c r="F10" s="391" t="s">
        <v>2026</v>
      </c>
      <c r="G10" s="391" t="s">
        <v>2027</v>
      </c>
      <c r="H10" s="391" t="s">
        <v>403</v>
      </c>
      <c r="I10" s="391"/>
      <c r="M10" s="132" t="n">
        <v>23</v>
      </c>
    </row>
    <row r="11" customFormat="false" ht="12" hidden="true" customHeight="true" outlineLevel="0" collapsed="false">
      <c r="D11" s="363" t="s">
        <v>120</v>
      </c>
      <c r="E11" s="363" t="s">
        <v>90</v>
      </c>
      <c r="F11" s="363" t="s">
        <v>121</v>
      </c>
      <c r="G11" s="363" t="s">
        <v>91</v>
      </c>
      <c r="H11" s="363" t="s">
        <v>92</v>
      </c>
      <c r="I11" s="363" t="s">
        <v>122</v>
      </c>
      <c r="M11" s="132" t="n">
        <v>0</v>
      </c>
    </row>
    <row r="12" s="132" customFormat="true" ht="26.25" hidden="false" customHeight="true" outlineLevel="0" collapsed="false">
      <c r="A12" s="54" t="s">
        <v>89</v>
      </c>
      <c r="C12" s="277"/>
      <c r="D12" s="198" t="s">
        <v>120</v>
      </c>
      <c r="E12" s="333"/>
      <c r="F12" s="333"/>
      <c r="G12" s="438"/>
      <c r="H12" s="403"/>
      <c r="I12" s="911" t="s">
        <v>2028</v>
      </c>
      <c r="K12" s="1070"/>
      <c r="L12" s="156"/>
      <c r="M12" s="132" t="n">
        <v>25</v>
      </c>
    </row>
    <row r="13" customFormat="false" ht="15.75" hidden="false" customHeight="true" outlineLevel="0" collapsed="false">
      <c r="A13" s="132"/>
      <c r="C13" s="132"/>
      <c r="D13" s="727"/>
      <c r="E13" s="168" t="s">
        <v>481</v>
      </c>
      <c r="F13" s="918"/>
      <c r="G13" s="918"/>
      <c r="H13" s="728"/>
      <c r="I13" s="911"/>
      <c r="M13" s="132" t="n">
        <v>15</v>
      </c>
    </row>
    <row r="14" customFormat="false" ht="3" hidden="false" customHeight="true" outlineLevel="0" collapsed="false">
      <c r="A14" s="132"/>
      <c r="C14" s="132"/>
      <c r="M14" s="132" t="n">
        <v>3</v>
      </c>
    </row>
    <row r="15" customFormat="false" ht="29.25" hidden="false" customHeight="true" outlineLevel="0" collapsed="false">
      <c r="E15" s="1071" t="s">
        <v>2029</v>
      </c>
      <c r="F15" s="1071"/>
      <c r="G15" s="1071"/>
      <c r="H15" s="1071"/>
      <c r="M15" s="132" t="n">
        <v>28</v>
      </c>
    </row>
    <row r="16" customFormat="false" ht="14.25" hidden="true" customHeight="true" outlineLevel="0" collapsed="false">
      <c r="A16" s="54" t="s">
        <v>81</v>
      </c>
      <c r="B16" s="132" t="n">
        <v>0</v>
      </c>
      <c r="C16" s="1068" t="n">
        <v>3</v>
      </c>
      <c r="D16" s="132" t="n">
        <v>6</v>
      </c>
      <c r="E16" s="132" t="n">
        <v>22</v>
      </c>
      <c r="F16" s="132" t="n">
        <v>15</v>
      </c>
      <c r="G16" s="132" t="n">
        <v>14</v>
      </c>
      <c r="H16" s="132" t="n">
        <v>47</v>
      </c>
      <c r="I16" s="132" t="n">
        <v>115</v>
      </c>
      <c r="J16" s="132" t="n">
        <v>3</v>
      </c>
      <c r="K16" s="132" t="n">
        <v>8</v>
      </c>
      <c r="L16" s="132" t="n">
        <v>8</v>
      </c>
      <c r="M16" s="132" t="n">
        <v>14</v>
      </c>
    </row>
  </sheetData>
  <mergeCells count="7">
    <mergeCell ref="D5:H5"/>
    <mergeCell ref="D8:H8"/>
    <mergeCell ref="I8:I10"/>
    <mergeCell ref="D9:D10"/>
    <mergeCell ref="E9:H9"/>
    <mergeCell ref="I12:I13"/>
    <mergeCell ref="E15:H1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12"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E12:F12" type="textLength">
      <formula1>900</formula1>
      <formula2>0</formula2>
    </dataValidation>
  </dataValidations>
  <printOptions headings="false" gridLines="false" gridLinesSet="true" horizontalCentered="true" verticalCentered="false"/>
  <pageMargins left="0.240277777777778" right="0.240277777777778" top="0.240277777777778" bottom="0.240277777777778" header="0.240277777777778" footer="0.240277777777778"/>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J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4.25" zeroHeight="false" outlineLevelRow="0" outlineLevelCol="0"/>
  <cols>
    <col collapsed="false" customWidth="false" hidden="true" outlineLevel="0" max="2" min="1" style="1072" width="9.14"/>
    <col collapsed="false" customWidth="true" hidden="false" outlineLevel="0" max="3" min="3" style="1073" width="3"/>
    <col collapsed="false" customWidth="true" hidden="false" outlineLevel="0" max="4" min="4" style="1072" width="6"/>
    <col collapsed="false" customWidth="true" hidden="false" outlineLevel="0" max="5" min="5" style="1072" width="94"/>
    <col collapsed="false" customWidth="true" hidden="false" outlineLevel="0" max="9" min="6" style="1072" width="8"/>
    <col collapsed="false" customWidth="false" hidden="true" outlineLevel="0" max="10" min="10" style="1072" width="9.14"/>
  </cols>
  <sheetData>
    <row r="1" customFormat="false" ht="14.25" hidden="true" customHeight="true" outlineLevel="0" collapsed="false">
      <c r="J1" s="1072" t="s">
        <v>14</v>
      </c>
    </row>
    <row r="2" customFormat="false" ht="14.25" hidden="true" customHeight="true" outlineLevel="0" collapsed="false">
      <c r="J2" s="1072" t="n">
        <v>0</v>
      </c>
    </row>
    <row r="3" customFormat="false" ht="14.25" hidden="true" customHeight="true" outlineLevel="0" collapsed="false">
      <c r="J3" s="1072" t="n">
        <v>0</v>
      </c>
    </row>
    <row r="4" customFormat="false" ht="14.25" hidden="true" customHeight="true" outlineLevel="0" collapsed="false">
      <c r="J4" s="1072" t="n">
        <v>0</v>
      </c>
    </row>
    <row r="5" customFormat="false" ht="14.25" hidden="true" customHeight="true" outlineLevel="0" collapsed="false">
      <c r="J5" s="1072" t="n">
        <v>0</v>
      </c>
    </row>
    <row r="6" customFormat="false" ht="3" hidden="false" customHeight="true" outlineLevel="0" collapsed="false">
      <c r="C6" s="1074"/>
      <c r="D6" s="284"/>
      <c r="E6" s="284"/>
      <c r="J6" s="1072" t="n">
        <v>3</v>
      </c>
    </row>
    <row r="7" customFormat="false" ht="23.25" hidden="false" customHeight="true" outlineLevel="0" collapsed="false">
      <c r="C7" s="1074"/>
      <c r="D7" s="1075" t="s">
        <v>2030</v>
      </c>
      <c r="E7" s="1075"/>
      <c r="F7" s="1076"/>
      <c r="J7" s="1072" t="n">
        <v>22</v>
      </c>
    </row>
    <row r="8" customFormat="false" ht="3" hidden="false" customHeight="true" outlineLevel="0" collapsed="false">
      <c r="C8" s="1074"/>
      <c r="D8" s="284"/>
      <c r="E8" s="284"/>
      <c r="J8" s="1072" t="n">
        <v>3</v>
      </c>
    </row>
    <row r="9" customFormat="false" ht="16.5" hidden="false" customHeight="true" outlineLevel="0" collapsed="false">
      <c r="C9" s="1074"/>
      <c r="D9" s="391" t="s">
        <v>87</v>
      </c>
      <c r="E9" s="146" t="s">
        <v>2031</v>
      </c>
      <c r="J9" s="1072" t="n">
        <v>16</v>
      </c>
    </row>
    <row r="10" customFormat="false" ht="0.75" hidden="false" customHeight="true" outlineLevel="0" collapsed="false">
      <c r="C10" s="1074"/>
      <c r="D10" s="363"/>
      <c r="E10" s="363"/>
      <c r="J10" s="1072" t="n">
        <v>1</v>
      </c>
    </row>
    <row r="11" customFormat="false" ht="11.25" hidden="true" customHeight="true" outlineLevel="0" collapsed="false">
      <c r="C11" s="1074"/>
      <c r="D11" s="1077" t="n">
        <v>0</v>
      </c>
      <c r="E11" s="1078"/>
      <c r="J11" s="1072" t="n">
        <v>0</v>
      </c>
    </row>
    <row r="12" customFormat="false" ht="15.75" hidden="false" customHeight="true" outlineLevel="0" collapsed="false">
      <c r="C12" s="329"/>
      <c r="D12" s="725" t="n">
        <v>1</v>
      </c>
      <c r="E12" s="333"/>
      <c r="J12" s="1072" t="n">
        <v>15</v>
      </c>
    </row>
    <row r="13" customFormat="false" ht="12.75" hidden="false" customHeight="true" outlineLevel="0" collapsed="false">
      <c r="C13" s="1074"/>
      <c r="D13" s="377"/>
      <c r="E13" s="1079" t="s">
        <v>2032</v>
      </c>
      <c r="J13" s="1072" t="n">
        <v>12</v>
      </c>
    </row>
    <row r="14" customFormat="false" ht="3" hidden="false" customHeight="true" outlineLevel="0" collapsed="false">
      <c r="J14" s="1072" t="n">
        <v>3</v>
      </c>
    </row>
    <row r="15" customFormat="false" ht="23.25" hidden="false" customHeight="true" outlineLevel="0" collapsed="false">
      <c r="C15" s="1080"/>
      <c r="D15" s="1081" t="s">
        <v>2033</v>
      </c>
      <c r="E15" s="1081"/>
      <c r="F15" s="869"/>
      <c r="G15" s="869"/>
      <c r="H15" s="869"/>
      <c r="I15" s="869"/>
      <c r="J15" s="1072" t="n">
        <v>22</v>
      </c>
    </row>
    <row r="16" customFormat="false" ht="14.25" hidden="true" customHeight="true" outlineLevel="0" collapsed="false">
      <c r="A16" s="1072" t="s">
        <v>81</v>
      </c>
      <c r="B16" s="1072" t="n">
        <v>0</v>
      </c>
      <c r="C16" s="1073" t="n">
        <v>3</v>
      </c>
      <c r="D16" s="1072" t="n">
        <v>6</v>
      </c>
      <c r="E16" s="1072" t="n">
        <v>94</v>
      </c>
      <c r="F16" s="1072" t="n">
        <v>8</v>
      </c>
      <c r="G16" s="1072" t="n">
        <v>8</v>
      </c>
      <c r="H16" s="1072" t="n">
        <v>8</v>
      </c>
      <c r="I16" s="1072" t="n">
        <v>8</v>
      </c>
      <c r="J16" s="1072" t="n">
        <v>14</v>
      </c>
    </row>
  </sheetData>
  <mergeCells count="2">
    <mergeCell ref="D7:E7"/>
    <mergeCell ref="D15:E15"/>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M1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4.25" zeroHeight="false" outlineLevelRow="0" outlineLevelCol="0"/>
  <cols>
    <col collapsed="false" customWidth="false" hidden="true" outlineLevel="0" max="2" min="1" style="1072" width="9.14"/>
    <col collapsed="false" customWidth="true" hidden="false" outlineLevel="0" max="3" min="3" style="1073" width="3"/>
    <col collapsed="false" customWidth="true" hidden="false" outlineLevel="0" max="4" min="4" style="1072" width="6"/>
    <col collapsed="false" customWidth="true" hidden="false" outlineLevel="0" max="5" min="5" style="1072" width="94"/>
    <col collapsed="false" customWidth="true" hidden="false" outlineLevel="0" max="12" min="6" style="1072" width="8"/>
    <col collapsed="false" customWidth="false" hidden="true" outlineLevel="0" max="13" min="13" style="1072" width="9.14"/>
  </cols>
  <sheetData>
    <row r="1" customFormat="false" ht="14.25" hidden="true" customHeight="true" outlineLevel="0" collapsed="false">
      <c r="M1" s="1072" t="s">
        <v>14</v>
      </c>
    </row>
    <row r="2" customFormat="false" ht="14.25" hidden="true" customHeight="true" outlineLevel="0" collapsed="false">
      <c r="M2" s="1072" t="n">
        <v>0</v>
      </c>
    </row>
    <row r="3" customFormat="false" ht="14.25" hidden="true" customHeight="true" outlineLevel="0" collapsed="false">
      <c r="M3" s="1072" t="n">
        <v>0</v>
      </c>
    </row>
    <row r="4" customFormat="false" ht="14.25" hidden="true" customHeight="true" outlineLevel="0" collapsed="false">
      <c r="M4" s="1072" t="n">
        <v>0</v>
      </c>
    </row>
    <row r="5" customFormat="false" ht="14.25" hidden="true" customHeight="true" outlineLevel="0" collapsed="false">
      <c r="M5" s="1072" t="n">
        <v>0</v>
      </c>
    </row>
    <row r="6" customFormat="false" ht="3" hidden="false" customHeight="true" outlineLevel="0" collapsed="false">
      <c r="C6" s="1074"/>
      <c r="D6" s="284"/>
      <c r="E6" s="284"/>
      <c r="M6" s="1072" t="n">
        <v>3</v>
      </c>
    </row>
    <row r="7" customFormat="false" ht="23.25" hidden="false" customHeight="true" outlineLevel="0" collapsed="false">
      <c r="C7" s="1074"/>
      <c r="D7" s="1075" t="s">
        <v>2034</v>
      </c>
      <c r="E7" s="1075"/>
      <c r="F7" s="1076"/>
      <c r="M7" s="1072" t="n">
        <v>22</v>
      </c>
    </row>
    <row r="8" customFormat="false" ht="3" hidden="false" customHeight="true" outlineLevel="0" collapsed="false">
      <c r="C8" s="1074"/>
      <c r="D8" s="284"/>
      <c r="E8" s="284"/>
      <c r="M8" s="1072" t="n">
        <v>3</v>
      </c>
    </row>
    <row r="9" customFormat="false" ht="16.5" hidden="false" customHeight="true" outlineLevel="0" collapsed="false">
      <c r="C9" s="1074"/>
      <c r="D9" s="391" t="s">
        <v>87</v>
      </c>
      <c r="E9" s="185" t="s">
        <v>300</v>
      </c>
      <c r="M9" s="1072" t="n">
        <v>16</v>
      </c>
    </row>
    <row r="10" customFormat="false" ht="12.75" hidden="false" customHeight="true" outlineLevel="0" collapsed="false">
      <c r="C10" s="1074"/>
      <c r="D10" s="363" t="s">
        <v>120</v>
      </c>
      <c r="E10" s="363" t="s">
        <v>102</v>
      </c>
      <c r="M10" s="1072" t="n">
        <v>12</v>
      </c>
    </row>
    <row r="11" customFormat="false" ht="15" hidden="true" customHeight="true" outlineLevel="0" collapsed="false">
      <c r="C11" s="1074"/>
      <c r="D11" s="725" t="n">
        <v>0</v>
      </c>
      <c r="E11" s="393"/>
      <c r="M11" s="1072" t="n">
        <v>0</v>
      </c>
    </row>
    <row r="12" customFormat="false" ht="14.25" hidden="false" customHeight="true" outlineLevel="0" collapsed="false">
      <c r="C12" s="1074"/>
      <c r="D12" s="727"/>
      <c r="E12" s="1079" t="s">
        <v>2032</v>
      </c>
      <c r="M12" s="1072" t="n">
        <v>14</v>
      </c>
    </row>
    <row r="13" customFormat="false" ht="14.25" hidden="true" customHeight="true" outlineLevel="0" collapsed="false">
      <c r="A13" s="1072" t="s">
        <v>81</v>
      </c>
      <c r="B13" s="1072" t="n">
        <v>0</v>
      </c>
      <c r="C13" s="1073" t="n">
        <v>3</v>
      </c>
      <c r="D13" s="1072" t="n">
        <v>6</v>
      </c>
      <c r="E13" s="1072" t="n">
        <v>94</v>
      </c>
      <c r="F13" s="1072" t="n">
        <v>8</v>
      </c>
      <c r="G13" s="1072" t="n">
        <v>8</v>
      </c>
      <c r="H13" s="1072" t="n">
        <v>8</v>
      </c>
      <c r="I13" s="1072" t="n">
        <v>8</v>
      </c>
      <c r="J13" s="1072" t="n">
        <v>8</v>
      </c>
      <c r="K13" s="1072" t="n">
        <v>8</v>
      </c>
      <c r="L13" s="1072" t="n">
        <v>8</v>
      </c>
      <c r="M13" s="1072" t="n">
        <v>14</v>
      </c>
    </row>
  </sheetData>
  <mergeCells count="1">
    <mergeCell ref="D7:E7"/>
  </mergeCells>
  <dataValidations count="1">
    <dataValidation allowBlank="true" error="Допускается ввод не более 900 символов!" errorStyle="stop" errorTitle="Ошибка" operator="lessThanOrEqual" showDropDown="false" showErrorMessage="true" showInputMessage="true" sqref="E11"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F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1.25" zeroHeight="false" outlineLevelRow="0" outlineLevelCol="0"/>
  <cols>
    <col collapsed="false" customWidth="true" hidden="false" outlineLevel="0" max="1" min="1" style="53" width="1.71"/>
    <col collapsed="false" customWidth="true" hidden="false" outlineLevel="0" max="2" min="2" style="53" width="34.57"/>
    <col collapsed="false" customWidth="true" hidden="false" outlineLevel="0" max="3" min="3" style="53" width="85"/>
    <col collapsed="false" customWidth="true" hidden="false" outlineLevel="0" max="4" min="4" style="53" width="17"/>
    <col collapsed="false" customWidth="true" hidden="false" outlineLevel="0" max="5" min="5" style="53" width="8"/>
    <col collapsed="false" customWidth="false" hidden="true" outlineLevel="0" max="6" min="6" style="53" width="9.14"/>
  </cols>
  <sheetData>
    <row r="1" customFormat="false" ht="3" hidden="false" customHeight="true" outlineLevel="0" collapsed="false">
      <c r="F1" s="53" t="s">
        <v>14</v>
      </c>
    </row>
    <row r="2" customFormat="false" ht="22.5" hidden="false" customHeight="true" outlineLevel="0" collapsed="false">
      <c r="B2" s="1082" t="s">
        <v>2035</v>
      </c>
      <c r="C2" s="1082"/>
      <c r="D2" s="1082"/>
      <c r="E2" s="1083"/>
      <c r="F2" s="53" t="n">
        <v>22</v>
      </c>
    </row>
    <row r="3" customFormat="false" ht="3" hidden="false" customHeight="true" outlineLevel="0" collapsed="false">
      <c r="F3" s="53" t="n">
        <v>3</v>
      </c>
    </row>
    <row r="4" customFormat="false" ht="23.25" hidden="false" customHeight="true" outlineLevel="0" collapsed="false">
      <c r="B4" s="1084" t="s">
        <v>2036</v>
      </c>
      <c r="C4" s="1084" t="s">
        <v>2037</v>
      </c>
      <c r="D4" s="1084" t="s">
        <v>2038</v>
      </c>
      <c r="F4" s="53" t="n">
        <v>22</v>
      </c>
    </row>
    <row r="5" customFormat="false" ht="11.25" hidden="true" customHeight="true" outlineLevel="0" collapsed="false">
      <c r="A5" s="53" t="s">
        <v>81</v>
      </c>
      <c r="B5" s="53" t="n">
        <v>34</v>
      </c>
      <c r="C5" s="53" t="n">
        <v>85</v>
      </c>
      <c r="D5" s="53" t="n">
        <v>17</v>
      </c>
      <c r="E5" s="53" t="n">
        <v>8</v>
      </c>
      <c r="F5" s="53" t="n">
        <v>11</v>
      </c>
    </row>
  </sheetData>
  <mergeCells count="1">
    <mergeCell ref="B2:D2"/>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2:GB215"/>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4453125" defaultRowHeight="16.5" zeroHeight="false" outlineLevelRow="0" outlineLevelCol="0"/>
  <cols>
    <col collapsed="false" customWidth="true" hidden="false" outlineLevel="0" max="1" min="1" style="53" width="26.57"/>
    <col collapsed="false" customWidth="true" hidden="false" outlineLevel="0" max="2" min="2" style="53" width="10"/>
    <col collapsed="false" customWidth="false" hidden="false" outlineLevel="0" max="3" min="3" style="53" width="9.14"/>
    <col collapsed="false" customWidth="true" hidden="false" outlineLevel="0" max="4" min="4" style="53" width="11.14"/>
    <col collapsed="false" customWidth="true" hidden="false" outlineLevel="0" max="5" min="5" style="53" width="16.57"/>
    <col collapsed="false" customWidth="true" hidden="false" outlineLevel="0" max="6" min="6" style="53" width="16.28"/>
    <col collapsed="false" customWidth="true" hidden="false" outlineLevel="0" max="7" min="7" style="53" width="19.14"/>
    <col collapsed="false" customWidth="true" hidden="false" outlineLevel="0" max="11" min="8" style="53" width="10"/>
    <col collapsed="false" customWidth="true" hidden="false" outlineLevel="0" max="12" min="12" style="53" width="12.71"/>
    <col collapsed="false" customWidth="true" hidden="false" outlineLevel="0" max="13" min="13" style="53" width="61.28"/>
    <col collapsed="false" customWidth="true" hidden="false" outlineLevel="0" max="14" min="14" style="53" width="10"/>
    <col collapsed="false" customWidth="true" hidden="false" outlineLevel="0" max="17" min="15" style="53" width="23.71"/>
    <col collapsed="false" customWidth="true" hidden="false" outlineLevel="0" max="18" min="18" style="53" width="11.71"/>
    <col collapsed="false" customWidth="true" hidden="false" outlineLevel="0" max="19" min="19" style="53" width="8.57"/>
    <col collapsed="false" customWidth="true" hidden="false" outlineLevel="0" max="20" min="20" style="53" width="11.71"/>
    <col collapsed="false" customWidth="true" hidden="false" outlineLevel="0" max="21" min="21" style="53" width="8.57"/>
    <col collapsed="false" customWidth="true" hidden="false" outlineLevel="0" max="22" min="22" style="53" width="4.71"/>
    <col collapsed="false" customWidth="true" hidden="false" outlineLevel="0" max="23" min="23" style="53" width="115.71"/>
    <col collapsed="false" customWidth="true" hidden="false" outlineLevel="0" max="24" min="24" style="53" width="115.28"/>
    <col collapsed="false" customWidth="false" hidden="false" outlineLevel="0" max="27" min="25" style="53" width="9.14"/>
    <col collapsed="false" customWidth="true" hidden="false" outlineLevel="0" max="28" min="28" style="53" width="115.71"/>
    <col collapsed="false" customWidth="false" hidden="false" outlineLevel="0" max="29" min="29" style="53" width="9.14"/>
    <col collapsed="false" customWidth="true" hidden="false" outlineLevel="0" max="90" min="30" style="53" width="115.71"/>
    <col collapsed="false" customWidth="false" hidden="false" outlineLevel="0" max="184" min="91" style="53" width="9.14"/>
  </cols>
  <sheetData>
    <row r="2" s="1085" customFormat="true" ht="17.25" hidden="false" customHeight="true" outlineLevel="0" collapsed="false">
      <c r="A2" s="1085" t="s">
        <v>2039</v>
      </c>
    </row>
    <row r="4" s="1072" customFormat="true" ht="15" hidden="false" customHeight="true" outlineLevel="0" collapsed="false">
      <c r="C4" s="329"/>
      <c r="D4" s="725"/>
      <c r="E4" s="333"/>
    </row>
    <row r="6" s="1085" customFormat="true" ht="17.25" hidden="false" customHeight="true" outlineLevel="0" collapsed="false">
      <c r="A6" s="1085" t="s">
        <v>2040</v>
      </c>
    </row>
    <row r="8" s="1072" customFormat="true" ht="17.25" hidden="false" customHeight="true" outlineLevel="0" collapsed="false">
      <c r="C8" s="1086"/>
      <c r="D8" s="725"/>
      <c r="E8" s="334"/>
    </row>
    <row r="11" s="1085" customFormat="true" ht="17.25" hidden="false" customHeight="true" outlineLevel="0" collapsed="false">
      <c r="A11" s="1085" t="s">
        <v>2041</v>
      </c>
    </row>
    <row r="13" s="129" customFormat="true" ht="15" hidden="false" customHeight="true" outlineLevel="0" collapsed="false">
      <c r="A13" s="44" t="n">
        <v>1</v>
      </c>
      <c r="B13" s="45"/>
      <c r="C13" s="158" t="s">
        <v>103</v>
      </c>
      <c r="D13" s="117"/>
      <c r="E13" s="146" t="n">
        <f aca="false">A13</f>
        <v>1</v>
      </c>
      <c r="F13" s="164"/>
      <c r="G13" s="148" t="str">
        <f aca="false">"Территория "&amp;E13</f>
        <v>Территория 1</v>
      </c>
      <c r="H13" s="149"/>
      <c r="I13" s="149"/>
      <c r="J13" s="118"/>
      <c r="K13" s="118"/>
      <c r="L13" s="118"/>
      <c r="M13" s="118"/>
      <c r="N13" s="118"/>
      <c r="O13" s="118"/>
      <c r="P13" s="119"/>
      <c r="Q13" s="119"/>
      <c r="R13" s="119"/>
      <c r="S13" s="119"/>
    </row>
    <row r="14" s="53" customFormat="true" ht="15" hidden="false" customHeight="true" outlineLevel="0" collapsed="false">
      <c r="A14" s="44"/>
      <c r="B14" s="45" t="n">
        <v>1</v>
      </c>
      <c r="C14" s="45"/>
      <c r="D14" s="150"/>
      <c r="E14" s="151" t="str">
        <f aca="false">A13&amp;"."&amp;B14</f>
        <v>1.1</v>
      </c>
      <c r="F14" s="165" t="n">
        <f aca="false">$F$20</f>
        <v>0</v>
      </c>
      <c r="G14" s="153"/>
      <c r="H14" s="153"/>
      <c r="I14" s="154"/>
      <c r="J14" s="118"/>
      <c r="K14" s="47"/>
      <c r="L14" s="47"/>
      <c r="M14" s="118" t="str">
        <f aca="false" t="array" ref="M14:M14">IF(ISERROR(MATCH(MID(N14,1,250),MID(note_ter,1,250),0)),"n","y")</f>
        <v>n</v>
      </c>
      <c r="N14" s="47"/>
      <c r="O14" s="118" t="str">
        <f aca="false">H14&amp;"("&amp;I14&amp;")"</f>
        <v>()</v>
      </c>
      <c r="P14" s="45"/>
      <c r="Q14" s="45"/>
      <c r="R14" s="155"/>
      <c r="S14" s="45"/>
      <c r="T14" s="45"/>
      <c r="U14" s="45"/>
      <c r="V14" s="54"/>
      <c r="W14" s="54"/>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54"/>
      <c r="BT14" s="54"/>
      <c r="BU14" s="54"/>
      <c r="BV14" s="54"/>
      <c r="BW14" s="54"/>
      <c r="BX14" s="54"/>
      <c r="BY14" s="54"/>
      <c r="BZ14" s="54"/>
      <c r="CA14" s="54"/>
      <c r="CB14" s="54"/>
    </row>
    <row r="15" s="53" customFormat="true" ht="15" hidden="false" customHeight="true" outlineLevel="0" collapsed="false">
      <c r="A15" s="44"/>
      <c r="B15" s="45"/>
      <c r="C15" s="157"/>
      <c r="D15" s="158"/>
      <c r="E15" s="159"/>
      <c r="F15" s="160"/>
      <c r="G15" s="161" t="s">
        <v>101</v>
      </c>
      <c r="H15" s="162"/>
      <c r="I15" s="163"/>
      <c r="J15" s="47"/>
      <c r="K15" s="47"/>
      <c r="L15" s="47"/>
      <c r="M15" s="47"/>
      <c r="N15" s="118"/>
      <c r="O15" s="47"/>
      <c r="P15" s="45"/>
      <c r="Q15" s="45"/>
      <c r="R15" s="155"/>
      <c r="S15" s="45"/>
      <c r="T15" s="45"/>
      <c r="U15" s="45"/>
      <c r="V15" s="54"/>
      <c r="W15" s="54"/>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54"/>
      <c r="BT15" s="54"/>
      <c r="BU15" s="54"/>
      <c r="BV15" s="54"/>
      <c r="BW15" s="54"/>
      <c r="BX15" s="54"/>
      <c r="BY15" s="54"/>
      <c r="BZ15" s="54"/>
      <c r="CA15" s="54"/>
      <c r="CB15" s="54"/>
    </row>
    <row r="17" s="1085" customFormat="true" ht="17.25" hidden="false" customHeight="true" outlineLevel="0" collapsed="false">
      <c r="A17" s="1085" t="s">
        <v>2042</v>
      </c>
    </row>
    <row r="19" s="53" customFormat="true" ht="15" hidden="false" customHeight="true" outlineLevel="0" collapsed="false">
      <c r="A19" s="44"/>
      <c r="B19" s="45" t="n">
        <v>1</v>
      </c>
      <c r="C19" s="45"/>
      <c r="D19" s="150" t="s">
        <v>103</v>
      </c>
      <c r="E19" s="146"/>
      <c r="F19" s="428" t="n">
        <f aca="false">$F$20</f>
        <v>0</v>
      </c>
      <c r="G19" s="1087"/>
      <c r="H19" s="1087"/>
      <c r="I19" s="1088"/>
      <c r="J19" s="118"/>
      <c r="K19" s="47"/>
      <c r="L19" s="47"/>
      <c r="M19" s="118" t="str">
        <f aca="false" t="array" ref="M19:M19">IF(ISERROR(MATCH(MID(N19,1,250),MID(note_ter,1,250),0)),"n","y")</f>
        <v>n</v>
      </c>
      <c r="N19" s="47"/>
      <c r="O19" s="118" t="str">
        <f aca="false">H19&amp;"("&amp;I19&amp;")"</f>
        <v>()</v>
      </c>
      <c r="P19" s="45"/>
      <c r="Q19" s="45"/>
      <c r="R19" s="155"/>
      <c r="S19" s="45"/>
      <c r="T19" s="45"/>
      <c r="U19" s="45"/>
      <c r="V19" s="54"/>
      <c r="W19" s="54"/>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54"/>
      <c r="BT19" s="54"/>
      <c r="BU19" s="54"/>
      <c r="BV19" s="54"/>
      <c r="BW19" s="54"/>
      <c r="BX19" s="54"/>
      <c r="BY19" s="54"/>
      <c r="BZ19" s="54"/>
      <c r="CA19" s="54"/>
      <c r="CB19" s="54"/>
    </row>
    <row r="21" s="53" customFormat="true" ht="15" hidden="false" customHeight="true" outlineLevel="0" collapsed="false">
      <c r="A21" s="1085" t="s">
        <v>2043</v>
      </c>
      <c r="B21" s="1085"/>
      <c r="C21" s="1085"/>
      <c r="D21" s="1085"/>
      <c r="E21" s="1085"/>
      <c r="F21" s="1085"/>
      <c r="G21" s="1085"/>
      <c r="H21" s="1085"/>
      <c r="I21" s="1085"/>
      <c r="J21" s="1085"/>
      <c r="K21" s="1085"/>
      <c r="L21" s="1085"/>
      <c r="M21" s="1085"/>
      <c r="N21" s="1085"/>
      <c r="O21" s="1085"/>
      <c r="P21" s="1085"/>
      <c r="Q21" s="1085"/>
      <c r="R21" s="1085"/>
      <c r="S21" s="1085"/>
      <c r="T21" s="1085"/>
      <c r="U21" s="1089"/>
      <c r="V21" s="1085"/>
      <c r="W21" s="1085"/>
    </row>
    <row r="22" s="53" customFormat="true" ht="15" hidden="false" customHeight="true" outlineLevel="0" collapsed="false">
      <c r="U22" s="1090"/>
    </row>
    <row r="23" s="175" customFormat="true" ht="15" hidden="false" customHeight="true" outlineLevel="0" collapsed="false">
      <c r="A23" s="53"/>
      <c r="B23" s="53"/>
      <c r="C23" s="215" t="s">
        <v>103</v>
      </c>
      <c r="D23" s="198" t="s">
        <v>120</v>
      </c>
      <c r="E23" s="199"/>
      <c r="F23" s="204" t="s">
        <v>19</v>
      </c>
      <c r="G23" s="216"/>
      <c r="H23" s="134" t="n">
        <v>1</v>
      </c>
      <c r="I23" s="785" t="str">
        <f aca="false">IF(U23="","",INDEX(TERRITORY_MR_LIST,MATCH(U23,TERRITORY_LIST_ID,0)))</f>
        <v/>
      </c>
      <c r="J23" s="204" t="s">
        <v>19</v>
      </c>
      <c r="K23" s="210"/>
      <c r="L23" s="198" t="s">
        <v>120</v>
      </c>
      <c r="M23" s="206"/>
      <c r="N23" s="140"/>
      <c r="O23" s="140"/>
      <c r="P23" s="140"/>
      <c r="Q23" s="140"/>
      <c r="R23" s="140"/>
      <c r="S23" s="140"/>
      <c r="T23" s="140"/>
      <c r="U23" s="211"/>
      <c r="V23" s="140"/>
      <c r="W23" s="140"/>
      <c r="X23" s="140"/>
      <c r="Y23" s="140" t="s">
        <v>129</v>
      </c>
      <c r="Z23" s="140" t="n">
        <v>1705000</v>
      </c>
      <c r="AA23" s="140"/>
      <c r="AB23" s="140"/>
      <c r="AC23" s="140"/>
      <c r="AD23" s="140"/>
      <c r="AE23" s="140"/>
      <c r="AF23" s="140"/>
      <c r="AG23" s="140"/>
      <c r="AH23" s="140"/>
      <c r="AI23" s="140"/>
      <c r="AJ23" s="140"/>
      <c r="AK23" s="140"/>
      <c r="AL23" s="140"/>
    </row>
    <row r="24" s="175" customFormat="true" ht="15" hidden="false" customHeight="true" outlineLevel="0" collapsed="false">
      <c r="A24" s="53"/>
      <c r="B24" s="53"/>
      <c r="C24" s="138"/>
      <c r="D24" s="198"/>
      <c r="E24" s="199"/>
      <c r="F24" s="204"/>
      <c r="G24" s="216"/>
      <c r="H24" s="134"/>
      <c r="I24" s="785"/>
      <c r="J24" s="204"/>
      <c r="K24" s="159"/>
      <c r="L24" s="160"/>
      <c r="M24" s="207" t="s">
        <v>130</v>
      </c>
      <c r="N24" s="140"/>
      <c r="O24" s="140"/>
      <c r="P24" s="140"/>
      <c r="Q24" s="140"/>
      <c r="R24" s="140"/>
      <c r="S24" s="140"/>
      <c r="T24" s="140"/>
      <c r="U24" s="211"/>
      <c r="V24" s="140"/>
      <c r="W24" s="140"/>
      <c r="X24" s="140"/>
      <c r="Y24" s="140"/>
      <c r="Z24" s="140"/>
      <c r="AA24" s="140"/>
      <c r="AB24" s="140"/>
      <c r="AC24" s="140"/>
      <c r="AD24" s="140"/>
      <c r="AE24" s="140"/>
      <c r="AF24" s="140"/>
      <c r="AG24" s="140"/>
      <c r="AH24" s="140"/>
      <c r="AI24" s="140"/>
      <c r="AJ24" s="140"/>
      <c r="AK24" s="140"/>
      <c r="AL24" s="140"/>
    </row>
    <row r="25" s="175" customFormat="true" ht="15" hidden="false" customHeight="true" outlineLevel="0" collapsed="false">
      <c r="A25" s="53"/>
      <c r="B25" s="53"/>
      <c r="C25" s="138"/>
      <c r="D25" s="198"/>
      <c r="E25" s="199"/>
      <c r="F25" s="204"/>
      <c r="G25" s="159"/>
      <c r="H25" s="160"/>
      <c r="I25" s="161" t="s">
        <v>133</v>
      </c>
      <c r="J25" s="160"/>
      <c r="K25" s="160"/>
      <c r="L25" s="160"/>
      <c r="M25" s="214"/>
      <c r="N25" s="140"/>
      <c r="O25" s="140"/>
      <c r="P25" s="140"/>
      <c r="Q25" s="140"/>
      <c r="R25" s="140"/>
      <c r="S25" s="140"/>
      <c r="T25" s="140"/>
      <c r="U25" s="211"/>
      <c r="V25" s="140"/>
      <c r="W25" s="140"/>
      <c r="X25" s="140"/>
      <c r="Y25" s="140"/>
      <c r="Z25" s="140"/>
      <c r="AA25" s="140"/>
      <c r="AB25" s="140"/>
      <c r="AC25" s="140"/>
      <c r="AD25" s="140"/>
      <c r="AE25" s="140"/>
      <c r="AF25" s="140"/>
      <c r="AG25" s="140"/>
      <c r="AH25" s="140"/>
      <c r="AI25" s="140"/>
      <c r="AJ25" s="140"/>
      <c r="AK25" s="140"/>
      <c r="AL25" s="140"/>
    </row>
    <row r="26" s="53" customFormat="true" ht="15" hidden="false" customHeight="true" outlineLevel="0" collapsed="false">
      <c r="U26" s="1090"/>
    </row>
    <row r="27" s="53" customFormat="true" ht="15" hidden="false" customHeight="true" outlineLevel="0" collapsed="false">
      <c r="A27" s="1085" t="s">
        <v>2044</v>
      </c>
      <c r="B27" s="1085"/>
      <c r="C27" s="1085"/>
      <c r="D27" s="1085"/>
      <c r="E27" s="1085"/>
      <c r="F27" s="1085"/>
      <c r="G27" s="1085"/>
      <c r="H27" s="1085"/>
      <c r="I27" s="1085"/>
      <c r="J27" s="1085"/>
      <c r="K27" s="1085"/>
      <c r="L27" s="1085"/>
      <c r="M27" s="1085"/>
      <c r="N27" s="1085"/>
      <c r="O27" s="1085"/>
      <c r="P27" s="1085"/>
      <c r="Q27" s="1085"/>
      <c r="R27" s="1085"/>
      <c r="S27" s="1085"/>
      <c r="T27" s="1085"/>
      <c r="U27" s="1089"/>
      <c r="V27" s="1085"/>
      <c r="W27" s="1085"/>
    </row>
    <row r="28" s="53" customFormat="true" ht="15" hidden="false" customHeight="true" outlineLevel="0" collapsed="false">
      <c r="U28" s="1090"/>
    </row>
    <row r="29" s="175" customFormat="true" ht="15" hidden="false" customHeight="true" outlineLevel="0" collapsed="false">
      <c r="A29" s="53"/>
      <c r="B29" s="53"/>
      <c r="C29" s="138"/>
      <c r="D29" s="1091"/>
      <c r="E29" s="1091"/>
      <c r="F29" s="1091"/>
      <c r="G29" s="208" t="s">
        <v>103</v>
      </c>
      <c r="H29" s="209" t="n">
        <v>1</v>
      </c>
      <c r="I29" s="203" t="str">
        <f aca="false">IF(U29="","",INDEX(TERRITORY_MR_LIST,MATCH(U29,TERRITORY_LIST_ID,0)))</f>
        <v/>
      </c>
      <c r="J29" s="204" t="s">
        <v>19</v>
      </c>
      <c r="K29" s="210"/>
      <c r="L29" s="198" t="s">
        <v>120</v>
      </c>
      <c r="M29" s="206"/>
      <c r="N29" s="140"/>
      <c r="O29" s="140"/>
      <c r="P29" s="140"/>
      <c r="Q29" s="140"/>
      <c r="R29" s="140"/>
      <c r="S29" s="140"/>
      <c r="T29" s="140"/>
      <c r="U29" s="211"/>
      <c r="V29" s="140"/>
      <c r="W29" s="140"/>
      <c r="X29" s="140"/>
      <c r="Y29" s="140" t="s">
        <v>129</v>
      </c>
      <c r="Z29" s="140" t="n">
        <v>1705000</v>
      </c>
      <c r="AA29" s="140"/>
      <c r="AB29" s="140"/>
      <c r="AC29" s="140"/>
      <c r="AD29" s="140"/>
      <c r="AE29" s="140"/>
      <c r="AF29" s="140"/>
      <c r="AG29" s="140"/>
      <c r="AH29" s="140"/>
      <c r="AI29" s="140"/>
      <c r="AJ29" s="140"/>
      <c r="AK29" s="140"/>
      <c r="AL29" s="140"/>
    </row>
    <row r="30" s="175" customFormat="true" ht="15" hidden="false" customHeight="true" outlineLevel="0" collapsed="false">
      <c r="A30" s="53"/>
      <c r="B30" s="53"/>
      <c r="C30" s="138"/>
      <c r="D30" s="1091"/>
      <c r="E30" s="1091"/>
      <c r="F30" s="1091"/>
      <c r="G30" s="208"/>
      <c r="H30" s="209"/>
      <c r="I30" s="203"/>
      <c r="J30" s="204"/>
      <c r="K30" s="159"/>
      <c r="L30" s="160"/>
      <c r="M30" s="207" t="s">
        <v>130</v>
      </c>
      <c r="N30" s="140"/>
      <c r="O30" s="140"/>
      <c r="P30" s="140"/>
      <c r="Q30" s="140"/>
      <c r="R30" s="140"/>
      <c r="S30" s="140"/>
      <c r="T30" s="140"/>
      <c r="U30" s="211"/>
      <c r="V30" s="140"/>
      <c r="W30" s="140"/>
      <c r="X30" s="140"/>
      <c r="Y30" s="140"/>
      <c r="Z30" s="140"/>
      <c r="AA30" s="140"/>
      <c r="AB30" s="140"/>
      <c r="AC30" s="140"/>
      <c r="AD30" s="140"/>
      <c r="AE30" s="140"/>
      <c r="AF30" s="140"/>
      <c r="AG30" s="140"/>
      <c r="AH30" s="140"/>
      <c r="AI30" s="140"/>
      <c r="AJ30" s="140"/>
      <c r="AK30" s="140"/>
      <c r="AL30" s="140"/>
    </row>
    <row r="31" s="53" customFormat="true" ht="15" hidden="false" customHeight="true" outlineLevel="0" collapsed="false">
      <c r="U31" s="1090"/>
    </row>
    <row r="32" s="53" customFormat="true" ht="15" hidden="false" customHeight="true" outlineLevel="0" collapsed="false">
      <c r="A32" s="1085" t="s">
        <v>2045</v>
      </c>
      <c r="B32" s="1085"/>
      <c r="C32" s="1085"/>
      <c r="D32" s="1085"/>
      <c r="E32" s="1085"/>
      <c r="F32" s="1085"/>
      <c r="G32" s="1085"/>
      <c r="H32" s="1085"/>
      <c r="I32" s="1085"/>
      <c r="J32" s="1085"/>
      <c r="K32" s="1085"/>
      <c r="L32" s="1085"/>
      <c r="M32" s="1085"/>
      <c r="N32" s="1085"/>
      <c r="O32" s="1085"/>
      <c r="P32" s="1085"/>
      <c r="Q32" s="1085"/>
      <c r="R32" s="1085"/>
      <c r="S32" s="1085"/>
      <c r="T32" s="1085"/>
      <c r="U32" s="1089"/>
      <c r="V32" s="1085"/>
      <c r="W32" s="1085"/>
    </row>
    <row r="33" s="53" customFormat="true" ht="15" hidden="false" customHeight="true" outlineLevel="0" collapsed="false">
      <c r="U33" s="1090"/>
    </row>
    <row r="34" s="175" customFormat="true" ht="15" hidden="false" customHeight="true" outlineLevel="0" collapsed="false">
      <c r="A34" s="53"/>
      <c r="B34" s="53"/>
      <c r="C34" s="138"/>
      <c r="D34" s="1091"/>
      <c r="E34" s="1091"/>
      <c r="F34" s="1091"/>
      <c r="G34" s="1091"/>
      <c r="H34" s="1091"/>
      <c r="I34" s="1091"/>
      <c r="J34" s="1091"/>
      <c r="K34" s="208" t="s">
        <v>103</v>
      </c>
      <c r="L34" s="811" t="s">
        <v>120</v>
      </c>
      <c r="M34" s="330"/>
      <c r="N34" s="188"/>
      <c r="O34" s="140"/>
      <c r="P34" s="140"/>
      <c r="Q34" s="140"/>
      <c r="R34" s="140"/>
      <c r="S34" s="140"/>
      <c r="T34" s="140"/>
      <c r="U34" s="211"/>
      <c r="V34" s="140"/>
      <c r="W34" s="140"/>
      <c r="X34" s="140"/>
      <c r="Y34" s="140" t="s">
        <v>129</v>
      </c>
      <c r="Z34" s="140" t="n">
        <v>1705000</v>
      </c>
      <c r="AA34" s="140"/>
      <c r="AB34" s="140"/>
      <c r="AC34" s="140"/>
      <c r="AD34" s="140"/>
      <c r="AE34" s="140"/>
      <c r="AF34" s="140"/>
      <c r="AG34" s="140"/>
      <c r="AH34" s="140"/>
      <c r="AI34" s="140"/>
      <c r="AJ34" s="140"/>
      <c r="AK34" s="140"/>
      <c r="AL34" s="140"/>
    </row>
    <row r="35" s="53" customFormat="true" ht="15" hidden="false" customHeight="true" outlineLevel="0" collapsed="false">
      <c r="U35" s="1090"/>
    </row>
    <row r="36" s="53" customFormat="true" ht="15" hidden="false" customHeight="true" outlineLevel="0" collapsed="false">
      <c r="U36" s="1090"/>
    </row>
    <row r="37" s="1085" customFormat="true" ht="11.25" hidden="false" customHeight="true" outlineLevel="0" collapsed="false">
      <c r="A37" s="1085" t="s">
        <v>2046</v>
      </c>
    </row>
    <row r="38" customFormat="false" ht="11.25" hidden="false" customHeight="true" outlineLevel="0" collapsed="false"/>
    <row r="39" s="286" customFormat="true" ht="22.5" hidden="false" customHeight="true" outlineLevel="0" collapsed="false">
      <c r="A39" s="309"/>
      <c r="B39" s="80"/>
      <c r="C39" s="1092"/>
      <c r="D39" s="312"/>
      <c r="E39" s="330"/>
      <c r="F39" s="337"/>
      <c r="G39" s="1091"/>
      <c r="H39" s="302"/>
    </row>
    <row r="40" customFormat="false" ht="11.25" hidden="false" customHeight="true" outlineLevel="0" collapsed="false"/>
    <row r="41" s="1085" customFormat="true" ht="11.25" hidden="false" customHeight="true" outlineLevel="0" collapsed="false">
      <c r="A41" s="1085" t="s">
        <v>2047</v>
      </c>
    </row>
    <row r="42" customFormat="false" ht="11.25" hidden="false" customHeight="true" outlineLevel="0" collapsed="false"/>
    <row r="43" s="286" customFormat="true" ht="22.5" hidden="false" customHeight="true" outlineLevel="0" collapsed="false">
      <c r="A43" s="80"/>
      <c r="B43" s="80"/>
      <c r="C43" s="80"/>
      <c r="D43" s="312"/>
      <c r="E43" s="330"/>
      <c r="F43" s="331"/>
      <c r="G43" s="1091"/>
      <c r="H43" s="302"/>
    </row>
    <row r="44" customFormat="false" ht="11.25" hidden="false" customHeight="true" outlineLevel="0" collapsed="false"/>
    <row r="45" s="1085" customFormat="true" ht="11.25" hidden="false" customHeight="true" outlineLevel="0" collapsed="false">
      <c r="A45" s="1085" t="s">
        <v>2048</v>
      </c>
    </row>
    <row r="46" customFormat="false" ht="11.25" hidden="false" customHeight="true" outlineLevel="0" collapsed="false"/>
    <row r="47" s="286" customFormat="true" ht="24" hidden="false" customHeight="true" outlineLevel="0" collapsed="false">
      <c r="A47" s="309" t="s">
        <v>326</v>
      </c>
      <c r="B47" s="293"/>
      <c r="C47" s="310"/>
      <c r="D47" s="303" t="str">
        <f aca="false">A47</f>
        <v>5.1</v>
      </c>
      <c r="E47" s="306" t="s">
        <v>327</v>
      </c>
      <c r="F47" s="185" t="s">
        <v>319</v>
      </c>
      <c r="G47" s="304" t="s">
        <v>328</v>
      </c>
      <c r="H47" s="302"/>
      <c r="I47" s="311"/>
    </row>
    <row r="48" s="286" customFormat="true" ht="22.5" hidden="false" customHeight="true" outlineLevel="0" collapsed="false">
      <c r="A48" s="309"/>
      <c r="B48" s="293"/>
      <c r="C48" s="310"/>
      <c r="D48" s="312" t="str">
        <f aca="false">D47&amp;".1"</f>
        <v>5.1.1</v>
      </c>
      <c r="E48" s="313" t="s">
        <v>329</v>
      </c>
      <c r="F48" s="307"/>
      <c r="G48" s="305"/>
      <c r="H48" s="302"/>
      <c r="I48" s="311"/>
    </row>
    <row r="49" s="286" customFormat="true" ht="22.5" hidden="false" customHeight="true" outlineLevel="0" collapsed="false">
      <c r="A49" s="309"/>
      <c r="B49" s="293"/>
      <c r="C49" s="310"/>
      <c r="D49" s="312" t="str">
        <f aca="false">D47&amp;".2"</f>
        <v>5.1.2</v>
      </c>
      <c r="E49" s="313" t="s">
        <v>330</v>
      </c>
      <c r="F49" s="78"/>
      <c r="G49" s="304" t="s">
        <v>331</v>
      </c>
      <c r="H49" s="302"/>
      <c r="I49" s="311"/>
    </row>
    <row r="50" s="286" customFormat="true" ht="22.5" hidden="false" customHeight="true" outlineLevel="0" collapsed="false">
      <c r="A50" s="309"/>
      <c r="B50" s="293"/>
      <c r="C50" s="310"/>
      <c r="D50" s="312" t="str">
        <f aca="false">D47&amp;".3"</f>
        <v>5.1.3</v>
      </c>
      <c r="E50" s="313" t="s">
        <v>332</v>
      </c>
      <c r="F50" s="307"/>
      <c r="G50" s="305"/>
      <c r="H50" s="302"/>
      <c r="I50" s="311"/>
    </row>
    <row r="51" s="286" customFormat="true" ht="22.5" hidden="false" customHeight="true" outlineLevel="0" collapsed="false">
      <c r="A51" s="309"/>
      <c r="B51" s="293"/>
      <c r="C51" s="310"/>
      <c r="D51" s="312" t="str">
        <f aca="false">D47&amp;".4"</f>
        <v>5.1.4</v>
      </c>
      <c r="E51" s="313" t="s">
        <v>333</v>
      </c>
      <c r="F51" s="307"/>
      <c r="G51" s="304" t="s">
        <v>334</v>
      </c>
      <c r="H51" s="302"/>
      <c r="I51" s="311"/>
    </row>
    <row r="54" s="1085" customFormat="true" ht="17.25" hidden="false" customHeight="true" outlineLevel="0" collapsed="false">
      <c r="A54" s="1085" t="s">
        <v>2049</v>
      </c>
    </row>
    <row r="56" s="58" customFormat="true" ht="18.75" hidden="false" customHeight="true" outlineLevel="0" collapsed="false">
      <c r="A56" s="53"/>
      <c r="B56" s="132"/>
      <c r="C56" s="132"/>
      <c r="D56" s="399"/>
      <c r="E56" s="563"/>
      <c r="F56" s="1093" t="n">
        <v>13</v>
      </c>
      <c r="G56" s="1094"/>
      <c r="H56" s="153"/>
      <c r="I56" s="154"/>
      <c r="J56" s="402" t="s">
        <v>61</v>
      </c>
      <c r="K56" s="1095"/>
      <c r="L56" s="53"/>
      <c r="M56" s="47"/>
      <c r="N56" s="47"/>
      <c r="O56" s="47"/>
      <c r="P56" s="46" t="s">
        <v>405</v>
      </c>
      <c r="Q56" s="46" t="s">
        <v>406</v>
      </c>
      <c r="R56" s="398" t="s">
        <v>407</v>
      </c>
      <c r="S56" s="47" t="s">
        <v>408</v>
      </c>
      <c r="T56" s="47"/>
      <c r="U56" s="47"/>
      <c r="V56" s="47"/>
    </row>
    <row r="58" s="1085" customFormat="true" ht="11.25" hidden="false" customHeight="true" outlineLevel="0" collapsed="false">
      <c r="A58" s="1085" t="s">
        <v>2050</v>
      </c>
    </row>
    <row r="60" s="42" customFormat="true" ht="14.25" hidden="false" customHeight="true" outlineLevel="0" collapsed="false">
      <c r="C60" s="329"/>
      <c r="D60" s="368"/>
      <c r="E60" s="326"/>
      <c r="F60" s="369"/>
      <c r="G60" s="370"/>
      <c r="H60" s="371"/>
      <c r="I60" s="371"/>
      <c r="J60" s="372"/>
      <c r="K60" s="373"/>
      <c r="L60" s="374"/>
      <c r="M60" s="373"/>
      <c r="N60" s="372"/>
      <c r="O60" s="373"/>
      <c r="P60" s="372"/>
      <c r="Q60" s="373"/>
      <c r="R60" s="372"/>
      <c r="S60" s="375"/>
      <c r="T60" s="371"/>
      <c r="U60" s="372"/>
      <c r="V60" s="372"/>
      <c r="W60" s="360"/>
      <c r="X60" s="371"/>
      <c r="Y60" s="372"/>
      <c r="Z60" s="372"/>
      <c r="AA60" s="360"/>
      <c r="AB60" s="371"/>
      <c r="AC60" s="372"/>
      <c r="AD60" s="360"/>
      <c r="AE60" s="53"/>
      <c r="AF60" s="53"/>
      <c r="AG60" s="53"/>
      <c r="AH60" s="53"/>
      <c r="AJ60" s="47"/>
      <c r="AK60" s="47"/>
      <c r="AL60" s="47"/>
      <c r="AM60" s="47"/>
      <c r="AN60" s="47"/>
      <c r="AO60" s="47"/>
      <c r="AP60" s="118" t="s">
        <v>394</v>
      </c>
      <c r="AQ60" s="118" t="s">
        <v>394</v>
      </c>
      <c r="AR60" s="47"/>
      <c r="AS60" s="47"/>
    </row>
    <row r="62" s="1085" customFormat="true" ht="11.25" hidden="false" customHeight="true" outlineLevel="0" collapsed="false">
      <c r="A62" s="1085" t="s">
        <v>2051</v>
      </c>
    </row>
    <row r="64" s="132" customFormat="true" ht="15" hidden="false" customHeight="true" outlineLevel="0" collapsed="false">
      <c r="A64" s="54" t="s">
        <v>89</v>
      </c>
      <c r="C64" s="277"/>
      <c r="D64" s="198"/>
      <c r="E64" s="333"/>
      <c r="F64" s="333"/>
      <c r="G64" s="438"/>
      <c r="H64" s="1095"/>
      <c r="I64" s="1096"/>
      <c r="K64" s="1070"/>
      <c r="L64" s="156"/>
    </row>
    <row r="66" s="1085" customFormat="true" ht="11.25" hidden="false" customHeight="true" outlineLevel="0" collapsed="false">
      <c r="A66" s="1085" t="s">
        <v>2052</v>
      </c>
    </row>
    <row r="68" s="42" customFormat="true" ht="14.25" hidden="false" customHeight="true" outlineLevel="0" collapsed="false">
      <c r="A68" s="132"/>
      <c r="B68" s="45"/>
      <c r="C68" s="464"/>
      <c r="D68" s="295"/>
      <c r="E68" s="1097"/>
      <c r="F68" s="1095"/>
      <c r="G68" s="53"/>
      <c r="I68" s="118"/>
      <c r="J68" s="118"/>
    </row>
    <row r="70" s="1085" customFormat="true" ht="11.25" hidden="false" customHeight="true" outlineLevel="0" collapsed="false">
      <c r="A70" s="1085" t="s">
        <v>2053</v>
      </c>
    </row>
    <row r="72" s="42" customFormat="true" ht="27" hidden="false" customHeight="true" outlineLevel="0" collapsed="false">
      <c r="A72" s="113"/>
      <c r="B72" s="113"/>
      <c r="C72" s="113"/>
      <c r="D72" s="45"/>
      <c r="E72" s="1098"/>
      <c r="F72" s="786"/>
      <c r="G72" s="787"/>
      <c r="H72" s="788" t="s">
        <v>61</v>
      </c>
      <c r="I72" s="789"/>
      <c r="J72" s="790"/>
      <c r="K72" s="791"/>
      <c r="L72" s="792"/>
      <c r="M72" s="792"/>
      <c r="N72" s="793"/>
      <c r="O72" s="793"/>
      <c r="P72" s="794" t="e">
        <f aca="false">DATEDIF(DATEVALUE(N72),DATEVALUE(O72),"y")&amp;"г. "&amp;DATEDIF(DATEVALUE(N72),DATEVALUE(O72),"ym")&amp;"мес. "&amp;DATEVALUE(O72)-DATE(YEAR(DATEVALUE(O72)),MONTH(DATEVALUE(O72)),1)&amp;"дн. "</f>
        <v>#VALUE!</v>
      </c>
      <c r="Q72" s="795"/>
      <c r="R72" s="795"/>
      <c r="S72" s="795"/>
      <c r="T72" s="790"/>
      <c r="U72" s="795"/>
      <c r="V72" s="795"/>
      <c r="W72" s="795"/>
      <c r="X72" s="790"/>
      <c r="Y72" s="788" t="s">
        <v>61</v>
      </c>
      <c r="Z72" s="263"/>
      <c r="AA72" s="146" t="n">
        <v>1</v>
      </c>
      <c r="AB72" s="1099"/>
      <c r="AD72" s="47" t="s">
        <v>2054</v>
      </c>
    </row>
    <row r="73" s="42" customFormat="true" ht="10.5" hidden="false" customHeight="true" outlineLevel="0" collapsed="false">
      <c r="A73" s="113"/>
      <c r="B73" s="113"/>
      <c r="C73" s="113"/>
      <c r="D73" s="45"/>
      <c r="E73" s="1100"/>
      <c r="F73" s="786"/>
      <c r="G73" s="787"/>
      <c r="H73" s="788"/>
      <c r="I73" s="789"/>
      <c r="J73" s="790"/>
      <c r="K73" s="791"/>
      <c r="L73" s="792"/>
      <c r="M73" s="792"/>
      <c r="N73" s="793"/>
      <c r="O73" s="793"/>
      <c r="P73" s="794"/>
      <c r="Q73" s="795"/>
      <c r="R73" s="795"/>
      <c r="S73" s="795"/>
      <c r="T73" s="790"/>
      <c r="U73" s="795"/>
      <c r="V73" s="795"/>
      <c r="W73" s="795"/>
      <c r="X73" s="790"/>
      <c r="Y73" s="788"/>
      <c r="Z73" s="727"/>
      <c r="AA73" s="634"/>
      <c r="AB73" s="207" t="s">
        <v>1027</v>
      </c>
    </row>
    <row r="75" s="1085" customFormat="true" ht="11.25" hidden="false" customHeight="true" outlineLevel="0" collapsed="false">
      <c r="A75" s="1085" t="s">
        <v>2055</v>
      </c>
    </row>
    <row r="77" s="42" customFormat="true" ht="27" hidden="false" customHeight="true" outlineLevel="0" collapsed="false">
      <c r="A77" s="113"/>
      <c r="B77" s="113"/>
      <c r="C77" s="113"/>
      <c r="D77" s="45"/>
      <c r="E77" s="1098"/>
      <c r="F77" s="1101"/>
      <c r="G77" s="1102"/>
      <c r="H77" s="1103"/>
      <c r="I77" s="1104"/>
      <c r="J77" s="1105"/>
      <c r="K77" s="1106"/>
      <c r="L77" s="1107"/>
      <c r="M77" s="1107"/>
      <c r="N77" s="1108"/>
      <c r="O77" s="1108"/>
      <c r="P77" s="1109"/>
      <c r="Q77" s="1110"/>
      <c r="R77" s="1110"/>
      <c r="S77" s="1110"/>
      <c r="T77" s="1105"/>
      <c r="U77" s="1110"/>
      <c r="V77" s="1110"/>
      <c r="W77" s="1110"/>
      <c r="X77" s="1105"/>
      <c r="Y77" s="1103"/>
      <c r="Z77" s="263"/>
      <c r="AA77" s="146" t="n">
        <v>1</v>
      </c>
      <c r="AB77" s="1099"/>
      <c r="AD77" s="47" t="s">
        <v>2054</v>
      </c>
    </row>
    <row r="79" s="1085" customFormat="true" ht="11.25" hidden="false" customHeight="true" outlineLevel="0" collapsed="false">
      <c r="A79" s="1085" t="s">
        <v>2056</v>
      </c>
    </row>
    <row r="80" customFormat="false" ht="17.25" hidden="false" customHeight="true" outlineLevel="0" collapsed="false"/>
    <row r="81" s="42" customFormat="true" ht="21" hidden="false" customHeight="true" outlineLevel="0" collapsed="false">
      <c r="A81" s="456"/>
      <c r="B81" s="113"/>
      <c r="C81" s="113"/>
      <c r="D81" s="45"/>
      <c r="E81" s="80"/>
      <c r="F81" s="803" t="e">
        <f aca="false">INDEX(IP_MAIN_LIST_NAME_IP,MATCH(A81,IP_MAIN_LIST_IP_ID,0))&amp;" ("&amp;INDEX(IP_MAIN_START_DATE,MATCH(A81,IP_MAIN_LIST_IP_ID,0))&amp;"-"&amp;INDEX(IP_MAIN_END_DATE,MATCH(A81,IP_MAIN_LIST_IP_ID,0))&amp;")"</f>
        <v>#N/A</v>
      </c>
      <c r="G81" s="804"/>
      <c r="H81" s="804"/>
      <c r="I81" s="805"/>
      <c r="J81" s="805"/>
      <c r="K81" s="806"/>
      <c r="L81" s="806"/>
      <c r="M81" s="806"/>
      <c r="N81" s="807"/>
      <c r="O81" s="807"/>
      <c r="P81" s="807"/>
      <c r="Q81" s="807"/>
      <c r="R81" s="807"/>
      <c r="S81" s="807"/>
      <c r="T81" s="807"/>
      <c r="U81" s="807"/>
      <c r="V81" s="807"/>
      <c r="W81" s="807"/>
      <c r="X81" s="807"/>
      <c r="Y81" s="807"/>
      <c r="Z81" s="807"/>
      <c r="AA81" s="807"/>
      <c r="AB81" s="807"/>
      <c r="AC81" s="807"/>
      <c r="AD81" s="807"/>
      <c r="AE81" s="808"/>
      <c r="AF81" s="806"/>
      <c r="AG81" s="806"/>
      <c r="AH81" s="806"/>
      <c r="AI81" s="806"/>
      <c r="AJ81" s="806"/>
      <c r="AK81" s="806"/>
      <c r="AL81" s="809"/>
      <c r="AM81" s="132"/>
      <c r="AN81" s="132"/>
      <c r="AO81" s="132"/>
      <c r="AP81" s="132"/>
      <c r="AQ81" s="132"/>
      <c r="AR81" s="132"/>
      <c r="AS81" s="132"/>
      <c r="AT81" s="132"/>
      <c r="AU81" s="132"/>
      <c r="AV81" s="132"/>
      <c r="AW81" s="132"/>
      <c r="AX81" s="132"/>
      <c r="AY81" s="132"/>
      <c r="AZ81" s="132"/>
      <c r="BA81" s="132"/>
      <c r="BB81" s="132"/>
      <c r="BC81" s="132"/>
      <c r="BD81" s="132"/>
      <c r="BE81" s="132"/>
      <c r="BF81" s="132"/>
    </row>
    <row r="82" s="42" customFormat="true" ht="0.75" hidden="false" customHeight="true" outlineLevel="0" collapsed="false">
      <c r="A82" s="113"/>
      <c r="B82" s="113"/>
      <c r="C82" s="113"/>
      <c r="D82" s="45"/>
      <c r="E82" s="80"/>
      <c r="F82" s="810"/>
      <c r="G82" s="811"/>
      <c r="H82" s="812" t="s">
        <v>389</v>
      </c>
      <c r="I82" s="813"/>
      <c r="J82" s="149"/>
      <c r="K82" s="149"/>
      <c r="L82" s="814"/>
      <c r="M82" s="461"/>
      <c r="N82" s="815"/>
      <c r="O82" s="816"/>
      <c r="P82" s="815"/>
      <c r="Q82" s="815"/>
      <c r="R82" s="815"/>
      <c r="S82" s="815"/>
      <c r="T82" s="815"/>
      <c r="U82" s="815"/>
      <c r="V82" s="815"/>
      <c r="W82" s="815"/>
      <c r="X82" s="815"/>
      <c r="Y82" s="815"/>
      <c r="Z82" s="815"/>
      <c r="AA82" s="815"/>
      <c r="AB82" s="815"/>
      <c r="AC82" s="815"/>
      <c r="AD82" s="815"/>
      <c r="AE82" s="815"/>
      <c r="AF82" s="817"/>
      <c r="AG82" s="814"/>
      <c r="AH82" s="814"/>
      <c r="AI82" s="817"/>
      <c r="AJ82" s="814"/>
      <c r="AK82" s="814"/>
      <c r="AL82" s="809"/>
      <c r="AM82" s="132"/>
      <c r="AN82" s="132"/>
      <c r="AO82" s="132"/>
      <c r="AP82" s="132"/>
      <c r="AQ82" s="132"/>
      <c r="AR82" s="132"/>
      <c r="AS82" s="132"/>
      <c r="AT82" s="132"/>
      <c r="AU82" s="132"/>
      <c r="AV82" s="132"/>
      <c r="AW82" s="132"/>
      <c r="AX82" s="132"/>
      <c r="AY82" s="132"/>
      <c r="AZ82" s="132"/>
      <c r="BA82" s="132"/>
      <c r="BB82" s="132"/>
      <c r="BC82" s="132"/>
      <c r="BD82" s="132"/>
      <c r="BE82" s="132"/>
      <c r="BF82" s="132"/>
    </row>
    <row r="83" s="42" customFormat="true" ht="0.75" hidden="false" customHeight="true" outlineLevel="0" collapsed="false">
      <c r="A83" s="113"/>
      <c r="B83" s="113"/>
      <c r="C83" s="113"/>
      <c r="D83" s="45"/>
      <c r="E83" s="80"/>
      <c r="F83" s="810"/>
      <c r="G83" s="811"/>
      <c r="H83" s="812"/>
      <c r="I83" s="813"/>
      <c r="J83" s="149"/>
      <c r="K83" s="149"/>
      <c r="L83" s="814"/>
      <c r="M83" s="461"/>
      <c r="N83" s="818"/>
      <c r="O83" s="819"/>
      <c r="P83" s="820"/>
      <c r="Q83" s="149"/>
      <c r="R83" s="149"/>
      <c r="S83" s="149"/>
      <c r="T83" s="149"/>
      <c r="U83" s="149"/>
      <c r="V83" s="149"/>
      <c r="W83" s="149"/>
      <c r="X83" s="149"/>
      <c r="Y83" s="149"/>
      <c r="Z83" s="821"/>
      <c r="AA83" s="822"/>
      <c r="AB83" s="822"/>
      <c r="AC83" s="823"/>
      <c r="AD83" s="823"/>
      <c r="AE83" s="824"/>
      <c r="AF83" s="817"/>
      <c r="AG83" s="814"/>
      <c r="AH83" s="814"/>
      <c r="AI83" s="817"/>
      <c r="AJ83" s="814"/>
      <c r="AK83" s="814"/>
      <c r="AL83" s="809"/>
      <c r="AM83" s="132"/>
      <c r="AN83" s="132"/>
      <c r="AO83" s="132"/>
      <c r="AP83" s="132"/>
      <c r="AQ83" s="132"/>
      <c r="AR83" s="132"/>
      <c r="AS83" s="132"/>
      <c r="AT83" s="132"/>
      <c r="AU83" s="132"/>
      <c r="AV83" s="132"/>
      <c r="AW83" s="132"/>
      <c r="AX83" s="132"/>
      <c r="AY83" s="132"/>
      <c r="AZ83" s="132"/>
      <c r="BA83" s="132"/>
      <c r="BB83" s="132"/>
      <c r="BC83" s="132"/>
      <c r="BD83" s="132"/>
      <c r="BE83" s="132"/>
      <c r="BF83" s="132"/>
    </row>
    <row r="84" s="42" customFormat="true" ht="0.75" hidden="false" customHeight="true" outlineLevel="0" collapsed="false">
      <c r="A84" s="113"/>
      <c r="B84" s="113"/>
      <c r="C84" s="113"/>
      <c r="D84" s="45"/>
      <c r="E84" s="80"/>
      <c r="F84" s="810"/>
      <c r="G84" s="811"/>
      <c r="H84" s="812"/>
      <c r="I84" s="813"/>
      <c r="J84" s="149"/>
      <c r="K84" s="149"/>
      <c r="L84" s="814"/>
      <c r="M84" s="461"/>
      <c r="N84" s="818"/>
      <c r="O84" s="819"/>
      <c r="P84" s="820"/>
      <c r="Q84" s="149"/>
      <c r="R84" s="149"/>
      <c r="S84" s="149"/>
      <c r="T84" s="149"/>
      <c r="U84" s="149"/>
      <c r="V84" s="149"/>
      <c r="W84" s="149"/>
      <c r="X84" s="149"/>
      <c r="Y84" s="149"/>
      <c r="Z84" s="825"/>
      <c r="AA84" s="819"/>
      <c r="AB84" s="826"/>
      <c r="AC84" s="827"/>
      <c r="AD84" s="826"/>
      <c r="AE84" s="827"/>
      <c r="AF84" s="817"/>
      <c r="AG84" s="814"/>
      <c r="AH84" s="814"/>
      <c r="AI84" s="817"/>
      <c r="AJ84" s="814"/>
      <c r="AK84" s="814"/>
      <c r="AL84" s="809"/>
      <c r="AM84" s="132"/>
      <c r="AN84" s="132"/>
      <c r="AO84" s="132"/>
      <c r="AP84" s="132"/>
      <c r="AQ84" s="132"/>
      <c r="AR84" s="132"/>
      <c r="AS84" s="132"/>
      <c r="AT84" s="132"/>
      <c r="AU84" s="132"/>
      <c r="AV84" s="132"/>
      <c r="AW84" s="132"/>
      <c r="AX84" s="132"/>
      <c r="AY84" s="132"/>
      <c r="AZ84" s="132"/>
      <c r="BA84" s="132"/>
      <c r="BB84" s="132"/>
      <c r="BC84" s="132"/>
      <c r="BD84" s="132"/>
      <c r="BE84" s="132"/>
      <c r="BF84" s="132"/>
    </row>
    <row r="85" s="42" customFormat="true" ht="0.75" hidden="false" customHeight="true" outlineLevel="0" collapsed="false">
      <c r="A85" s="113"/>
      <c r="B85" s="113"/>
      <c r="C85" s="113"/>
      <c r="D85" s="45"/>
      <c r="E85" s="80"/>
      <c r="F85" s="810"/>
      <c r="G85" s="811"/>
      <c r="H85" s="812"/>
      <c r="I85" s="813"/>
      <c r="J85" s="149"/>
      <c r="K85" s="149"/>
      <c r="L85" s="814"/>
      <c r="M85" s="461"/>
      <c r="N85" s="818"/>
      <c r="O85" s="819"/>
      <c r="P85" s="820"/>
      <c r="Q85" s="149"/>
      <c r="R85" s="149"/>
      <c r="S85" s="149"/>
      <c r="T85" s="149"/>
      <c r="U85" s="149"/>
      <c r="V85" s="149"/>
      <c r="W85" s="149"/>
      <c r="X85" s="149"/>
      <c r="Y85" s="149"/>
      <c r="Z85" s="821"/>
      <c r="AA85" s="822"/>
      <c r="AB85" s="828"/>
      <c r="AC85" s="823"/>
      <c r="AD85" s="823"/>
      <c r="AE85" s="829"/>
      <c r="AF85" s="817"/>
      <c r="AG85" s="814"/>
      <c r="AH85" s="814"/>
      <c r="AI85" s="817"/>
      <c r="AJ85" s="814"/>
      <c r="AK85" s="814"/>
      <c r="AL85" s="809"/>
      <c r="AM85" s="132"/>
      <c r="AN85" s="132"/>
      <c r="AO85" s="132"/>
      <c r="AP85" s="132"/>
      <c r="AQ85" s="132"/>
      <c r="AR85" s="132"/>
      <c r="AS85" s="132"/>
      <c r="AT85" s="132"/>
      <c r="AU85" s="132"/>
      <c r="AV85" s="132"/>
      <c r="AW85" s="132"/>
      <c r="AX85" s="132"/>
      <c r="AY85" s="132"/>
      <c r="AZ85" s="132"/>
      <c r="BA85" s="132"/>
      <c r="BB85" s="132"/>
      <c r="BC85" s="132"/>
      <c r="BD85" s="132"/>
      <c r="BE85" s="132"/>
      <c r="BF85" s="132"/>
    </row>
    <row r="86" s="42" customFormat="true" ht="0.75" hidden="false" customHeight="true" outlineLevel="0" collapsed="false">
      <c r="A86" s="113"/>
      <c r="B86" s="113"/>
      <c r="C86" s="113"/>
      <c r="D86" s="45"/>
      <c r="E86" s="80"/>
      <c r="F86" s="810"/>
      <c r="G86" s="811"/>
      <c r="H86" s="812"/>
      <c r="I86" s="813"/>
      <c r="J86" s="149"/>
      <c r="K86" s="149"/>
      <c r="L86" s="814"/>
      <c r="M86" s="461"/>
      <c r="N86" s="822"/>
      <c r="O86" s="822"/>
      <c r="P86" s="828"/>
      <c r="Q86" s="822"/>
      <c r="R86" s="822"/>
      <c r="S86" s="822"/>
      <c r="T86" s="822"/>
      <c r="U86" s="822"/>
      <c r="V86" s="822"/>
      <c r="W86" s="822"/>
      <c r="X86" s="822"/>
      <c r="Y86" s="822"/>
      <c r="Z86" s="822"/>
      <c r="AA86" s="822"/>
      <c r="AB86" s="822"/>
      <c r="AC86" s="822"/>
      <c r="AD86" s="822"/>
      <c r="AE86" s="830"/>
      <c r="AF86" s="817"/>
      <c r="AG86" s="814"/>
      <c r="AH86" s="814"/>
      <c r="AI86" s="817"/>
      <c r="AJ86" s="814"/>
      <c r="AK86" s="814"/>
      <c r="AL86" s="809"/>
      <c r="AM86" s="132"/>
      <c r="AN86" s="132"/>
      <c r="AO86" s="132"/>
      <c r="AP86" s="132"/>
      <c r="AQ86" s="132"/>
      <c r="AR86" s="132"/>
      <c r="AS86" s="132"/>
      <c r="AT86" s="132"/>
      <c r="AU86" s="132"/>
      <c r="AV86" s="132"/>
      <c r="AW86" s="132"/>
      <c r="AX86" s="132"/>
      <c r="AY86" s="132"/>
      <c r="AZ86" s="132"/>
      <c r="BA86" s="132"/>
      <c r="BB86" s="132"/>
      <c r="BC86" s="132"/>
      <c r="BD86" s="132"/>
      <c r="BE86" s="132"/>
      <c r="BF86" s="132"/>
    </row>
    <row r="87" s="42" customFormat="true" ht="12" hidden="false" customHeight="true" outlineLevel="0" collapsed="false">
      <c r="A87" s="113"/>
      <c r="B87" s="113"/>
      <c r="C87" s="113"/>
      <c r="D87" s="45"/>
      <c r="E87" s="80"/>
      <c r="F87" s="810"/>
      <c r="G87" s="849"/>
      <c r="H87" s="849"/>
      <c r="I87" s="850" t="s">
        <v>1136</v>
      </c>
      <c r="J87" s="850"/>
      <c r="K87" s="850"/>
      <c r="L87" s="851"/>
      <c r="M87" s="851"/>
      <c r="N87" s="852"/>
      <c r="O87" s="852"/>
      <c r="P87" s="852"/>
      <c r="Q87" s="852"/>
      <c r="R87" s="852"/>
      <c r="S87" s="852"/>
      <c r="T87" s="852"/>
      <c r="U87" s="852"/>
      <c r="V87" s="852"/>
      <c r="W87" s="852"/>
      <c r="X87" s="852"/>
      <c r="Y87" s="852"/>
      <c r="Z87" s="852"/>
      <c r="AA87" s="852"/>
      <c r="AB87" s="852"/>
      <c r="AC87" s="852"/>
      <c r="AD87" s="852"/>
      <c r="AE87" s="852"/>
      <c r="AF87" s="852"/>
      <c r="AG87" s="851"/>
      <c r="AH87" s="851"/>
      <c r="AI87" s="852"/>
      <c r="AJ87" s="851"/>
      <c r="AK87" s="852"/>
      <c r="AL87" s="809"/>
      <c r="AM87" s="132"/>
      <c r="AN87" s="132"/>
      <c r="AO87" s="132"/>
      <c r="AP87" s="132"/>
      <c r="AQ87" s="132"/>
      <c r="AR87" s="132"/>
      <c r="AS87" s="132"/>
      <c r="AT87" s="132"/>
      <c r="AU87" s="132"/>
      <c r="AV87" s="132"/>
      <c r="AW87" s="132"/>
      <c r="AX87" s="132"/>
      <c r="AY87" s="132"/>
      <c r="AZ87" s="132"/>
      <c r="BA87" s="132"/>
      <c r="BB87" s="132"/>
      <c r="BC87" s="132"/>
      <c r="BD87" s="132"/>
      <c r="BE87" s="132"/>
      <c r="BF87" s="132"/>
    </row>
    <row r="89" s="1085" customFormat="true" ht="11.25" hidden="false" customHeight="true" outlineLevel="0" collapsed="false">
      <c r="A89" s="1085" t="s">
        <v>2057</v>
      </c>
    </row>
    <row r="91" s="42" customFormat="true" ht="11.25" hidden="false" customHeight="true" outlineLevel="0" collapsed="false">
      <c r="A91" s="113"/>
      <c r="B91" s="113"/>
      <c r="C91" s="113"/>
      <c r="D91" s="45"/>
      <c r="E91" s="80"/>
      <c r="F91" s="1111"/>
      <c r="G91" s="1112"/>
      <c r="H91" s="1112"/>
      <c r="I91" s="1113"/>
      <c r="J91" s="1113"/>
      <c r="K91" s="1114"/>
      <c r="L91" s="1113"/>
      <c r="M91" s="1112"/>
      <c r="N91" s="837"/>
      <c r="O91" s="845" t="n">
        <v>1</v>
      </c>
      <c r="P91" s="76" t="s">
        <v>19</v>
      </c>
      <c r="Q91" s="393"/>
      <c r="R91" s="393"/>
      <c r="S91" s="393"/>
      <c r="T91" s="393"/>
      <c r="U91" s="393"/>
      <c r="V91" s="393"/>
      <c r="W91" s="393"/>
      <c r="X91" s="393"/>
      <c r="Y91" s="393"/>
      <c r="Z91" s="840"/>
      <c r="AA91" s="841"/>
      <c r="AB91" s="841"/>
      <c r="AC91" s="842"/>
      <c r="AD91" s="842"/>
      <c r="AE91" s="842"/>
      <c r="AF91" s="1115"/>
      <c r="AG91" s="1116"/>
      <c r="AH91" s="1116"/>
      <c r="AI91" s="1115"/>
      <c r="AJ91" s="1116"/>
      <c r="AK91" s="1117"/>
      <c r="AL91" s="809"/>
      <c r="AM91" s="132"/>
      <c r="AN91" s="132"/>
      <c r="AO91" s="132"/>
      <c r="AP91" s="132"/>
      <c r="AQ91" s="132"/>
      <c r="AR91" s="132"/>
      <c r="AS91" s="132"/>
      <c r="AT91" s="132"/>
      <c r="AU91" s="132"/>
      <c r="AV91" s="132"/>
      <c r="AW91" s="132"/>
      <c r="AX91" s="132"/>
      <c r="AY91" s="132"/>
      <c r="AZ91" s="132"/>
      <c r="BA91" s="132"/>
      <c r="BB91" s="132"/>
      <c r="BC91" s="132"/>
      <c r="BD91" s="132"/>
      <c r="BE91" s="132"/>
      <c r="BF91" s="132"/>
    </row>
    <row r="92" s="42" customFormat="true" ht="11.25" hidden="false" customHeight="true" outlineLevel="0" collapsed="false">
      <c r="A92" s="113"/>
      <c r="B92" s="113"/>
      <c r="C92" s="113"/>
      <c r="D92" s="45"/>
      <c r="E92" s="80"/>
      <c r="F92" s="1111"/>
      <c r="G92" s="1112"/>
      <c r="H92" s="1112"/>
      <c r="I92" s="1118"/>
      <c r="J92" s="1118"/>
      <c r="K92" s="1114"/>
      <c r="L92" s="1118"/>
      <c r="M92" s="1112"/>
      <c r="N92" s="837"/>
      <c r="O92" s="845"/>
      <c r="P92" s="76"/>
      <c r="Q92" s="393"/>
      <c r="R92" s="393"/>
      <c r="S92" s="393"/>
      <c r="T92" s="393"/>
      <c r="U92" s="393"/>
      <c r="V92" s="393"/>
      <c r="W92" s="393"/>
      <c r="X92" s="393"/>
      <c r="Y92" s="393"/>
      <c r="Z92" s="844"/>
      <c r="AA92" s="845" t="n">
        <v>1</v>
      </c>
      <c r="AB92" s="846"/>
      <c r="AC92" s="756"/>
      <c r="AD92" s="846" t="n">
        <f aca="false">AB92</f>
        <v>0</v>
      </c>
      <c r="AE92" s="772"/>
      <c r="AF92" s="1114"/>
      <c r="AG92" s="1116"/>
      <c r="AH92" s="1116"/>
      <c r="AI92" s="1114"/>
      <c r="AJ92" s="1116"/>
      <c r="AK92" s="1117"/>
      <c r="AL92" s="809"/>
      <c r="AM92" s="132"/>
      <c r="AN92" s="132"/>
      <c r="AO92" s="132"/>
      <c r="AP92" s="132"/>
      <c r="AQ92" s="132"/>
      <c r="AR92" s="132"/>
      <c r="AS92" s="132"/>
      <c r="AT92" s="132"/>
      <c r="AU92" s="132"/>
      <c r="AV92" s="132"/>
      <c r="AW92" s="132"/>
      <c r="AX92" s="132"/>
      <c r="AY92" s="132"/>
      <c r="AZ92" s="132"/>
      <c r="BA92" s="132"/>
      <c r="BB92" s="132"/>
      <c r="BC92" s="132"/>
      <c r="BD92" s="132"/>
      <c r="BE92" s="132"/>
      <c r="BF92" s="132"/>
    </row>
    <row r="93" s="42" customFormat="true" ht="11.25" hidden="false" customHeight="true" outlineLevel="0" collapsed="false">
      <c r="A93" s="113"/>
      <c r="B93" s="113"/>
      <c r="C93" s="113"/>
      <c r="D93" s="45"/>
      <c r="E93" s="80"/>
      <c r="F93" s="1111"/>
      <c r="G93" s="1112"/>
      <c r="H93" s="1112"/>
      <c r="I93" s="1119"/>
      <c r="J93" s="1119"/>
      <c r="K93" s="1114"/>
      <c r="L93" s="1119"/>
      <c r="M93" s="1112"/>
      <c r="N93" s="837"/>
      <c r="O93" s="845"/>
      <c r="P93" s="76"/>
      <c r="Q93" s="393"/>
      <c r="R93" s="393"/>
      <c r="S93" s="393"/>
      <c r="T93" s="393"/>
      <c r="U93" s="393"/>
      <c r="V93" s="393"/>
      <c r="W93" s="393"/>
      <c r="X93" s="393"/>
      <c r="Y93" s="393"/>
      <c r="Z93" s="840"/>
      <c r="AA93" s="841"/>
      <c r="AB93" s="161" t="s">
        <v>1071</v>
      </c>
      <c r="AC93" s="842"/>
      <c r="AD93" s="842"/>
      <c r="AE93" s="842"/>
      <c r="AF93" s="1120"/>
      <c r="AG93" s="1116"/>
      <c r="AH93" s="1116"/>
      <c r="AI93" s="1120"/>
      <c r="AJ93" s="1116"/>
      <c r="AK93" s="1117"/>
      <c r="AL93" s="809"/>
      <c r="AM93" s="132"/>
      <c r="AN93" s="132"/>
      <c r="AO93" s="132"/>
      <c r="AP93" s="132"/>
      <c r="AQ93" s="132"/>
      <c r="AR93" s="132"/>
      <c r="AS93" s="132"/>
      <c r="AT93" s="132"/>
      <c r="AU93" s="132"/>
      <c r="AV93" s="132"/>
      <c r="AW93" s="132"/>
      <c r="AX93" s="132"/>
      <c r="AY93" s="132"/>
      <c r="AZ93" s="132"/>
      <c r="BA93" s="132"/>
      <c r="BB93" s="132"/>
      <c r="BC93" s="132"/>
      <c r="BD93" s="132"/>
      <c r="BE93" s="132"/>
      <c r="BF93" s="132"/>
    </row>
    <row r="95" s="1085" customFormat="true" ht="11.25" hidden="false" customHeight="true" outlineLevel="0" collapsed="false">
      <c r="A95" s="1085" t="s">
        <v>2058</v>
      </c>
    </row>
    <row r="97" s="42" customFormat="true" ht="11.25" hidden="false" customHeight="true" outlineLevel="0" collapsed="false">
      <c r="A97" s="113"/>
      <c r="B97" s="113"/>
      <c r="C97" s="113"/>
      <c r="D97" s="45"/>
      <c r="E97" s="80"/>
      <c r="F97" s="1112"/>
      <c r="G97" s="1112"/>
      <c r="H97" s="1112"/>
      <c r="I97" s="1112"/>
      <c r="J97" s="1112"/>
      <c r="K97" s="1112"/>
      <c r="L97" s="1112"/>
      <c r="M97" s="1112"/>
      <c r="N97" s="1112"/>
      <c r="O97" s="1112"/>
      <c r="P97" s="1112"/>
      <c r="Q97" s="1112"/>
      <c r="R97" s="1112"/>
      <c r="S97" s="1112"/>
      <c r="T97" s="1112"/>
      <c r="U97" s="1112"/>
      <c r="V97" s="1112"/>
      <c r="W97" s="1112"/>
      <c r="X97" s="1112"/>
      <c r="Y97" s="1112"/>
      <c r="Z97" s="1121"/>
      <c r="AA97" s="838" t="n">
        <v>1</v>
      </c>
      <c r="AB97" s="846"/>
      <c r="AC97" s="756"/>
      <c r="AD97" s="846" t="n">
        <f aca="false">AB97</f>
        <v>0</v>
      </c>
      <c r="AE97" s="756"/>
      <c r="AF97" s="1114"/>
      <c r="AG97" s="1116"/>
      <c r="AH97" s="1116"/>
      <c r="AI97" s="1114"/>
      <c r="AJ97" s="1116"/>
      <c r="AK97" s="1117"/>
      <c r="AL97" s="809"/>
      <c r="AM97" s="132"/>
      <c r="AN97" s="132"/>
      <c r="AO97" s="132"/>
      <c r="AP97" s="132"/>
      <c r="AQ97" s="132"/>
      <c r="AR97" s="132"/>
      <c r="AS97" s="132"/>
      <c r="AT97" s="132"/>
      <c r="AU97" s="132"/>
      <c r="AV97" s="132"/>
      <c r="AW97" s="132"/>
      <c r="AX97" s="132"/>
      <c r="AY97" s="132"/>
      <c r="AZ97" s="132"/>
      <c r="BA97" s="132"/>
      <c r="BB97" s="132"/>
      <c r="BC97" s="132"/>
      <c r="BD97" s="132"/>
      <c r="BE97" s="132"/>
      <c r="BF97" s="132"/>
    </row>
    <row r="99" s="1085" customFormat="true" ht="11.25" hidden="false" customHeight="true" outlineLevel="0" collapsed="false">
      <c r="A99" s="1085" t="s">
        <v>2059</v>
      </c>
    </row>
    <row r="101" s="42" customFormat="true" ht="11.25" hidden="false" customHeight="true" outlineLevel="0" collapsed="false">
      <c r="A101" s="113"/>
      <c r="B101" s="113"/>
      <c r="C101" s="113"/>
      <c r="D101" s="45"/>
      <c r="E101" s="80"/>
      <c r="F101" s="1111"/>
      <c r="G101" s="1112"/>
      <c r="H101" s="811" t="s">
        <v>120</v>
      </c>
      <c r="I101" s="831"/>
      <c r="J101" s="335"/>
      <c r="K101" s="333"/>
      <c r="L101" s="204" t="s">
        <v>19</v>
      </c>
      <c r="M101" s="198"/>
      <c r="N101" s="832"/>
      <c r="O101" s="833" t="s">
        <v>389</v>
      </c>
      <c r="P101" s="834"/>
      <c r="Q101" s="834"/>
      <c r="R101" s="834"/>
      <c r="S101" s="834"/>
      <c r="T101" s="834"/>
      <c r="U101" s="834"/>
      <c r="V101" s="834"/>
      <c r="W101" s="834"/>
      <c r="X101" s="834"/>
      <c r="Y101" s="834"/>
      <c r="Z101" s="834"/>
      <c r="AA101" s="834"/>
      <c r="AB101" s="834"/>
      <c r="AC101" s="834"/>
      <c r="AD101" s="834"/>
      <c r="AE101" s="834"/>
      <c r="AF101" s="835"/>
      <c r="AG101" s="836"/>
      <c r="AH101" s="836"/>
      <c r="AI101" s="835"/>
      <c r="AJ101" s="836"/>
      <c r="AK101" s="836"/>
      <c r="AL101" s="809"/>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row>
    <row r="102" s="42" customFormat="true" ht="11.25" hidden="false" customHeight="true" outlineLevel="0" collapsed="false">
      <c r="A102" s="113"/>
      <c r="B102" s="113"/>
      <c r="C102" s="113"/>
      <c r="D102" s="45"/>
      <c r="E102" s="80"/>
      <c r="F102" s="1111"/>
      <c r="G102" s="1112"/>
      <c r="H102" s="811"/>
      <c r="I102" s="831"/>
      <c r="J102" s="335"/>
      <c r="K102" s="333"/>
      <c r="L102" s="204"/>
      <c r="M102" s="198"/>
      <c r="N102" s="837"/>
      <c r="O102" s="838" t="n">
        <v>1</v>
      </c>
      <c r="P102" s="76" t="s">
        <v>19</v>
      </c>
      <c r="Q102" s="393"/>
      <c r="R102" s="393"/>
      <c r="S102" s="393"/>
      <c r="T102" s="393"/>
      <c r="U102" s="393"/>
      <c r="V102" s="393"/>
      <c r="W102" s="393"/>
      <c r="X102" s="393"/>
      <c r="Y102" s="393"/>
      <c r="Z102" s="840"/>
      <c r="AA102" s="841"/>
      <c r="AB102" s="841"/>
      <c r="AC102" s="842"/>
      <c r="AD102" s="842"/>
      <c r="AE102" s="843"/>
      <c r="AF102" s="835"/>
      <c r="AG102" s="836"/>
      <c r="AH102" s="836"/>
      <c r="AI102" s="835"/>
      <c r="AJ102" s="836"/>
      <c r="AK102" s="836"/>
      <c r="AL102" s="809"/>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row>
    <row r="103" s="42" customFormat="true" ht="11.25" hidden="false" customHeight="true" outlineLevel="0" collapsed="false">
      <c r="A103" s="113"/>
      <c r="B103" s="113"/>
      <c r="C103" s="113"/>
      <c r="D103" s="45"/>
      <c r="E103" s="80"/>
      <c r="F103" s="1111"/>
      <c r="G103" s="1112"/>
      <c r="H103" s="811"/>
      <c r="I103" s="831"/>
      <c r="J103" s="335"/>
      <c r="K103" s="333"/>
      <c r="L103" s="204"/>
      <c r="M103" s="198"/>
      <c r="N103" s="837"/>
      <c r="O103" s="838"/>
      <c r="P103" s="76"/>
      <c r="Q103" s="393"/>
      <c r="R103" s="393"/>
      <c r="S103" s="393"/>
      <c r="T103" s="393"/>
      <c r="U103" s="393"/>
      <c r="V103" s="393"/>
      <c r="W103" s="393"/>
      <c r="X103" s="393"/>
      <c r="Y103" s="393"/>
      <c r="Z103" s="844"/>
      <c r="AA103" s="845" t="n">
        <v>1</v>
      </c>
      <c r="AB103" s="846"/>
      <c r="AC103" s="756"/>
      <c r="AD103" s="846" t="n">
        <f aca="false">AB103</f>
        <v>0</v>
      </c>
      <c r="AE103" s="756"/>
      <c r="AF103" s="835"/>
      <c r="AG103" s="836"/>
      <c r="AH103" s="836"/>
      <c r="AI103" s="835"/>
      <c r="AJ103" s="836"/>
      <c r="AK103" s="836"/>
      <c r="AL103" s="809"/>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row>
    <row r="104" s="42" customFormat="true" ht="11.25" hidden="false" customHeight="true" outlineLevel="0" collapsed="false">
      <c r="A104" s="113"/>
      <c r="B104" s="113"/>
      <c r="C104" s="113"/>
      <c r="D104" s="45"/>
      <c r="E104" s="80"/>
      <c r="F104" s="1111"/>
      <c r="G104" s="1112"/>
      <c r="H104" s="811"/>
      <c r="I104" s="831"/>
      <c r="J104" s="335"/>
      <c r="K104" s="333"/>
      <c r="L104" s="204"/>
      <c r="M104" s="198"/>
      <c r="N104" s="837"/>
      <c r="O104" s="838"/>
      <c r="P104" s="76"/>
      <c r="Q104" s="393"/>
      <c r="R104" s="393"/>
      <c r="S104" s="393"/>
      <c r="T104" s="393"/>
      <c r="U104" s="393"/>
      <c r="V104" s="393"/>
      <c r="W104" s="393"/>
      <c r="X104" s="393"/>
      <c r="Y104" s="393"/>
      <c r="Z104" s="840"/>
      <c r="AA104" s="841"/>
      <c r="AB104" s="161" t="s">
        <v>1071</v>
      </c>
      <c r="AC104" s="842"/>
      <c r="AD104" s="842"/>
      <c r="AE104" s="847"/>
      <c r="AF104" s="835"/>
      <c r="AG104" s="836"/>
      <c r="AH104" s="836"/>
      <c r="AI104" s="835"/>
      <c r="AJ104" s="836"/>
      <c r="AK104" s="836"/>
      <c r="AL104" s="809"/>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row>
    <row r="105" s="42" customFormat="true" ht="11.25" hidden="false" customHeight="true" outlineLevel="0" collapsed="false">
      <c r="A105" s="113"/>
      <c r="B105" s="113"/>
      <c r="C105" s="113"/>
      <c r="D105" s="45"/>
      <c r="E105" s="80"/>
      <c r="F105" s="1111"/>
      <c r="G105" s="1112"/>
      <c r="H105" s="811"/>
      <c r="I105" s="831"/>
      <c r="J105" s="335"/>
      <c r="K105" s="333"/>
      <c r="L105" s="204"/>
      <c r="M105" s="198"/>
      <c r="N105" s="840"/>
      <c r="O105" s="841"/>
      <c r="P105" s="161" t="s">
        <v>1072</v>
      </c>
      <c r="Q105" s="841"/>
      <c r="R105" s="841"/>
      <c r="S105" s="841"/>
      <c r="T105" s="841"/>
      <c r="U105" s="841"/>
      <c r="V105" s="841"/>
      <c r="W105" s="841"/>
      <c r="X105" s="841"/>
      <c r="Y105" s="841"/>
      <c r="Z105" s="841"/>
      <c r="AA105" s="841"/>
      <c r="AB105" s="841"/>
      <c r="AC105" s="841"/>
      <c r="AD105" s="841"/>
      <c r="AE105" s="848"/>
      <c r="AF105" s="835"/>
      <c r="AG105" s="836"/>
      <c r="AH105" s="836"/>
      <c r="AI105" s="835"/>
      <c r="AJ105" s="836"/>
      <c r="AK105" s="836"/>
      <c r="AL105" s="809"/>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row>
    <row r="107" s="1085" customFormat="true" ht="11.25" hidden="false" customHeight="true" outlineLevel="0" collapsed="false">
      <c r="A107" s="1085" t="s">
        <v>2060</v>
      </c>
    </row>
    <row r="108" customFormat="false" ht="17.25" hidden="false" customHeight="true" outlineLevel="0" collapsed="false"/>
    <row r="109" s="867" customFormat="true" ht="21" hidden="false" customHeight="true" outlineLevel="0" collapsed="false">
      <c r="A109" s="456"/>
      <c r="B109" s="868"/>
      <c r="E109" s="887"/>
      <c r="F109" s="897" t="e">
        <f aca="false">INDEX(IP_MAIN_LIST_NAME_IP,MATCH(A109,IP_MAIN_LIST_IP_ID,0))&amp;" ("&amp;INDEX(IP_MAIN_START_DATE,MATCH(A109,IP_MAIN_LIST_IP_ID,0))&amp;"-"&amp;INDEX(IP_MAIN_END_DATE,MATCH(A109,IP_MAIN_LIST_IP_ID,0))&amp;")"</f>
        <v>#N/A</v>
      </c>
      <c r="G109" s="898"/>
      <c r="H109" s="899"/>
      <c r="I109" s="899"/>
      <c r="J109" s="899"/>
      <c r="K109" s="899"/>
      <c r="L109" s="899"/>
      <c r="M109" s="899"/>
      <c r="N109" s="899"/>
      <c r="O109" s="898"/>
      <c r="P109" s="898"/>
      <c r="Q109" s="898"/>
      <c r="R109" s="898"/>
      <c r="S109" s="898"/>
      <c r="T109" s="898"/>
      <c r="U109" s="900"/>
      <c r="V109" s="900"/>
      <c r="W109" s="900"/>
      <c r="X109" s="900"/>
      <c r="Y109" s="900"/>
      <c r="Z109" s="900"/>
      <c r="AA109" s="900"/>
      <c r="AB109" s="898"/>
      <c r="AC109" s="899"/>
      <c r="AD109" s="899"/>
      <c r="AE109" s="899"/>
      <c r="AF109" s="899"/>
      <c r="AG109" s="899"/>
      <c r="AH109" s="899"/>
      <c r="AI109" s="899"/>
      <c r="AJ109" s="899"/>
      <c r="AK109" s="899"/>
      <c r="AL109" s="899"/>
      <c r="AM109" s="899"/>
      <c r="AN109" s="899"/>
      <c r="AO109" s="899"/>
      <c r="AP109" s="899"/>
      <c r="AQ109" s="899"/>
      <c r="AR109" s="899"/>
      <c r="AS109" s="899"/>
      <c r="AT109" s="899"/>
      <c r="AU109" s="899"/>
      <c r="AV109" s="899"/>
      <c r="AW109" s="899"/>
      <c r="AX109" s="899"/>
      <c r="AY109" s="899"/>
      <c r="AZ109" s="899"/>
      <c r="BA109" s="899"/>
      <c r="BB109" s="899"/>
      <c r="BC109" s="899"/>
      <c r="BD109" s="899"/>
      <c r="BE109" s="899"/>
      <c r="BF109" s="899"/>
      <c r="BG109" s="899"/>
      <c r="BH109" s="899"/>
      <c r="BI109" s="899"/>
      <c r="BJ109" s="899"/>
      <c r="BK109" s="899"/>
      <c r="BL109" s="899"/>
      <c r="BM109" s="899"/>
      <c r="BN109" s="899"/>
      <c r="BO109" s="899"/>
      <c r="BP109" s="899"/>
      <c r="BQ109" s="899"/>
      <c r="BR109" s="899"/>
      <c r="BS109" s="899"/>
      <c r="BT109" s="899"/>
      <c r="BU109" s="899"/>
      <c r="BV109" s="899"/>
      <c r="BW109" s="899"/>
      <c r="BX109" s="899"/>
      <c r="BY109" s="899"/>
      <c r="BZ109" s="899"/>
      <c r="CA109" s="899"/>
      <c r="CB109" s="899"/>
      <c r="CC109" s="899"/>
      <c r="CD109" s="899"/>
      <c r="CE109" s="899"/>
      <c r="CF109" s="899"/>
      <c r="CG109" s="899"/>
      <c r="CH109" s="899"/>
      <c r="CI109" s="899"/>
      <c r="CJ109" s="899"/>
      <c r="CK109" s="899"/>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1"/>
      <c r="DG109" s="901"/>
      <c r="DH109" s="901"/>
      <c r="DI109" s="901"/>
      <c r="DJ109" s="901"/>
      <c r="DK109" s="901"/>
      <c r="DL109" s="901"/>
      <c r="DM109" s="901"/>
      <c r="DN109" s="901"/>
      <c r="DO109" s="901"/>
      <c r="DP109" s="901"/>
      <c r="DQ109" s="901"/>
      <c r="DR109" s="901"/>
      <c r="DS109" s="901"/>
      <c r="DT109" s="901"/>
      <c r="DU109" s="901"/>
      <c r="DV109" s="901"/>
      <c r="DW109" s="901"/>
      <c r="DX109" s="901"/>
      <c r="DY109" s="901"/>
      <c r="DZ109" s="901"/>
      <c r="EA109" s="901"/>
      <c r="EB109" s="901"/>
      <c r="EC109" s="901"/>
      <c r="ED109" s="901"/>
      <c r="EE109" s="901"/>
      <c r="EF109" s="901"/>
      <c r="EG109" s="901"/>
      <c r="EH109" s="901"/>
      <c r="EI109" s="901"/>
      <c r="EJ109" s="901"/>
      <c r="EK109" s="901"/>
      <c r="EL109" s="901"/>
      <c r="EM109" s="901"/>
      <c r="EN109" s="901"/>
      <c r="EO109" s="901"/>
      <c r="EP109" s="901"/>
      <c r="EQ109" s="901"/>
      <c r="ER109" s="901"/>
      <c r="ES109" s="901"/>
      <c r="ET109" s="901"/>
      <c r="EU109" s="901"/>
      <c r="EV109" s="901"/>
      <c r="EW109" s="901"/>
      <c r="EX109" s="901"/>
      <c r="EY109" s="901"/>
      <c r="EZ109" s="901"/>
      <c r="FA109" s="901"/>
      <c r="FB109" s="901"/>
      <c r="FC109" s="901"/>
      <c r="FD109" s="901"/>
      <c r="FE109" s="901"/>
      <c r="FF109" s="901"/>
      <c r="FG109" s="901"/>
      <c r="FH109" s="901"/>
      <c r="FI109" s="901"/>
      <c r="FJ109" s="901"/>
      <c r="FK109" s="901"/>
      <c r="FL109" s="901"/>
      <c r="FM109" s="901"/>
      <c r="FN109" s="901"/>
      <c r="FO109" s="901"/>
      <c r="FP109" s="901"/>
      <c r="FQ109" s="901"/>
      <c r="FR109" s="901"/>
      <c r="FS109" s="901"/>
      <c r="FT109" s="901"/>
      <c r="FU109" s="901"/>
      <c r="FV109" s="902"/>
      <c r="FW109" s="896"/>
      <c r="FX109" s="892"/>
    </row>
    <row r="110" s="867" customFormat="true" ht="24.75" hidden="false" customHeight="true" outlineLevel="0" collapsed="false">
      <c r="B110" s="868"/>
      <c r="E110" s="53"/>
      <c r="F110" s="725" t="n">
        <v>1</v>
      </c>
      <c r="G110" s="104"/>
      <c r="H110" s="98"/>
      <c r="I110" s="903"/>
      <c r="J110" s="904"/>
      <c r="K110" s="904"/>
      <c r="L110" s="904"/>
      <c r="M110" s="904"/>
      <c r="N110" s="904"/>
      <c r="O110" s="905"/>
      <c r="P110" s="905"/>
      <c r="Q110" s="905"/>
      <c r="R110" s="905"/>
      <c r="S110" s="905"/>
      <c r="T110" s="905"/>
      <c r="U110" s="905"/>
      <c r="V110" s="905"/>
      <c r="W110" s="905"/>
      <c r="X110" s="905"/>
      <c r="Y110" s="905"/>
      <c r="Z110" s="905"/>
      <c r="AA110" s="905"/>
      <c r="AB110" s="905"/>
      <c r="AC110" s="904"/>
      <c r="AD110" s="904"/>
      <c r="AE110" s="904"/>
      <c r="AF110" s="904"/>
      <c r="AG110" s="904"/>
      <c r="AH110" s="904"/>
      <c r="AI110" s="904"/>
      <c r="AJ110" s="904"/>
      <c r="AK110" s="904"/>
      <c r="AL110" s="904"/>
      <c r="AM110" s="904"/>
      <c r="AN110" s="904"/>
      <c r="AO110" s="904"/>
      <c r="AP110" s="904"/>
      <c r="AQ110" s="904"/>
      <c r="AR110" s="904"/>
      <c r="AS110" s="904"/>
      <c r="AT110" s="904"/>
      <c r="AU110" s="904"/>
      <c r="AV110" s="904"/>
      <c r="AW110" s="904"/>
      <c r="AX110" s="904"/>
      <c r="AY110" s="904"/>
      <c r="AZ110" s="904"/>
      <c r="BA110" s="904"/>
      <c r="BB110" s="904"/>
      <c r="BC110" s="904"/>
      <c r="BD110" s="904"/>
      <c r="BE110" s="904"/>
      <c r="BF110" s="904"/>
      <c r="BG110" s="904"/>
      <c r="BH110" s="904"/>
      <c r="BI110" s="904"/>
      <c r="BJ110" s="904"/>
      <c r="BK110" s="904"/>
      <c r="BL110" s="904"/>
      <c r="BM110" s="904"/>
      <c r="BN110" s="904"/>
      <c r="BO110" s="904"/>
      <c r="BP110" s="904"/>
      <c r="BQ110" s="904"/>
      <c r="BR110" s="904"/>
      <c r="BS110" s="904"/>
      <c r="BT110" s="905"/>
      <c r="BU110" s="905"/>
      <c r="BV110" s="905"/>
      <c r="BW110" s="905"/>
      <c r="BX110" s="905"/>
      <c r="BY110" s="905"/>
      <c r="BZ110" s="905"/>
      <c r="CA110" s="905"/>
      <c r="CB110" s="905"/>
      <c r="CC110" s="905"/>
      <c r="CD110" s="905"/>
      <c r="CE110" s="905"/>
      <c r="CF110" s="905"/>
      <c r="CG110" s="905"/>
      <c r="CH110" s="905"/>
      <c r="CI110" s="905"/>
      <c r="CJ110" s="905"/>
      <c r="CK110" s="905"/>
      <c r="CL110" s="904"/>
      <c r="CM110" s="904"/>
      <c r="CN110" s="904"/>
      <c r="CO110" s="904"/>
      <c r="CP110" s="904"/>
      <c r="CQ110" s="904"/>
      <c r="CR110" s="904"/>
      <c r="CS110" s="904"/>
      <c r="CT110" s="904"/>
      <c r="CU110" s="904"/>
      <c r="CV110" s="904"/>
      <c r="CW110" s="904"/>
      <c r="CX110" s="904"/>
      <c r="CY110" s="905"/>
      <c r="CZ110" s="905"/>
      <c r="DA110" s="905"/>
      <c r="DB110" s="905"/>
      <c r="DC110" s="905"/>
      <c r="DD110" s="905"/>
      <c r="DE110" s="905"/>
      <c r="DF110" s="905"/>
      <c r="DG110" s="905"/>
      <c r="DH110" s="905"/>
      <c r="DI110" s="905"/>
      <c r="DJ110" s="905"/>
      <c r="DK110" s="904"/>
      <c r="DL110" s="904"/>
      <c r="DM110" s="904"/>
      <c r="DN110" s="904"/>
      <c r="DO110" s="904"/>
      <c r="DP110" s="904"/>
      <c r="DQ110" s="904"/>
      <c r="DR110" s="904"/>
      <c r="DS110" s="904"/>
      <c r="DT110" s="904"/>
      <c r="DU110" s="904"/>
      <c r="DV110" s="904"/>
      <c r="DW110" s="904"/>
      <c r="DX110" s="904"/>
      <c r="DY110" s="904"/>
      <c r="DZ110" s="904"/>
      <c r="EA110" s="904"/>
      <c r="EB110" s="904"/>
      <c r="EC110" s="904"/>
      <c r="ED110" s="904"/>
      <c r="EE110" s="904"/>
      <c r="EF110" s="904"/>
      <c r="EG110" s="904"/>
      <c r="EH110" s="904"/>
      <c r="EI110" s="904"/>
      <c r="EJ110" s="904"/>
      <c r="EK110" s="904"/>
      <c r="EL110" s="904"/>
      <c r="EM110" s="904"/>
      <c r="EN110" s="904"/>
      <c r="EO110" s="904"/>
      <c r="EP110" s="904"/>
      <c r="EQ110" s="904"/>
      <c r="ER110" s="904"/>
      <c r="ES110" s="904"/>
      <c r="ET110" s="904"/>
      <c r="EU110" s="904"/>
      <c r="EV110" s="904"/>
      <c r="EW110" s="904"/>
      <c r="EX110" s="904"/>
      <c r="EY110" s="904"/>
      <c r="EZ110" s="904"/>
      <c r="FA110" s="904"/>
      <c r="FB110" s="904"/>
      <c r="FC110" s="904"/>
      <c r="FD110" s="904"/>
      <c r="FE110" s="904"/>
      <c r="FF110" s="904"/>
      <c r="FG110" s="904"/>
      <c r="FH110" s="904"/>
      <c r="FI110" s="904"/>
      <c r="FJ110" s="904"/>
      <c r="FK110" s="904"/>
      <c r="FL110" s="904"/>
      <c r="FM110" s="904"/>
      <c r="FN110" s="904"/>
      <c r="FO110" s="904"/>
      <c r="FP110" s="904"/>
      <c r="FQ110" s="904"/>
      <c r="FR110" s="904"/>
      <c r="FS110" s="904"/>
      <c r="FT110" s="904"/>
      <c r="FU110" s="904"/>
      <c r="FV110" s="904"/>
      <c r="FW110" s="904"/>
      <c r="FX110" s="892"/>
    </row>
    <row r="111" s="867" customFormat="true" ht="12" hidden="false" customHeight="true" outlineLevel="0" collapsed="false">
      <c r="B111" s="868"/>
      <c r="F111" s="906"/>
      <c r="G111" s="850" t="s">
        <v>1285</v>
      </c>
      <c r="H111" s="850"/>
      <c r="I111" s="850"/>
      <c r="J111" s="850"/>
      <c r="K111" s="850"/>
      <c r="L111" s="850"/>
      <c r="M111" s="850"/>
      <c r="N111" s="850"/>
      <c r="O111" s="850"/>
      <c r="P111" s="850"/>
      <c r="Q111" s="850"/>
      <c r="R111" s="850"/>
      <c r="S111" s="850"/>
      <c r="T111" s="850"/>
      <c r="U111" s="850"/>
      <c r="V111" s="850"/>
      <c r="W111" s="850"/>
      <c r="X111" s="850"/>
      <c r="Y111" s="850"/>
      <c r="Z111" s="850"/>
      <c r="AA111" s="850"/>
      <c r="AB111" s="850"/>
      <c r="AC111" s="850"/>
      <c r="AD111" s="850"/>
      <c r="AE111" s="850"/>
      <c r="AF111" s="850"/>
      <c r="AG111" s="850"/>
      <c r="AH111" s="850"/>
      <c r="AI111" s="850"/>
      <c r="AJ111" s="850"/>
      <c r="AK111" s="850"/>
      <c r="AL111" s="850"/>
      <c r="AM111" s="850"/>
      <c r="AN111" s="850"/>
      <c r="AO111" s="850"/>
      <c r="AP111" s="850"/>
      <c r="AQ111" s="850"/>
      <c r="AR111" s="850"/>
      <c r="AS111" s="850"/>
      <c r="AT111" s="850"/>
      <c r="AU111" s="850"/>
      <c r="AV111" s="850"/>
      <c r="AW111" s="850"/>
      <c r="AX111" s="850"/>
      <c r="AY111" s="850"/>
      <c r="AZ111" s="850"/>
      <c r="BA111" s="850"/>
      <c r="BB111" s="850"/>
      <c r="BC111" s="850"/>
      <c r="BD111" s="850"/>
      <c r="BE111" s="850"/>
      <c r="BF111" s="850"/>
      <c r="BG111" s="850"/>
      <c r="BH111" s="850"/>
      <c r="BI111" s="850"/>
      <c r="BJ111" s="850"/>
      <c r="BK111" s="850"/>
      <c r="BL111" s="850"/>
      <c r="BM111" s="850"/>
      <c r="BN111" s="850"/>
      <c r="BO111" s="850"/>
      <c r="BP111" s="850"/>
      <c r="BQ111" s="850"/>
      <c r="BR111" s="850"/>
      <c r="BS111" s="850"/>
      <c r="BT111" s="850"/>
      <c r="BU111" s="850"/>
      <c r="BV111" s="850"/>
      <c r="BW111" s="850"/>
      <c r="BX111" s="850"/>
      <c r="BY111" s="850"/>
      <c r="BZ111" s="850"/>
      <c r="CA111" s="850"/>
      <c r="CB111" s="850"/>
      <c r="CC111" s="850"/>
      <c r="CD111" s="850"/>
      <c r="CE111" s="850"/>
      <c r="CF111" s="850"/>
      <c r="CG111" s="850"/>
      <c r="CH111" s="850"/>
      <c r="CI111" s="850"/>
      <c r="CJ111" s="850"/>
      <c r="CK111" s="850"/>
      <c r="CL111" s="850"/>
      <c r="CM111" s="850"/>
      <c r="CN111" s="850"/>
      <c r="CO111" s="850"/>
      <c r="CP111" s="850"/>
      <c r="CQ111" s="850"/>
      <c r="CR111" s="850"/>
      <c r="CS111" s="850"/>
      <c r="CT111" s="850"/>
      <c r="CU111" s="850"/>
      <c r="CV111" s="850"/>
      <c r="CW111" s="850"/>
      <c r="CX111" s="850"/>
      <c r="CY111" s="850"/>
      <c r="CZ111" s="850"/>
      <c r="DA111" s="850"/>
      <c r="DB111" s="850"/>
      <c r="DC111" s="850"/>
      <c r="DD111" s="850"/>
      <c r="DE111" s="850"/>
      <c r="DF111" s="850"/>
      <c r="DG111" s="850"/>
      <c r="DH111" s="850"/>
      <c r="DI111" s="850"/>
      <c r="DJ111" s="850"/>
      <c r="DK111" s="850"/>
      <c r="DL111" s="850"/>
      <c r="DM111" s="850"/>
      <c r="DN111" s="850"/>
      <c r="DO111" s="850"/>
      <c r="DP111" s="850"/>
      <c r="DQ111" s="850"/>
      <c r="DR111" s="850"/>
      <c r="DS111" s="850"/>
      <c r="DT111" s="850"/>
      <c r="DU111" s="850"/>
      <c r="DV111" s="850"/>
      <c r="DW111" s="850"/>
      <c r="DX111" s="850"/>
      <c r="DY111" s="850"/>
      <c r="DZ111" s="850"/>
      <c r="EA111" s="850"/>
      <c r="EB111" s="850"/>
      <c r="EC111" s="850"/>
      <c r="ED111" s="850"/>
      <c r="EE111" s="850"/>
      <c r="EF111" s="850"/>
      <c r="EG111" s="850"/>
      <c r="EH111" s="850"/>
      <c r="EI111" s="850"/>
      <c r="EJ111" s="850"/>
      <c r="EK111" s="850"/>
      <c r="EL111" s="850"/>
      <c r="EM111" s="850"/>
      <c r="EN111" s="850"/>
      <c r="EO111" s="850"/>
      <c r="EP111" s="850"/>
      <c r="EQ111" s="850"/>
      <c r="ER111" s="850"/>
      <c r="ES111" s="850"/>
      <c r="ET111" s="850"/>
      <c r="EU111" s="850"/>
      <c r="EV111" s="850"/>
      <c r="EW111" s="850"/>
      <c r="EX111" s="850"/>
      <c r="EY111" s="850"/>
      <c r="EZ111" s="850"/>
      <c r="FA111" s="850"/>
      <c r="FB111" s="850"/>
      <c r="FC111" s="850"/>
      <c r="FD111" s="850"/>
      <c r="FE111" s="850"/>
      <c r="FF111" s="850"/>
      <c r="FG111" s="850"/>
      <c r="FH111" s="850"/>
      <c r="FI111" s="850"/>
      <c r="FJ111" s="850"/>
      <c r="FK111" s="850"/>
      <c r="FL111" s="850"/>
      <c r="FM111" s="850"/>
      <c r="FN111" s="850"/>
      <c r="FO111" s="850"/>
      <c r="FP111" s="850"/>
      <c r="FQ111" s="850"/>
      <c r="FR111" s="850"/>
      <c r="FS111" s="850"/>
      <c r="FT111" s="850"/>
      <c r="FU111" s="850"/>
      <c r="FV111" s="850"/>
      <c r="FW111" s="907"/>
      <c r="FX111" s="132"/>
      <c r="FY111" s="869"/>
      <c r="FZ111" s="869"/>
      <c r="GA111" s="869"/>
      <c r="GB111" s="869"/>
    </row>
    <row r="113" s="1085" customFormat="true" ht="11.25" hidden="false" customHeight="true" outlineLevel="0" collapsed="false">
      <c r="A113" s="1085" t="s">
        <v>2061</v>
      </c>
    </row>
    <row r="115" s="53" customFormat="true" ht="15" hidden="false" customHeight="true" outlineLevel="0" collapsed="false">
      <c r="A115" s="678"/>
      <c r="D115" s="198" t="s">
        <v>120</v>
      </c>
      <c r="E115" s="679" t="s">
        <v>116</v>
      </c>
      <c r="F115" s="679"/>
      <c r="G115" s="679"/>
      <c r="H115" s="680" t="str">
        <f aca="false">IF(A115="","",INDEX(DIFFERENTIATION_UNMERGE_VD,MATCH(A115,DIFFERENTIATION_ID_DIFF,0)))</f>
        <v/>
      </c>
      <c r="I115" s="680"/>
      <c r="J115" s="680"/>
      <c r="K115" s="680"/>
      <c r="L115" s="680"/>
      <c r="M115" s="680"/>
      <c r="N115" s="680"/>
      <c r="O115" s="680"/>
      <c r="P115" s="680"/>
      <c r="Q115" s="680"/>
      <c r="R115" s="680"/>
      <c r="S115" s="681"/>
      <c r="T115" s="682"/>
      <c r="U115" s="156"/>
      <c r="V115" s="156"/>
      <c r="W115" s="54"/>
      <c r="X115" s="54"/>
      <c r="Y115" s="54"/>
      <c r="Z115" s="54"/>
      <c r="AA115" s="156"/>
      <c r="AB115" s="54"/>
      <c r="AC115" s="683"/>
      <c r="AD115" s="54"/>
      <c r="AE115" s="684"/>
      <c r="AF115" s="684"/>
      <c r="AG115" s="685" t="s">
        <v>637</v>
      </c>
      <c r="AH115" s="686" t="n">
        <v>3</v>
      </c>
      <c r="AI115" s="156"/>
      <c r="AJ115" s="156"/>
      <c r="AK115" s="156"/>
      <c r="AL115" s="156"/>
      <c r="AM115" s="156"/>
      <c r="AN115" s="156"/>
      <c r="AO115" s="156"/>
      <c r="AP115" s="156"/>
      <c r="AQ115" s="156"/>
      <c r="AR115" s="156"/>
      <c r="AS115" s="156"/>
      <c r="AT115" s="156"/>
      <c r="AU115" s="156"/>
      <c r="AV115" s="156"/>
      <c r="AW115" s="156"/>
      <c r="AX115" s="156"/>
      <c r="AY115" s="156"/>
      <c r="AZ115" s="156"/>
      <c r="BA115" s="156"/>
      <c r="BB115" s="156"/>
      <c r="BC115" s="156"/>
      <c r="BD115" s="156"/>
      <c r="BE115" s="156"/>
      <c r="BF115" s="156"/>
      <c r="BG115" s="156"/>
      <c r="BH115" s="156"/>
      <c r="BI115" s="156"/>
      <c r="BJ115" s="156"/>
      <c r="BK115" s="156"/>
      <c r="BL115" s="156"/>
      <c r="BM115" s="156"/>
      <c r="BN115" s="156"/>
      <c r="BO115" s="156"/>
      <c r="BP115" s="156"/>
      <c r="BQ115" s="156"/>
      <c r="BR115" s="156"/>
      <c r="BS115" s="156"/>
      <c r="BT115" s="156"/>
      <c r="BU115" s="156"/>
      <c r="BV115" s="54"/>
      <c r="BW115" s="54"/>
      <c r="BX115" s="54"/>
      <c r="BY115" s="54"/>
      <c r="BZ115" s="54"/>
      <c r="CA115" s="54"/>
      <c r="CB115" s="54"/>
      <c r="CC115" s="54"/>
      <c r="CD115" s="54"/>
      <c r="CE115" s="54"/>
    </row>
    <row r="116" s="53" customFormat="true" ht="15" hidden="false" customHeight="true" outlineLevel="0" collapsed="false">
      <c r="A116" s="678"/>
      <c r="D116" s="198"/>
      <c r="E116" s="679" t="s">
        <v>577</v>
      </c>
      <c r="F116" s="679"/>
      <c r="G116" s="679"/>
      <c r="H116" s="680" t="str">
        <f aca="false">IF(A115="","",INDEX(DIFFERENTIATION_UNMERGE_AREA,MATCH(A115,DIFFERENTIATION_ID_DIFF,0)))</f>
        <v/>
      </c>
      <c r="I116" s="680"/>
      <c r="J116" s="680"/>
      <c r="K116" s="680"/>
      <c r="L116" s="680"/>
      <c r="M116" s="680"/>
      <c r="N116" s="680"/>
      <c r="O116" s="680"/>
      <c r="P116" s="680"/>
      <c r="Q116" s="680"/>
      <c r="R116" s="680"/>
      <c r="S116" s="681"/>
      <c r="T116" s="682"/>
      <c r="U116" s="156"/>
      <c r="V116" s="156"/>
      <c r="W116" s="54"/>
      <c r="X116" s="54"/>
      <c r="Y116" s="54"/>
      <c r="Z116" s="54"/>
      <c r="AA116" s="156"/>
      <c r="AB116" s="54"/>
      <c r="AC116" s="683"/>
      <c r="AD116" s="54"/>
      <c r="AE116" s="684"/>
      <c r="AF116" s="684"/>
      <c r="AG116" s="685"/>
      <c r="AH116" s="686"/>
      <c r="AI116" s="156"/>
      <c r="AJ116" s="156"/>
      <c r="AK116" s="156"/>
      <c r="AL116" s="156"/>
      <c r="AM116" s="156"/>
      <c r="AN116" s="156"/>
      <c r="AO116" s="156"/>
      <c r="AP116" s="156"/>
      <c r="AQ116" s="156"/>
      <c r="AR116" s="156"/>
      <c r="AS116" s="156"/>
      <c r="AT116" s="156"/>
      <c r="AU116" s="156"/>
      <c r="AV116" s="156"/>
      <c r="AW116" s="156"/>
      <c r="AX116" s="156"/>
      <c r="AY116" s="156"/>
      <c r="AZ116" s="156"/>
      <c r="BA116" s="156"/>
      <c r="BB116" s="156"/>
      <c r="BC116" s="156"/>
      <c r="BD116" s="156"/>
      <c r="BE116" s="156"/>
      <c r="BF116" s="156"/>
      <c r="BG116" s="156"/>
      <c r="BH116" s="156"/>
      <c r="BI116" s="156"/>
      <c r="BJ116" s="156"/>
      <c r="BK116" s="156"/>
      <c r="BL116" s="156"/>
      <c r="BM116" s="156"/>
      <c r="BN116" s="156"/>
      <c r="BO116" s="156"/>
      <c r="BP116" s="156"/>
      <c r="BQ116" s="156"/>
      <c r="BR116" s="156"/>
      <c r="BS116" s="156"/>
      <c r="BT116" s="156"/>
      <c r="BU116" s="156"/>
      <c r="BV116" s="54"/>
      <c r="BW116" s="54"/>
      <c r="BX116" s="54"/>
      <c r="BY116" s="54"/>
      <c r="BZ116" s="54"/>
      <c r="CA116" s="54"/>
      <c r="CB116" s="54"/>
      <c r="CC116" s="54"/>
      <c r="CD116" s="54"/>
      <c r="CE116" s="54"/>
    </row>
    <row r="117" s="53" customFormat="true" ht="15" hidden="false" customHeight="true" outlineLevel="0" collapsed="false">
      <c r="A117" s="678"/>
      <c r="D117" s="198"/>
      <c r="E117" s="679" t="s">
        <v>578</v>
      </c>
      <c r="F117" s="679"/>
      <c r="G117" s="679"/>
      <c r="H117" s="680" t="str">
        <f aca="false">IF(A115="","",INDEX(DIFFERENTIATION_UNMERGE_SYSTEM,MATCH(A115,DIFFERENTIATION_ID_DIFF,0)))</f>
        <v/>
      </c>
      <c r="I117" s="680"/>
      <c r="J117" s="680"/>
      <c r="K117" s="680"/>
      <c r="L117" s="680"/>
      <c r="M117" s="680"/>
      <c r="N117" s="680"/>
      <c r="O117" s="680"/>
      <c r="P117" s="680"/>
      <c r="Q117" s="680"/>
      <c r="R117" s="680"/>
      <c r="S117" s="681"/>
      <c r="T117" s="682"/>
      <c r="U117" s="156"/>
      <c r="V117" s="156"/>
      <c r="W117" s="54"/>
      <c r="X117" s="54"/>
      <c r="Y117" s="54"/>
      <c r="Z117" s="54"/>
      <c r="AA117" s="156"/>
      <c r="AB117" s="54"/>
      <c r="AC117" s="683"/>
      <c r="AD117" s="54"/>
      <c r="AE117" s="684"/>
      <c r="AF117" s="684"/>
      <c r="AG117" s="685"/>
      <c r="AH117" s="686"/>
      <c r="AI117" s="156"/>
      <c r="AJ117" s="156"/>
      <c r="AK117" s="156"/>
      <c r="AL117" s="156"/>
      <c r="AM117" s="156"/>
      <c r="AN117" s="156"/>
      <c r="AO117" s="156"/>
      <c r="AP117" s="156"/>
      <c r="AQ117" s="156"/>
      <c r="AR117" s="156"/>
      <c r="AS117" s="156"/>
      <c r="AT117" s="156"/>
      <c r="AU117" s="156"/>
      <c r="AV117" s="156"/>
      <c r="AW117" s="156"/>
      <c r="AX117" s="156"/>
      <c r="AY117" s="156"/>
      <c r="AZ117" s="156"/>
      <c r="BA117" s="156"/>
      <c r="BB117" s="156"/>
      <c r="BC117" s="156"/>
      <c r="BD117" s="156"/>
      <c r="BE117" s="156"/>
      <c r="BF117" s="156"/>
      <c r="BG117" s="156"/>
      <c r="BH117" s="156"/>
      <c r="BI117" s="156"/>
      <c r="BJ117" s="156"/>
      <c r="BK117" s="156"/>
      <c r="BL117" s="156"/>
      <c r="BM117" s="156"/>
      <c r="BN117" s="156"/>
      <c r="BO117" s="156"/>
      <c r="BP117" s="156"/>
      <c r="BQ117" s="156"/>
      <c r="BR117" s="156"/>
      <c r="BS117" s="156"/>
      <c r="BT117" s="156"/>
      <c r="BU117" s="156"/>
      <c r="BV117" s="54"/>
      <c r="BW117" s="54"/>
      <c r="BX117" s="54"/>
      <c r="BY117" s="54"/>
      <c r="BZ117" s="54"/>
      <c r="CA117" s="54"/>
      <c r="CB117" s="54"/>
      <c r="CC117" s="54"/>
      <c r="CD117" s="54"/>
      <c r="CE117" s="54"/>
    </row>
    <row r="118" s="53" customFormat="true" ht="24.75" hidden="false" customHeight="true" outlineLevel="0" collapsed="false">
      <c r="A118" s="44"/>
      <c r="B118" s="45"/>
      <c r="C118" s="157"/>
      <c r="D118" s="198"/>
      <c r="E118" s="687" t="s">
        <v>638</v>
      </c>
      <c r="F118" s="687"/>
      <c r="G118" s="687"/>
      <c r="H118" s="687"/>
      <c r="I118" s="687"/>
      <c r="J118" s="687"/>
      <c r="K118" s="687"/>
      <c r="L118" s="687"/>
      <c r="M118" s="687"/>
      <c r="N118" s="687"/>
      <c r="O118" s="687"/>
      <c r="P118" s="687"/>
      <c r="Q118" s="621" t="n">
        <f aca="false">SUMIF(T119:T120,"i",Q119:Q120)</f>
        <v>0</v>
      </c>
      <c r="R118" s="688"/>
      <c r="S118" s="619" t="s">
        <v>639</v>
      </c>
      <c r="T118" s="682" t="s">
        <v>640</v>
      </c>
      <c r="U118" s="121" t="n">
        <v>1</v>
      </c>
      <c r="V118" s="121" t="s">
        <v>591</v>
      </c>
      <c r="W118" s="45"/>
      <c r="X118" s="45"/>
      <c r="Y118" s="45"/>
      <c r="Z118" s="45"/>
      <c r="AA118" s="47"/>
      <c r="AB118" s="45"/>
      <c r="AC118" s="683"/>
      <c r="AD118" s="54"/>
      <c r="AE118" s="45"/>
      <c r="AF118" s="45"/>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5"/>
      <c r="BW118" s="45"/>
      <c r="BX118" s="45"/>
      <c r="BY118" s="45"/>
      <c r="BZ118" s="45"/>
      <c r="CA118" s="45"/>
      <c r="CB118" s="45"/>
      <c r="CC118" s="45"/>
      <c r="CD118" s="45"/>
      <c r="CE118" s="45"/>
    </row>
    <row r="119" s="53" customFormat="true" ht="11.25" hidden="true" customHeight="true" outlineLevel="0" collapsed="false">
      <c r="A119" s="121"/>
      <c r="B119" s="47"/>
      <c r="C119" s="47"/>
      <c r="D119" s="198"/>
      <c r="E119" s="301"/>
      <c r="F119" s="301" t="n">
        <v>0</v>
      </c>
      <c r="G119" s="301"/>
      <c r="H119" s="301"/>
      <c r="I119" s="301"/>
      <c r="J119" s="301"/>
      <c r="K119" s="301"/>
      <c r="L119" s="301"/>
      <c r="M119" s="301"/>
      <c r="N119" s="301"/>
      <c r="O119" s="301"/>
      <c r="P119" s="301"/>
      <c r="Q119" s="301"/>
      <c r="R119" s="301"/>
      <c r="S119" s="300"/>
      <c r="T119" s="689"/>
      <c r="U119" s="121"/>
      <c r="V119" s="121"/>
      <c r="W119" s="47"/>
      <c r="X119" s="47"/>
      <c r="Y119" s="47"/>
      <c r="Z119" s="47"/>
      <c r="AA119" s="47"/>
      <c r="AB119" s="45"/>
      <c r="AC119" s="683"/>
      <c r="AD119" s="54"/>
      <c r="AE119" s="45"/>
      <c r="AF119" s="45"/>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row>
    <row r="120" s="53" customFormat="true" ht="11.25" hidden="false" customHeight="true" outlineLevel="0" collapsed="false">
      <c r="A120" s="44"/>
      <c r="B120" s="45"/>
      <c r="C120" s="157"/>
      <c r="D120" s="198"/>
      <c r="E120" s="541"/>
      <c r="F120" s="161"/>
      <c r="G120" s="161" t="s">
        <v>643</v>
      </c>
      <c r="H120" s="168"/>
      <c r="I120" s="168"/>
      <c r="J120" s="168"/>
      <c r="K120" s="168"/>
      <c r="L120" s="168"/>
      <c r="M120" s="168"/>
      <c r="N120" s="168"/>
      <c r="O120" s="168"/>
      <c r="P120" s="168"/>
      <c r="Q120" s="168"/>
      <c r="R120" s="207"/>
      <c r="S120" s="690"/>
      <c r="T120" s="689"/>
      <c r="U120" s="121"/>
      <c r="V120" s="121"/>
      <c r="W120" s="45"/>
      <c r="X120" s="45"/>
      <c r="Y120" s="45"/>
      <c r="Z120" s="45"/>
      <c r="AA120" s="47"/>
      <c r="AB120" s="45"/>
      <c r="AC120" s="683"/>
      <c r="AD120" s="54"/>
      <c r="AE120" s="45"/>
      <c r="AF120" s="45"/>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5"/>
      <c r="BW120" s="45"/>
      <c r="BX120" s="45"/>
      <c r="BY120" s="45"/>
      <c r="BZ120" s="45"/>
      <c r="CA120" s="45"/>
      <c r="CB120" s="45"/>
      <c r="CC120" s="45"/>
      <c r="CD120" s="45"/>
      <c r="CE120" s="45"/>
    </row>
    <row r="121" s="53" customFormat="true" ht="24.75" hidden="false" customHeight="true" outlineLevel="0" collapsed="false">
      <c r="A121" s="44"/>
      <c r="B121" s="45"/>
      <c r="C121" s="157"/>
      <c r="D121" s="198"/>
      <c r="E121" s="687" t="s">
        <v>641</v>
      </c>
      <c r="F121" s="687"/>
      <c r="G121" s="687"/>
      <c r="H121" s="687"/>
      <c r="I121" s="687"/>
      <c r="J121" s="687"/>
      <c r="K121" s="687"/>
      <c r="L121" s="687"/>
      <c r="M121" s="687"/>
      <c r="N121" s="687"/>
      <c r="O121" s="687"/>
      <c r="P121" s="687"/>
      <c r="Q121" s="621" t="n">
        <f aca="false">SUMIF(T122:T123,"i",Q122:Q123)</f>
        <v>0</v>
      </c>
      <c r="R121" s="688"/>
      <c r="S121" s="619" t="s">
        <v>642</v>
      </c>
      <c r="T121" s="682" t="s">
        <v>640</v>
      </c>
      <c r="U121" s="121" t="n">
        <v>1</v>
      </c>
      <c r="V121" s="121" t="s">
        <v>591</v>
      </c>
      <c r="W121" s="45"/>
      <c r="X121" s="45"/>
      <c r="Y121" s="45"/>
      <c r="Z121" s="45"/>
      <c r="AA121" s="47"/>
      <c r="AB121" s="45"/>
      <c r="AC121" s="683"/>
      <c r="AD121" s="54"/>
      <c r="AE121" s="45"/>
      <c r="AF121" s="45"/>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5"/>
      <c r="BW121" s="45"/>
      <c r="BX121" s="45"/>
      <c r="BY121" s="45"/>
      <c r="BZ121" s="45"/>
      <c r="CA121" s="45"/>
      <c r="CB121" s="45"/>
      <c r="CC121" s="45"/>
      <c r="CD121" s="45"/>
      <c r="CE121" s="45"/>
    </row>
    <row r="122" s="53" customFormat="true" ht="11.25" hidden="true" customHeight="true" outlineLevel="0" collapsed="false">
      <c r="A122" s="121"/>
      <c r="B122" s="47"/>
      <c r="C122" s="47"/>
      <c r="D122" s="198"/>
      <c r="E122" s="301"/>
      <c r="F122" s="301" t="n">
        <v>0</v>
      </c>
      <c r="G122" s="301"/>
      <c r="H122" s="301"/>
      <c r="I122" s="301"/>
      <c r="J122" s="301"/>
      <c r="K122" s="301"/>
      <c r="L122" s="301"/>
      <c r="M122" s="301"/>
      <c r="N122" s="301"/>
      <c r="O122" s="301"/>
      <c r="P122" s="301"/>
      <c r="Q122" s="301"/>
      <c r="R122" s="301"/>
      <c r="S122" s="300"/>
      <c r="T122" s="689"/>
      <c r="U122" s="121"/>
      <c r="V122" s="121"/>
      <c r="W122" s="47"/>
      <c r="X122" s="47"/>
      <c r="Y122" s="47"/>
      <c r="Z122" s="47"/>
      <c r="AA122" s="47"/>
      <c r="AB122" s="45"/>
      <c r="AC122" s="683"/>
      <c r="AD122" s="54"/>
      <c r="AE122" s="45"/>
      <c r="AF122" s="45"/>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row>
    <row r="123" s="53" customFormat="true" ht="11.25" hidden="false" customHeight="true" outlineLevel="0" collapsed="false">
      <c r="A123" s="44"/>
      <c r="B123" s="45"/>
      <c r="C123" s="157"/>
      <c r="D123" s="198"/>
      <c r="E123" s="541"/>
      <c r="F123" s="161"/>
      <c r="G123" s="161" t="s">
        <v>643</v>
      </c>
      <c r="H123" s="168"/>
      <c r="I123" s="168"/>
      <c r="J123" s="168"/>
      <c r="K123" s="168"/>
      <c r="L123" s="168"/>
      <c r="M123" s="168"/>
      <c r="N123" s="168"/>
      <c r="O123" s="168"/>
      <c r="P123" s="168"/>
      <c r="Q123" s="168"/>
      <c r="R123" s="207"/>
      <c r="S123" s="690"/>
      <c r="T123" s="689"/>
      <c r="U123" s="121"/>
      <c r="V123" s="121"/>
      <c r="W123" s="45"/>
      <c r="X123" s="45"/>
      <c r="Y123" s="45"/>
      <c r="Z123" s="45"/>
      <c r="AA123" s="47"/>
      <c r="AB123" s="45"/>
      <c r="AC123" s="683"/>
      <c r="AD123" s="54"/>
      <c r="AE123" s="45"/>
      <c r="AF123" s="45"/>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5"/>
      <c r="BW123" s="45"/>
      <c r="BX123" s="45"/>
      <c r="BY123" s="45"/>
      <c r="BZ123" s="45"/>
      <c r="CA123" s="45"/>
      <c r="CB123" s="45"/>
      <c r="CC123" s="45"/>
      <c r="CD123" s="45"/>
      <c r="CE123" s="45"/>
    </row>
    <row r="125" s="1085" customFormat="true" ht="11.25" hidden="false" customHeight="true" outlineLevel="0" collapsed="false">
      <c r="A125" s="1085" t="s">
        <v>2062</v>
      </c>
    </row>
    <row r="127" s="53" customFormat="true" ht="15" hidden="true" customHeight="true" outlineLevel="0" collapsed="false">
      <c r="A127" s="678"/>
      <c r="D127" s="198" t="s">
        <v>120</v>
      </c>
      <c r="E127" s="679" t="s">
        <v>116</v>
      </c>
      <c r="F127" s="679"/>
      <c r="G127" s="679"/>
      <c r="H127" s="680" t="str">
        <f aca="false">IF(A127="","",INDEX(DIFFERENTIATION_UNMERGE_VD,MATCH(A127,DIFFERENTIATION_ID_DIFF,0)))</f>
        <v/>
      </c>
      <c r="I127" s="680"/>
      <c r="J127" s="680"/>
      <c r="K127" s="680"/>
      <c r="L127" s="680"/>
      <c r="M127" s="680"/>
      <c r="N127" s="680"/>
      <c r="O127" s="680"/>
      <c r="P127" s="680"/>
      <c r="Q127" s="680"/>
      <c r="R127" s="680"/>
      <c r="S127" s="681"/>
      <c r="T127" s="682"/>
      <c r="U127" s="156"/>
      <c r="V127" s="156"/>
      <c r="W127" s="54"/>
      <c r="X127" s="54"/>
      <c r="Y127" s="54"/>
      <c r="Z127" s="54"/>
      <c r="AA127" s="156"/>
      <c r="AB127" s="54"/>
      <c r="AC127" s="683"/>
      <c r="AD127" s="54"/>
      <c r="AE127" s="684"/>
      <c r="AF127" s="684"/>
      <c r="AG127" s="685" t="s">
        <v>637</v>
      </c>
      <c r="AH127" s="686" t="n">
        <v>3</v>
      </c>
      <c r="AI127" s="156"/>
      <c r="AJ127" s="156"/>
      <c r="AK127" s="156"/>
      <c r="AL127" s="156"/>
      <c r="AM127" s="156"/>
      <c r="AN127" s="156"/>
      <c r="AO127" s="156"/>
      <c r="AP127" s="156"/>
      <c r="AQ127" s="156"/>
      <c r="AR127" s="156"/>
      <c r="AS127" s="156"/>
      <c r="AT127" s="156"/>
      <c r="AU127" s="156"/>
      <c r="AV127" s="156"/>
      <c r="AW127" s="156"/>
      <c r="AX127" s="156"/>
      <c r="AY127" s="156"/>
      <c r="AZ127" s="156"/>
      <c r="BA127" s="156"/>
      <c r="BB127" s="156"/>
      <c r="BC127" s="156"/>
      <c r="BD127" s="156"/>
      <c r="BE127" s="156"/>
      <c r="BF127" s="156"/>
      <c r="BG127" s="156"/>
      <c r="BH127" s="156"/>
      <c r="BI127" s="156"/>
      <c r="BJ127" s="156"/>
      <c r="BK127" s="156"/>
      <c r="BL127" s="156"/>
      <c r="BM127" s="156"/>
      <c r="BN127" s="156"/>
      <c r="BO127" s="156"/>
      <c r="BP127" s="156"/>
      <c r="BQ127" s="156"/>
      <c r="BR127" s="156"/>
      <c r="BS127" s="156"/>
      <c r="BT127" s="156"/>
      <c r="BU127" s="156"/>
      <c r="BV127" s="54"/>
      <c r="BW127" s="54"/>
      <c r="BX127" s="54"/>
      <c r="BY127" s="54"/>
      <c r="BZ127" s="54"/>
      <c r="CA127" s="54"/>
      <c r="CB127" s="54"/>
      <c r="CC127" s="54"/>
      <c r="CD127" s="54"/>
      <c r="CE127" s="54"/>
    </row>
    <row r="128" s="53" customFormat="true" ht="15" hidden="true" customHeight="true" outlineLevel="0" collapsed="false">
      <c r="A128" s="678"/>
      <c r="D128" s="198"/>
      <c r="E128" s="679" t="s">
        <v>577</v>
      </c>
      <c r="F128" s="679"/>
      <c r="G128" s="679"/>
      <c r="H128" s="680" t="str">
        <f aca="false">IF(A127="","",INDEX(DIFFERENTIATION_UNMERGE_AREA,MATCH(A127,DIFFERENTIATION_ID_DIFF,0)))</f>
        <v/>
      </c>
      <c r="I128" s="680"/>
      <c r="J128" s="680"/>
      <c r="K128" s="680"/>
      <c r="L128" s="680"/>
      <c r="M128" s="680"/>
      <c r="N128" s="680"/>
      <c r="O128" s="680"/>
      <c r="P128" s="680"/>
      <c r="Q128" s="680"/>
      <c r="R128" s="680"/>
      <c r="S128" s="681"/>
      <c r="T128" s="682"/>
      <c r="U128" s="156"/>
      <c r="V128" s="156"/>
      <c r="W128" s="54"/>
      <c r="X128" s="54"/>
      <c r="Y128" s="54"/>
      <c r="Z128" s="54"/>
      <c r="AA128" s="156"/>
      <c r="AB128" s="54"/>
      <c r="AC128" s="683"/>
      <c r="AD128" s="54"/>
      <c r="AE128" s="684"/>
      <c r="AF128" s="684"/>
      <c r="AG128" s="685"/>
      <c r="AH128" s="686"/>
      <c r="AI128" s="156"/>
      <c r="AJ128" s="156"/>
      <c r="AK128" s="156"/>
      <c r="AL128" s="156"/>
      <c r="AM128" s="156"/>
      <c r="AN128" s="156"/>
      <c r="AO128" s="156"/>
      <c r="AP128" s="156"/>
      <c r="AQ128" s="156"/>
      <c r="AR128" s="156"/>
      <c r="AS128" s="156"/>
      <c r="AT128" s="156"/>
      <c r="AU128" s="156"/>
      <c r="AV128" s="156"/>
      <c r="AW128" s="156"/>
      <c r="AX128" s="156"/>
      <c r="AY128" s="156"/>
      <c r="AZ128" s="156"/>
      <c r="BA128" s="156"/>
      <c r="BB128" s="156"/>
      <c r="BC128" s="156"/>
      <c r="BD128" s="156"/>
      <c r="BE128" s="156"/>
      <c r="BF128" s="156"/>
      <c r="BG128" s="156"/>
      <c r="BH128" s="156"/>
      <c r="BI128" s="156"/>
      <c r="BJ128" s="156"/>
      <c r="BK128" s="156"/>
      <c r="BL128" s="156"/>
      <c r="BM128" s="156"/>
      <c r="BN128" s="156"/>
      <c r="BO128" s="156"/>
      <c r="BP128" s="156"/>
      <c r="BQ128" s="156"/>
      <c r="BR128" s="156"/>
      <c r="BS128" s="156"/>
      <c r="BT128" s="156"/>
      <c r="BU128" s="156"/>
      <c r="BV128" s="54"/>
      <c r="BW128" s="54"/>
      <c r="BX128" s="54"/>
      <c r="BY128" s="54"/>
      <c r="BZ128" s="54"/>
      <c r="CA128" s="54"/>
      <c r="CB128" s="54"/>
      <c r="CC128" s="54"/>
      <c r="CD128" s="54"/>
      <c r="CE128" s="54"/>
    </row>
    <row r="129" s="53" customFormat="true" ht="15" hidden="true" customHeight="true" outlineLevel="0" collapsed="false">
      <c r="A129" s="678"/>
      <c r="D129" s="198"/>
      <c r="E129" s="679" t="s">
        <v>578</v>
      </c>
      <c r="F129" s="679"/>
      <c r="G129" s="679"/>
      <c r="H129" s="680" t="str">
        <f aca="false">IF(A127="","",INDEX(DIFFERENTIATION_UNMERGE_SYSTEM,MATCH(A127,DIFFERENTIATION_ID_DIFF,0)))</f>
        <v/>
      </c>
      <c r="I129" s="680"/>
      <c r="J129" s="680"/>
      <c r="K129" s="680"/>
      <c r="L129" s="680"/>
      <c r="M129" s="680"/>
      <c r="N129" s="680"/>
      <c r="O129" s="680"/>
      <c r="P129" s="680"/>
      <c r="Q129" s="680"/>
      <c r="R129" s="680"/>
      <c r="S129" s="681"/>
      <c r="T129" s="682"/>
      <c r="U129" s="156"/>
      <c r="V129" s="156"/>
      <c r="W129" s="54"/>
      <c r="X129" s="54"/>
      <c r="Y129" s="54"/>
      <c r="Z129" s="54"/>
      <c r="AA129" s="156"/>
      <c r="AB129" s="54"/>
      <c r="AC129" s="683"/>
      <c r="AD129" s="54"/>
      <c r="AE129" s="684"/>
      <c r="AF129" s="684"/>
      <c r="AG129" s="685"/>
      <c r="AH129" s="686"/>
      <c r="AI129" s="156"/>
      <c r="AJ129" s="156"/>
      <c r="AK129" s="156"/>
      <c r="AL129" s="156"/>
      <c r="AM129" s="156"/>
      <c r="AN129" s="156"/>
      <c r="AO129" s="156"/>
      <c r="AP129" s="156"/>
      <c r="AQ129" s="156"/>
      <c r="AR129" s="156"/>
      <c r="AS129" s="156"/>
      <c r="AT129" s="156"/>
      <c r="AU129" s="156"/>
      <c r="AV129" s="156"/>
      <c r="AW129" s="156"/>
      <c r="AX129" s="156"/>
      <c r="AY129" s="156"/>
      <c r="AZ129" s="156"/>
      <c r="BA129" s="156"/>
      <c r="BB129" s="156"/>
      <c r="BC129" s="156"/>
      <c r="BD129" s="156"/>
      <c r="BE129" s="156"/>
      <c r="BF129" s="156"/>
      <c r="BG129" s="156"/>
      <c r="BH129" s="156"/>
      <c r="BI129" s="156"/>
      <c r="BJ129" s="156"/>
      <c r="BK129" s="156"/>
      <c r="BL129" s="156"/>
      <c r="BM129" s="156"/>
      <c r="BN129" s="156"/>
      <c r="BO129" s="156"/>
      <c r="BP129" s="156"/>
      <c r="BQ129" s="156"/>
      <c r="BR129" s="156"/>
      <c r="BS129" s="156"/>
      <c r="BT129" s="156"/>
      <c r="BU129" s="156"/>
      <c r="BV129" s="54"/>
      <c r="BW129" s="54"/>
      <c r="BX129" s="54"/>
      <c r="BY129" s="54"/>
      <c r="BZ129" s="54"/>
      <c r="CA129" s="54"/>
      <c r="CB129" s="54"/>
      <c r="CC129" s="54"/>
      <c r="CD129" s="54"/>
      <c r="CE129" s="54"/>
    </row>
    <row r="130" s="53" customFormat="true" ht="24.75" hidden="true" customHeight="true" outlineLevel="0" collapsed="false">
      <c r="A130" s="44"/>
      <c r="B130" s="45"/>
      <c r="C130" s="157"/>
      <c r="D130" s="198"/>
      <c r="E130" s="687" t="s">
        <v>638</v>
      </c>
      <c r="F130" s="687"/>
      <c r="G130" s="687"/>
      <c r="H130" s="687"/>
      <c r="I130" s="687"/>
      <c r="J130" s="687"/>
      <c r="K130" s="687"/>
      <c r="L130" s="687"/>
      <c r="M130" s="687"/>
      <c r="N130" s="687"/>
      <c r="O130" s="687"/>
      <c r="P130" s="687"/>
      <c r="Q130" s="621" t="n">
        <f aca="false">SUMIF(T131:T132,"i",Q131:Q132)</f>
        <v>0</v>
      </c>
      <c r="R130" s="688"/>
      <c r="S130" s="619" t="s">
        <v>639</v>
      </c>
      <c r="T130" s="682" t="s">
        <v>640</v>
      </c>
      <c r="U130" s="121" t="n">
        <v>1</v>
      </c>
      <c r="V130" s="121" t="s">
        <v>591</v>
      </c>
      <c r="W130" s="45"/>
      <c r="X130" s="45"/>
      <c r="Y130" s="45"/>
      <c r="Z130" s="45"/>
      <c r="AA130" s="47"/>
      <c r="AB130" s="45"/>
      <c r="AC130" s="683"/>
      <c r="AD130" s="54"/>
      <c r="AE130" s="45"/>
      <c r="AF130" s="45"/>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5"/>
      <c r="BW130" s="45"/>
      <c r="BX130" s="45"/>
      <c r="BY130" s="45"/>
      <c r="BZ130" s="45"/>
      <c r="CA130" s="45"/>
      <c r="CB130" s="45"/>
      <c r="CC130" s="45"/>
      <c r="CD130" s="45"/>
      <c r="CE130" s="45"/>
    </row>
    <row r="131" s="53" customFormat="true" ht="11.25" hidden="true" customHeight="true" outlineLevel="0" collapsed="false">
      <c r="A131" s="121"/>
      <c r="B131" s="47"/>
      <c r="C131" s="47"/>
      <c r="D131" s="198"/>
      <c r="E131" s="301"/>
      <c r="F131" s="301" t="n">
        <v>0</v>
      </c>
      <c r="G131" s="301"/>
      <c r="H131" s="301"/>
      <c r="I131" s="301"/>
      <c r="J131" s="301"/>
      <c r="K131" s="301"/>
      <c r="L131" s="301"/>
      <c r="M131" s="301"/>
      <c r="N131" s="301"/>
      <c r="O131" s="301"/>
      <c r="P131" s="301"/>
      <c r="Q131" s="301"/>
      <c r="R131" s="301"/>
      <c r="S131" s="300"/>
      <c r="T131" s="689"/>
      <c r="U131" s="121"/>
      <c r="V131" s="121"/>
      <c r="W131" s="47"/>
      <c r="X131" s="47"/>
      <c r="Y131" s="47"/>
      <c r="Z131" s="47"/>
      <c r="AA131" s="47"/>
      <c r="AB131" s="45"/>
      <c r="AC131" s="683"/>
      <c r="AD131" s="54"/>
      <c r="AE131" s="45"/>
      <c r="AF131" s="45"/>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row>
    <row r="132" s="53" customFormat="true" ht="11.25" hidden="true" customHeight="true" outlineLevel="0" collapsed="false">
      <c r="A132" s="44"/>
      <c r="B132" s="45"/>
      <c r="C132" s="157"/>
      <c r="D132" s="198"/>
      <c r="E132" s="541"/>
      <c r="F132" s="161"/>
      <c r="G132" s="161" t="s">
        <v>643</v>
      </c>
      <c r="H132" s="168"/>
      <c r="I132" s="168"/>
      <c r="J132" s="168"/>
      <c r="K132" s="168"/>
      <c r="L132" s="168"/>
      <c r="M132" s="168"/>
      <c r="N132" s="168"/>
      <c r="O132" s="168"/>
      <c r="P132" s="168"/>
      <c r="Q132" s="168"/>
      <c r="R132" s="207"/>
      <c r="S132" s="690"/>
      <c r="T132" s="689"/>
      <c r="U132" s="121"/>
      <c r="V132" s="121"/>
      <c r="W132" s="45"/>
      <c r="X132" s="45"/>
      <c r="Y132" s="45"/>
      <c r="Z132" s="45"/>
      <c r="AA132" s="47"/>
      <c r="AB132" s="45"/>
      <c r="AC132" s="683"/>
      <c r="AD132" s="54"/>
      <c r="AE132" s="45"/>
      <c r="AF132" s="45"/>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5"/>
      <c r="BW132" s="45"/>
      <c r="BX132" s="45"/>
      <c r="BY132" s="45"/>
      <c r="BZ132" s="45"/>
      <c r="CA132" s="45"/>
      <c r="CB132" s="45"/>
      <c r="CC132" s="45"/>
      <c r="CD132" s="45"/>
      <c r="CE132" s="45"/>
    </row>
    <row r="133" s="156" customFormat="true" ht="5.25" hidden="true" customHeight="true" outlineLevel="0" collapsed="false">
      <c r="A133" s="121"/>
      <c r="B133" s="47"/>
      <c r="C133" s="47"/>
      <c r="D133" s="198"/>
      <c r="E133" s="691"/>
      <c r="F133" s="691"/>
      <c r="G133" s="691"/>
      <c r="H133" s="691"/>
      <c r="I133" s="691"/>
      <c r="J133" s="691"/>
      <c r="K133" s="691"/>
      <c r="L133" s="691"/>
      <c r="M133" s="691"/>
      <c r="N133" s="691"/>
      <c r="O133" s="691"/>
      <c r="P133" s="691"/>
      <c r="Q133" s="553"/>
      <c r="R133" s="692"/>
      <c r="S133" s="301"/>
      <c r="T133" s="682" t="s">
        <v>640</v>
      </c>
      <c r="U133" s="121" t="n">
        <v>1</v>
      </c>
      <c r="V133" s="121" t="s">
        <v>591</v>
      </c>
      <c r="W133" s="47"/>
      <c r="X133" s="47"/>
      <c r="Y133" s="47"/>
      <c r="Z133" s="47"/>
      <c r="AA133" s="47"/>
      <c r="AB133" s="47"/>
      <c r="AC133" s="693"/>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row>
    <row r="134" s="156" customFormat="true" ht="5.25" hidden="true" customHeight="true" outlineLevel="0" collapsed="false">
      <c r="A134" s="121"/>
      <c r="B134" s="47"/>
      <c r="C134" s="47"/>
      <c r="D134" s="198"/>
      <c r="E134" s="301"/>
      <c r="F134" s="301"/>
      <c r="G134" s="301"/>
      <c r="H134" s="301"/>
      <c r="I134" s="301"/>
      <c r="J134" s="301"/>
      <c r="K134" s="301"/>
      <c r="L134" s="301"/>
      <c r="M134" s="301"/>
      <c r="N134" s="301"/>
      <c r="O134" s="301"/>
      <c r="P134" s="301"/>
      <c r="Q134" s="301"/>
      <c r="R134" s="301"/>
      <c r="S134" s="300"/>
      <c r="T134" s="689"/>
      <c r="U134" s="121"/>
      <c r="V134" s="121"/>
      <c r="W134" s="47"/>
      <c r="X134" s="47"/>
      <c r="Y134" s="47"/>
      <c r="Z134" s="47"/>
      <c r="AA134" s="47"/>
      <c r="AB134" s="47"/>
      <c r="AC134" s="693"/>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row>
    <row r="135" s="156" customFormat="true" ht="5.25" hidden="true" customHeight="true" outlineLevel="0" collapsed="false">
      <c r="A135" s="121"/>
      <c r="B135" s="47"/>
      <c r="C135" s="47"/>
      <c r="D135" s="198"/>
      <c r="E135" s="694"/>
      <c r="F135" s="695"/>
      <c r="G135" s="695"/>
      <c r="H135" s="696"/>
      <c r="I135" s="696"/>
      <c r="J135" s="696"/>
      <c r="K135" s="696"/>
      <c r="L135" s="696"/>
      <c r="M135" s="696"/>
      <c r="N135" s="696"/>
      <c r="O135" s="696"/>
      <c r="P135" s="696"/>
      <c r="Q135" s="696"/>
      <c r="R135" s="697"/>
      <c r="S135" s="698"/>
      <c r="T135" s="689"/>
      <c r="U135" s="121"/>
      <c r="V135" s="121"/>
      <c r="W135" s="47"/>
      <c r="X135" s="47"/>
      <c r="Y135" s="47"/>
      <c r="Z135" s="47"/>
      <c r="AA135" s="47"/>
      <c r="AB135" s="47"/>
      <c r="AC135" s="693"/>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row>
    <row r="136" customFormat="false" ht="17.25" hidden="false" customHeight="true" outlineLevel="0" collapsed="false">
      <c r="D136" s="1122"/>
    </row>
    <row r="137" s="1085" customFormat="true" ht="11.25" hidden="false" customHeight="true" outlineLevel="0" collapsed="false">
      <c r="A137" s="1085" t="s">
        <v>2063</v>
      </c>
    </row>
    <row r="139" s="53" customFormat="true" ht="45" hidden="false" customHeight="true" outlineLevel="0" collapsed="false">
      <c r="A139" s="44"/>
      <c r="B139" s="45"/>
      <c r="C139" s="157"/>
      <c r="E139" s="1123"/>
      <c r="F139" s="198" t="s">
        <v>120</v>
      </c>
      <c r="G139" s="1124"/>
      <c r="H139" s="417"/>
      <c r="I139" s="1125" t="s">
        <v>120</v>
      </c>
      <c r="J139" s="726" t="s">
        <v>2064</v>
      </c>
      <c r="K139" s="228" t="s">
        <v>559</v>
      </c>
      <c r="L139" s="356" t="s">
        <v>559</v>
      </c>
      <c r="M139" s="356"/>
      <c r="N139" s="228" t="s">
        <v>559</v>
      </c>
      <c r="O139" s="228" t="s">
        <v>559</v>
      </c>
      <c r="P139" s="228" t="s">
        <v>559</v>
      </c>
      <c r="Q139" s="862" t="n">
        <f aca="false">SUM(Q140:Q142)</f>
        <v>0</v>
      </c>
      <c r="R139" s="862" t="n">
        <f aca="false">IF(R136=0,0,(Q136/R136)*100)</f>
        <v>0</v>
      </c>
      <c r="S139" s="283"/>
      <c r="T139" s="682" t="s">
        <v>640</v>
      </c>
    </row>
    <row r="140" s="53" customFormat="true" ht="11.25" hidden="false" customHeight="true" outlineLevel="0" collapsed="false">
      <c r="A140" s="44"/>
      <c r="B140" s="45"/>
      <c r="C140" s="157"/>
      <c r="E140" s="1123"/>
      <c r="F140" s="198"/>
      <c r="G140" s="1124"/>
      <c r="H140" s="134"/>
      <c r="I140" s="811" t="s">
        <v>1191</v>
      </c>
      <c r="J140" s="923"/>
      <c r="K140" s="1126"/>
      <c r="L140" s="915"/>
      <c r="M140" s="1127" t="s">
        <v>120</v>
      </c>
      <c r="N140" s="307"/>
      <c r="O140" s="371"/>
      <c r="P140" s="1096"/>
      <c r="Q140" s="371"/>
      <c r="R140" s="458" t="n">
        <v>0</v>
      </c>
      <c r="S140" s="283"/>
      <c r="T140" s="682"/>
    </row>
    <row r="141" s="53" customFormat="true" ht="11.25" hidden="false" customHeight="true" outlineLevel="0" collapsed="false">
      <c r="A141" s="44"/>
      <c r="B141" s="45"/>
      <c r="C141" s="157"/>
      <c r="E141" s="1123"/>
      <c r="F141" s="198"/>
      <c r="G141" s="1124"/>
      <c r="H141" s="134"/>
      <c r="I141" s="811"/>
      <c r="J141" s="923"/>
      <c r="K141" s="1126"/>
      <c r="L141" s="1128"/>
      <c r="M141" s="1129"/>
      <c r="N141" s="168" t="s">
        <v>2065</v>
      </c>
      <c r="O141" s="168"/>
      <c r="P141" s="168"/>
      <c r="Q141" s="168"/>
      <c r="R141" s="207"/>
      <c r="S141" s="283"/>
      <c r="T141" s="682"/>
    </row>
    <row r="142" s="53" customFormat="true" ht="11.25" hidden="false" customHeight="true" outlineLevel="0" collapsed="false">
      <c r="A142" s="44"/>
      <c r="B142" s="45"/>
      <c r="C142" s="157"/>
      <c r="E142" s="1123"/>
      <c r="F142" s="198"/>
      <c r="G142" s="1124"/>
      <c r="H142" s="1128"/>
      <c r="I142" s="1129"/>
      <c r="J142" s="168" t="s">
        <v>2066</v>
      </c>
      <c r="K142" s="168"/>
      <c r="L142" s="168"/>
      <c r="M142" s="168"/>
      <c r="N142" s="168"/>
      <c r="O142" s="168"/>
      <c r="P142" s="168"/>
      <c r="Q142" s="168"/>
      <c r="R142" s="207"/>
      <c r="S142" s="283"/>
      <c r="T142" s="682"/>
    </row>
    <row r="147" s="53" customFormat="true" ht="11.25" hidden="false" customHeight="true" outlineLevel="0" collapsed="false">
      <c r="A147" s="44"/>
      <c r="B147" s="45"/>
      <c r="C147" s="157"/>
      <c r="E147" s="1112"/>
      <c r="F147" s="1112"/>
      <c r="G147" s="1112"/>
      <c r="H147" s="134"/>
      <c r="I147" s="811" t="s">
        <v>1191</v>
      </c>
      <c r="J147" s="923"/>
      <c r="K147" s="1126"/>
      <c r="L147" s="915"/>
      <c r="M147" s="1127" t="s">
        <v>120</v>
      </c>
      <c r="N147" s="307"/>
      <c r="O147" s="371"/>
      <c r="P147" s="1096"/>
      <c r="Q147" s="371"/>
      <c r="R147" s="458" t="n">
        <v>0</v>
      </c>
      <c r="T147" s="682"/>
    </row>
    <row r="148" s="53" customFormat="true" ht="11.25" hidden="false" customHeight="true" outlineLevel="0" collapsed="false">
      <c r="A148" s="44"/>
      <c r="B148" s="45"/>
      <c r="C148" s="157"/>
      <c r="E148" s="1112"/>
      <c r="F148" s="1112"/>
      <c r="G148" s="1112"/>
      <c r="H148" s="134"/>
      <c r="I148" s="811"/>
      <c r="J148" s="923"/>
      <c r="K148" s="1126"/>
      <c r="L148" s="1128"/>
      <c r="M148" s="1129"/>
      <c r="N148" s="168" t="s">
        <v>2065</v>
      </c>
      <c r="O148" s="168"/>
      <c r="P148" s="168"/>
      <c r="Q148" s="168"/>
      <c r="R148" s="207"/>
      <c r="T148" s="682"/>
    </row>
    <row r="150" s="53" customFormat="true" ht="11.25" hidden="false" customHeight="true" outlineLevel="0" collapsed="false">
      <c r="A150" s="44"/>
      <c r="B150" s="45"/>
      <c r="C150" s="157"/>
      <c r="E150" s="1130"/>
      <c r="H150" s="1131"/>
      <c r="I150" s="1112"/>
      <c r="J150" s="1114"/>
      <c r="K150" s="1114"/>
      <c r="L150" s="915"/>
      <c r="M150" s="1127" t="s">
        <v>120</v>
      </c>
      <c r="N150" s="307"/>
      <c r="O150" s="371"/>
      <c r="P150" s="1096"/>
      <c r="Q150" s="371"/>
      <c r="R150" s="458" t="n">
        <v>0</v>
      </c>
      <c r="T150" s="682"/>
    </row>
    <row r="152" s="1085" customFormat="true" ht="17.25" hidden="false" customHeight="true" outlineLevel="0" collapsed="false">
      <c r="A152" s="1085" t="s">
        <v>2067</v>
      </c>
    </row>
    <row r="153" customFormat="false" ht="17.25" hidden="false" customHeight="true" outlineLevel="0" collapsed="false">
      <c r="G153" s="1132"/>
      <c r="H153" s="1132"/>
      <c r="I153" s="1132"/>
    </row>
    <row r="154" s="175" customFormat="true" ht="17.25" hidden="false" customHeight="true" outlineLevel="0" collapsed="false">
      <c r="A154" s="230"/>
      <c r="C154" s="117"/>
      <c r="D154" s="227"/>
      <c r="E154" s="232"/>
      <c r="F154" s="233"/>
      <c r="G154" s="1133"/>
      <c r="H154" s="227"/>
      <c r="I154" s="227" t="n">
        <v>1</v>
      </c>
      <c r="J154" s="334"/>
      <c r="K154" s="204" t="s">
        <v>61</v>
      </c>
      <c r="L154" s="198"/>
      <c r="M154" s="198" t="s">
        <v>120</v>
      </c>
      <c r="N154" s="1134" t="str">
        <f aca="false">IF(Z154="","",INDEX(TERRITORY_MR_LIST,MATCH(Z154,TERRITORY_LIST_ID,0)))</f>
        <v/>
      </c>
      <c r="O154" s="204" t="s">
        <v>61</v>
      </c>
      <c r="P154" s="198"/>
      <c r="Q154" s="198" t="s">
        <v>120</v>
      </c>
      <c r="R154" s="307"/>
      <c r="S154" s="204" t="s">
        <v>61</v>
      </c>
      <c r="T154" s="198"/>
      <c r="U154" s="198" t="s">
        <v>120</v>
      </c>
      <c r="V154" s="307"/>
      <c r="W154" s="334"/>
      <c r="Y154" s="241"/>
      <c r="Z154" s="241"/>
      <c r="AA154" s="241"/>
      <c r="AB154" s="241"/>
      <c r="AC154" s="241"/>
      <c r="AD154" s="241"/>
      <c r="AE154" s="241"/>
      <c r="AF154" s="241"/>
      <c r="AG154" s="241"/>
      <c r="AH154" s="241"/>
      <c r="AI154" s="241"/>
      <c r="AJ154" s="241"/>
      <c r="AK154" s="241"/>
      <c r="AL154" s="52"/>
      <c r="AM154" s="52"/>
      <c r="AN154" s="241"/>
      <c r="AO154" s="241"/>
      <c r="AP154" s="241"/>
      <c r="AQ154" s="241"/>
    </row>
    <row r="155" s="175" customFormat="true" ht="17.25" hidden="false" customHeight="true" outlineLevel="0" collapsed="false">
      <c r="A155" s="230"/>
      <c r="D155" s="227"/>
      <c r="E155" s="232"/>
      <c r="F155" s="233"/>
      <c r="G155" s="1133"/>
      <c r="H155" s="227"/>
      <c r="I155" s="227"/>
      <c r="J155" s="334"/>
      <c r="K155" s="204"/>
      <c r="L155" s="198"/>
      <c r="M155" s="198"/>
      <c r="N155" s="1134"/>
      <c r="O155" s="204"/>
      <c r="P155" s="198"/>
      <c r="Q155" s="198"/>
      <c r="R155" s="307"/>
      <c r="S155" s="204"/>
      <c r="T155" s="1135"/>
      <c r="U155" s="1136"/>
      <c r="V155" s="1136" t="s">
        <v>427</v>
      </c>
      <c r="W155" s="1137"/>
      <c r="Y155" s="96"/>
      <c r="Z155" s="96"/>
      <c r="AA155" s="96"/>
      <c r="AB155" s="96"/>
      <c r="AC155" s="96"/>
      <c r="AD155" s="96"/>
      <c r="AE155" s="96"/>
      <c r="AF155" s="96"/>
      <c r="AG155" s="96"/>
      <c r="AH155" s="96"/>
      <c r="AI155" s="96"/>
      <c r="AJ155" s="96"/>
      <c r="AK155" s="96"/>
    </row>
    <row r="156" s="175" customFormat="true" ht="17.25" hidden="false" customHeight="true" outlineLevel="0" collapsed="false">
      <c r="A156" s="230"/>
      <c r="D156" s="227"/>
      <c r="E156" s="232"/>
      <c r="F156" s="233"/>
      <c r="G156" s="1133"/>
      <c r="H156" s="227"/>
      <c r="I156" s="227"/>
      <c r="J156" s="334"/>
      <c r="K156" s="204"/>
      <c r="L156" s="198"/>
      <c r="M156" s="198"/>
      <c r="N156" s="1134"/>
      <c r="O156" s="204"/>
      <c r="P156" s="1135"/>
      <c r="Q156" s="1136"/>
      <c r="R156" s="1136" t="s">
        <v>428</v>
      </c>
      <c r="S156" s="1138"/>
      <c r="T156" s="1138"/>
      <c r="U156" s="1138"/>
      <c r="V156" s="1138"/>
      <c r="W156" s="1137"/>
      <c r="Y156" s="96"/>
      <c r="Z156" s="96"/>
      <c r="AA156" s="96"/>
      <c r="AB156" s="96"/>
      <c r="AC156" s="96"/>
      <c r="AD156" s="96"/>
      <c r="AE156" s="96"/>
      <c r="AF156" s="96"/>
      <c r="AG156" s="96"/>
      <c r="AH156" s="96"/>
      <c r="AI156" s="96"/>
      <c r="AJ156" s="96"/>
      <c r="AK156" s="96"/>
    </row>
    <row r="157" s="175" customFormat="true" ht="17.25" hidden="false" customHeight="true" outlineLevel="0" collapsed="false">
      <c r="A157" s="230"/>
      <c r="D157" s="227"/>
      <c r="E157" s="232"/>
      <c r="F157" s="233"/>
      <c r="G157" s="1133"/>
      <c r="H157" s="227"/>
      <c r="I157" s="227"/>
      <c r="J157" s="334"/>
      <c r="K157" s="204"/>
      <c r="L157" s="1135"/>
      <c r="M157" s="1136"/>
      <c r="N157" s="1136" t="s">
        <v>429</v>
      </c>
      <c r="O157" s="1136"/>
      <c r="P157" s="1136"/>
      <c r="Q157" s="1136"/>
      <c r="R157" s="1136"/>
      <c r="S157" s="1138"/>
      <c r="T157" s="1138"/>
      <c r="U157" s="1138"/>
      <c r="V157" s="1138"/>
      <c r="W157" s="1137"/>
      <c r="Y157" s="96"/>
      <c r="Z157" s="96"/>
      <c r="AA157" s="96"/>
      <c r="AB157" s="96"/>
      <c r="AC157" s="96"/>
      <c r="AD157" s="96"/>
      <c r="AE157" s="96"/>
      <c r="AF157" s="96"/>
      <c r="AG157" s="96"/>
      <c r="AH157" s="96"/>
      <c r="AI157" s="96"/>
      <c r="AJ157" s="96"/>
      <c r="AK157" s="96"/>
    </row>
    <row r="158" s="175" customFormat="true" ht="17.25" hidden="false" customHeight="true" outlineLevel="0" collapsed="false">
      <c r="A158" s="230"/>
      <c r="D158" s="227"/>
      <c r="E158" s="232"/>
      <c r="F158" s="233"/>
      <c r="G158" s="1133"/>
      <c r="H158" s="1135"/>
      <c r="I158" s="1136"/>
      <c r="J158" s="1136" t="s">
        <v>461</v>
      </c>
      <c r="K158" s="1136"/>
      <c r="L158" s="1136"/>
      <c r="M158" s="1136"/>
      <c r="N158" s="1136"/>
      <c r="O158" s="1136"/>
      <c r="P158" s="1136"/>
      <c r="Q158" s="1136"/>
      <c r="R158" s="1136"/>
      <c r="S158" s="1138"/>
      <c r="T158" s="1138"/>
      <c r="U158" s="1138"/>
      <c r="V158" s="1138"/>
      <c r="W158" s="1137"/>
      <c r="Y158" s="96"/>
      <c r="Z158" s="96"/>
      <c r="AA158" s="96"/>
      <c r="AB158" s="96"/>
      <c r="AC158" s="96"/>
      <c r="AD158" s="96"/>
      <c r="AE158" s="96"/>
      <c r="AF158" s="96"/>
      <c r="AG158" s="96"/>
      <c r="AH158" s="96"/>
      <c r="AI158" s="96"/>
      <c r="AJ158" s="96"/>
      <c r="AK158" s="96"/>
    </row>
    <row r="159" customFormat="false" ht="17.25" hidden="false" customHeight="true" outlineLevel="0" collapsed="false">
      <c r="G159" s="1132"/>
      <c r="H159" s="1132"/>
      <c r="I159" s="1132"/>
    </row>
    <row r="160" s="175" customFormat="true" ht="17.25" hidden="false" customHeight="true" outlineLevel="0" collapsed="false">
      <c r="A160" s="230"/>
      <c r="C160" s="117"/>
      <c r="D160" s="1112"/>
      <c r="E160" s="1139"/>
      <c r="F160" s="1140"/>
      <c r="G160" s="1141"/>
      <c r="H160" s="227"/>
      <c r="I160" s="227" t="n">
        <v>1</v>
      </c>
      <c r="J160" s="334"/>
      <c r="K160" s="204" t="s">
        <v>61</v>
      </c>
      <c r="L160" s="198"/>
      <c r="M160" s="198" t="s">
        <v>120</v>
      </c>
      <c r="N160" s="1134" t="str">
        <f aca="false">IF(Z160="","",INDEX(TERRITORY_MR_LIST,MATCH(Z160,TERRITORY_LIST_ID,0)))</f>
        <v/>
      </c>
      <c r="O160" s="204" t="s">
        <v>61</v>
      </c>
      <c r="P160" s="198"/>
      <c r="Q160" s="198" t="s">
        <v>120</v>
      </c>
      <c r="R160" s="307"/>
      <c r="S160" s="204" t="s">
        <v>61</v>
      </c>
      <c r="T160" s="198"/>
      <c r="U160" s="198" t="s">
        <v>120</v>
      </c>
      <c r="V160" s="307"/>
      <c r="W160" s="334"/>
      <c r="Y160" s="241"/>
      <c r="Z160" s="241"/>
      <c r="AA160" s="241"/>
      <c r="AB160" s="241"/>
      <c r="AC160" s="241"/>
      <c r="AD160" s="241"/>
      <c r="AE160" s="241"/>
      <c r="AF160" s="241"/>
      <c r="AG160" s="241"/>
      <c r="AH160" s="241"/>
      <c r="AI160" s="241"/>
      <c r="AJ160" s="241"/>
      <c r="AK160" s="241"/>
      <c r="AL160" s="52"/>
      <c r="AM160" s="52"/>
      <c r="AN160" s="241"/>
      <c r="AO160" s="241"/>
      <c r="AP160" s="241"/>
      <c r="AQ160" s="241"/>
    </row>
    <row r="161" s="175" customFormat="true" ht="17.25" hidden="false" customHeight="true" outlineLevel="0" collapsed="false">
      <c r="A161" s="230"/>
      <c r="D161" s="1112"/>
      <c r="E161" s="1139"/>
      <c r="F161" s="1140"/>
      <c r="G161" s="1141"/>
      <c r="H161" s="227"/>
      <c r="I161" s="227"/>
      <c r="J161" s="334"/>
      <c r="K161" s="204"/>
      <c r="L161" s="198"/>
      <c r="M161" s="198"/>
      <c r="N161" s="1134"/>
      <c r="O161" s="204"/>
      <c r="P161" s="198"/>
      <c r="Q161" s="198"/>
      <c r="R161" s="307"/>
      <c r="S161" s="204"/>
      <c r="T161" s="1135"/>
      <c r="U161" s="1136"/>
      <c r="V161" s="1136" t="s">
        <v>427</v>
      </c>
      <c r="W161" s="1137"/>
      <c r="Y161" s="96"/>
      <c r="Z161" s="96"/>
      <c r="AA161" s="96"/>
      <c r="AB161" s="96"/>
      <c r="AC161" s="96"/>
      <c r="AD161" s="96"/>
      <c r="AE161" s="96"/>
      <c r="AF161" s="96"/>
      <c r="AG161" s="96"/>
      <c r="AH161" s="96"/>
      <c r="AI161" s="96"/>
      <c r="AJ161" s="96"/>
      <c r="AK161" s="96"/>
    </row>
    <row r="162" s="175" customFormat="true" ht="17.25" hidden="false" customHeight="true" outlineLevel="0" collapsed="false">
      <c r="A162" s="230"/>
      <c r="D162" s="1112"/>
      <c r="E162" s="1139"/>
      <c r="F162" s="1140"/>
      <c r="G162" s="1141"/>
      <c r="H162" s="227"/>
      <c r="I162" s="227"/>
      <c r="J162" s="334"/>
      <c r="K162" s="204"/>
      <c r="L162" s="198"/>
      <c r="M162" s="198"/>
      <c r="N162" s="1134"/>
      <c r="O162" s="204"/>
      <c r="P162" s="1135"/>
      <c r="Q162" s="1136"/>
      <c r="R162" s="1136" t="s">
        <v>428</v>
      </c>
      <c r="S162" s="1138"/>
      <c r="T162" s="1138"/>
      <c r="U162" s="1138"/>
      <c r="V162" s="1138"/>
      <c r="W162" s="1137"/>
      <c r="Y162" s="96"/>
      <c r="Z162" s="96"/>
      <c r="AA162" s="96"/>
      <c r="AB162" s="96"/>
      <c r="AC162" s="96"/>
      <c r="AD162" s="96"/>
      <c r="AE162" s="96"/>
      <c r="AF162" s="96"/>
      <c r="AG162" s="96"/>
      <c r="AH162" s="96"/>
      <c r="AI162" s="96"/>
      <c r="AJ162" s="96"/>
      <c r="AK162" s="96"/>
    </row>
    <row r="163" s="175" customFormat="true" ht="17.25" hidden="false" customHeight="true" outlineLevel="0" collapsed="false">
      <c r="A163" s="230"/>
      <c r="D163" s="1112"/>
      <c r="E163" s="1139"/>
      <c r="F163" s="1140"/>
      <c r="G163" s="1141"/>
      <c r="H163" s="227"/>
      <c r="I163" s="227"/>
      <c r="J163" s="334"/>
      <c r="K163" s="204"/>
      <c r="L163" s="1135"/>
      <c r="M163" s="1136"/>
      <c r="N163" s="1136" t="s">
        <v>429</v>
      </c>
      <c r="O163" s="1136"/>
      <c r="P163" s="1136"/>
      <c r="Q163" s="1136"/>
      <c r="R163" s="1136"/>
      <c r="S163" s="1138"/>
      <c r="T163" s="1138"/>
      <c r="U163" s="1138"/>
      <c r="V163" s="1138"/>
      <c r="W163" s="1137"/>
      <c r="Y163" s="96"/>
      <c r="Z163" s="96"/>
      <c r="AA163" s="96"/>
      <c r="AB163" s="96"/>
      <c r="AC163" s="96"/>
      <c r="AD163" s="96"/>
      <c r="AE163" s="96"/>
      <c r="AF163" s="96"/>
      <c r="AG163" s="96"/>
      <c r="AH163" s="96"/>
      <c r="AI163" s="96"/>
      <c r="AJ163" s="96"/>
      <c r="AK163" s="96"/>
    </row>
    <row r="164" customFormat="false" ht="17.25" hidden="false" customHeight="true" outlineLevel="0" collapsed="false">
      <c r="G164" s="1132"/>
      <c r="H164" s="1132"/>
      <c r="I164" s="1132"/>
    </row>
    <row r="165" s="175" customFormat="true" ht="17.25" hidden="false" customHeight="true" outlineLevel="0" collapsed="false">
      <c r="A165" s="230"/>
      <c r="C165" s="117"/>
      <c r="D165" s="1112"/>
      <c r="E165" s="1139"/>
      <c r="F165" s="1140"/>
      <c r="G165" s="1141"/>
      <c r="H165" s="1112"/>
      <c r="I165" s="1112"/>
      <c r="J165" s="1142"/>
      <c r="K165" s="1143"/>
      <c r="L165" s="198"/>
      <c r="M165" s="198" t="s">
        <v>120</v>
      </c>
      <c r="N165" s="1134" t="str">
        <f aca="false">IF(Z165="","",INDEX(TERRITORY_MR_LIST,MATCH(Z165,TERRITORY_LIST_ID,0)))</f>
        <v/>
      </c>
      <c r="O165" s="204" t="s">
        <v>61</v>
      </c>
      <c r="P165" s="198"/>
      <c r="Q165" s="198" t="s">
        <v>120</v>
      </c>
      <c r="R165" s="307"/>
      <c r="S165" s="204" t="s">
        <v>61</v>
      </c>
      <c r="T165" s="198"/>
      <c r="U165" s="198" t="s">
        <v>120</v>
      </c>
      <c r="V165" s="307"/>
      <c r="W165" s="334"/>
      <c r="Y165" s="241"/>
      <c r="Z165" s="241"/>
      <c r="AA165" s="241"/>
      <c r="AB165" s="241"/>
      <c r="AC165" s="241"/>
      <c r="AD165" s="241"/>
      <c r="AE165" s="241"/>
      <c r="AF165" s="241"/>
      <c r="AG165" s="241"/>
      <c r="AH165" s="241"/>
      <c r="AI165" s="241"/>
      <c r="AJ165" s="241"/>
      <c r="AK165" s="241"/>
      <c r="AL165" s="52"/>
      <c r="AM165" s="52"/>
      <c r="AN165" s="241"/>
      <c r="AO165" s="241"/>
      <c r="AP165" s="241"/>
      <c r="AQ165" s="241"/>
    </row>
    <row r="166" s="175" customFormat="true" ht="17.25" hidden="false" customHeight="true" outlineLevel="0" collapsed="false">
      <c r="A166" s="230"/>
      <c r="D166" s="1112"/>
      <c r="E166" s="1139"/>
      <c r="F166" s="1140"/>
      <c r="G166" s="1141"/>
      <c r="H166" s="1112"/>
      <c r="I166" s="1112"/>
      <c r="J166" s="1142"/>
      <c r="K166" s="1143"/>
      <c r="L166" s="198"/>
      <c r="M166" s="198"/>
      <c r="N166" s="1134"/>
      <c r="O166" s="204"/>
      <c r="P166" s="198"/>
      <c r="Q166" s="198"/>
      <c r="R166" s="307"/>
      <c r="S166" s="204"/>
      <c r="T166" s="1135"/>
      <c r="U166" s="1136"/>
      <c r="V166" s="1136" t="s">
        <v>427</v>
      </c>
      <c r="W166" s="1137"/>
      <c r="Y166" s="96"/>
      <c r="Z166" s="96"/>
      <c r="AA166" s="96"/>
      <c r="AB166" s="96"/>
      <c r="AC166" s="96"/>
      <c r="AD166" s="96"/>
      <c r="AE166" s="96"/>
      <c r="AF166" s="96"/>
      <c r="AG166" s="96"/>
      <c r="AH166" s="96"/>
      <c r="AI166" s="96"/>
      <c r="AJ166" s="96"/>
      <c r="AK166" s="96"/>
    </row>
    <row r="167" s="175" customFormat="true" ht="17.25" hidden="false" customHeight="true" outlineLevel="0" collapsed="false">
      <c r="A167" s="230"/>
      <c r="D167" s="1112"/>
      <c r="E167" s="1139"/>
      <c r="F167" s="1140"/>
      <c r="G167" s="1141"/>
      <c r="H167" s="1112"/>
      <c r="I167" s="1112"/>
      <c r="J167" s="1142"/>
      <c r="K167" s="1143"/>
      <c r="L167" s="198"/>
      <c r="M167" s="198"/>
      <c r="N167" s="1134"/>
      <c r="O167" s="204"/>
      <c r="P167" s="1135"/>
      <c r="Q167" s="1136"/>
      <c r="R167" s="1136" t="s">
        <v>428</v>
      </c>
      <c r="S167" s="1138"/>
      <c r="T167" s="1138"/>
      <c r="U167" s="1138"/>
      <c r="V167" s="1138"/>
      <c r="W167" s="1137"/>
      <c r="Y167" s="96"/>
      <c r="Z167" s="96"/>
      <c r="AA167" s="96"/>
      <c r="AB167" s="96"/>
      <c r="AC167" s="96"/>
      <c r="AD167" s="96"/>
      <c r="AE167" s="96"/>
      <c r="AF167" s="96"/>
      <c r="AG167" s="96"/>
      <c r="AH167" s="96"/>
      <c r="AI167" s="96"/>
      <c r="AJ167" s="96"/>
      <c r="AK167" s="96"/>
    </row>
    <row r="168" customFormat="false" ht="17.25" hidden="false" customHeight="true" outlineLevel="0" collapsed="false">
      <c r="G168" s="1132"/>
      <c r="H168" s="1132"/>
      <c r="I168" s="1132"/>
    </row>
    <row r="169" s="175" customFormat="true" ht="17.25" hidden="false" customHeight="true" outlineLevel="0" collapsed="false">
      <c r="A169" s="230"/>
      <c r="C169" s="117"/>
      <c r="D169" s="1112"/>
      <c r="E169" s="1139"/>
      <c r="F169" s="1140"/>
      <c r="G169" s="1141"/>
      <c r="H169" s="1112"/>
      <c r="I169" s="1112"/>
      <c r="J169" s="1142"/>
      <c r="K169" s="1143"/>
      <c r="L169" s="1144"/>
      <c r="M169" s="1144"/>
      <c r="N169" s="1145"/>
      <c r="O169" s="1146"/>
      <c r="P169" s="198"/>
      <c r="Q169" s="198" t="s">
        <v>120</v>
      </c>
      <c r="R169" s="307"/>
      <c r="S169" s="204" t="s">
        <v>61</v>
      </c>
      <c r="T169" s="198"/>
      <c r="U169" s="198" t="s">
        <v>120</v>
      </c>
      <c r="V169" s="307"/>
      <c r="W169" s="334"/>
      <c r="Y169" s="241"/>
      <c r="Z169" s="241"/>
      <c r="AA169" s="241"/>
      <c r="AB169" s="241"/>
      <c r="AC169" s="241"/>
      <c r="AD169" s="241"/>
      <c r="AE169" s="241"/>
      <c r="AF169" s="241"/>
      <c r="AG169" s="241"/>
      <c r="AH169" s="241"/>
      <c r="AI169" s="241"/>
      <c r="AJ169" s="241"/>
      <c r="AK169" s="241"/>
      <c r="AL169" s="52"/>
      <c r="AM169" s="52"/>
      <c r="AN169" s="241"/>
      <c r="AO169" s="241"/>
      <c r="AP169" s="241"/>
      <c r="AQ169" s="241"/>
    </row>
    <row r="170" s="175" customFormat="true" ht="17.25" hidden="false" customHeight="true" outlineLevel="0" collapsed="false">
      <c r="A170" s="230"/>
      <c r="D170" s="1112"/>
      <c r="E170" s="1139"/>
      <c r="F170" s="1140"/>
      <c r="G170" s="1141"/>
      <c r="H170" s="1112"/>
      <c r="I170" s="1112"/>
      <c r="J170" s="1142"/>
      <c r="K170" s="1143"/>
      <c r="L170" s="1144"/>
      <c r="M170" s="1144"/>
      <c r="N170" s="1145"/>
      <c r="O170" s="1146"/>
      <c r="P170" s="198"/>
      <c r="Q170" s="198"/>
      <c r="R170" s="307"/>
      <c r="S170" s="204"/>
      <c r="T170" s="1135"/>
      <c r="U170" s="1136"/>
      <c r="V170" s="1136" t="s">
        <v>427</v>
      </c>
      <c r="W170" s="1137"/>
      <c r="Y170" s="96"/>
      <c r="Z170" s="96"/>
      <c r="AA170" s="96"/>
      <c r="AB170" s="96"/>
      <c r="AC170" s="96"/>
      <c r="AD170" s="96"/>
      <c r="AE170" s="96"/>
      <c r="AF170" s="96"/>
      <c r="AG170" s="96"/>
      <c r="AH170" s="96"/>
      <c r="AI170" s="96"/>
      <c r="AJ170" s="96"/>
      <c r="AK170" s="96"/>
    </row>
    <row r="171" customFormat="false" ht="17.25" hidden="false" customHeight="true" outlineLevel="0" collapsed="false">
      <c r="G171" s="1132"/>
      <c r="H171" s="1132"/>
      <c r="I171" s="1132"/>
    </row>
    <row r="172" s="175" customFormat="true" ht="17.25" hidden="false" customHeight="true" outlineLevel="0" collapsed="false">
      <c r="A172" s="230"/>
      <c r="C172" s="117"/>
      <c r="D172" s="1112"/>
      <c r="E172" s="1139"/>
      <c r="F172" s="1140"/>
      <c r="G172" s="1141"/>
      <c r="H172" s="1144"/>
      <c r="I172" s="1144"/>
      <c r="J172" s="1147"/>
      <c r="K172" s="1141"/>
      <c r="L172" s="1144"/>
      <c r="M172" s="1144"/>
      <c r="N172" s="1141"/>
      <c r="O172" s="1141"/>
      <c r="P172" s="1144"/>
      <c r="Q172" s="1144"/>
      <c r="R172" s="1148"/>
      <c r="S172" s="1141"/>
      <c r="T172" s="198"/>
      <c r="U172" s="198" t="s">
        <v>120</v>
      </c>
      <c r="V172" s="307"/>
      <c r="W172" s="334"/>
      <c r="Y172" s="241"/>
      <c r="Z172" s="241"/>
      <c r="AA172" s="241"/>
      <c r="AB172" s="241"/>
      <c r="AC172" s="241"/>
      <c r="AD172" s="241"/>
      <c r="AE172" s="241"/>
      <c r="AF172" s="241"/>
      <c r="AG172" s="241"/>
      <c r="AH172" s="241"/>
      <c r="AI172" s="241"/>
      <c r="AJ172" s="241"/>
      <c r="AK172" s="241"/>
      <c r="AL172" s="52"/>
      <c r="AM172" s="52"/>
      <c r="AN172" s="241"/>
      <c r="AO172" s="241"/>
      <c r="AP172" s="241"/>
      <c r="AQ172" s="241"/>
    </row>
    <row r="174" s="1085" customFormat="true" ht="17.25" hidden="false" customHeight="true" outlineLevel="0" collapsed="false">
      <c r="A174" s="1085" t="s">
        <v>2068</v>
      </c>
    </row>
    <row r="175" customFormat="false" ht="17.25" hidden="false" customHeight="true" outlineLevel="0" collapsed="false">
      <c r="G175" s="1132"/>
      <c r="H175" s="1132"/>
      <c r="I175" s="1132"/>
    </row>
    <row r="176" s="175" customFormat="true" ht="17.25" hidden="false" customHeight="true" outlineLevel="0" collapsed="false">
      <c r="A176" s="230"/>
      <c r="C176" s="117"/>
      <c r="D176" s="227"/>
      <c r="E176" s="232"/>
      <c r="F176" s="233"/>
      <c r="G176" s="1133"/>
      <c r="H176" s="227"/>
      <c r="I176" s="227" t="n">
        <v>1</v>
      </c>
      <c r="J176" s="334"/>
      <c r="K176" s="204" t="s">
        <v>61</v>
      </c>
      <c r="L176" s="198"/>
      <c r="M176" s="198" t="s">
        <v>120</v>
      </c>
      <c r="N176" s="1134" t="str">
        <f aca="false">IF(Z176="","",INDEX(TERRITORY_MR_LIST,MATCH(Z176,TERRITORY_LIST_ID,0)))</f>
        <v/>
      </c>
      <c r="O176" s="204" t="s">
        <v>61</v>
      </c>
      <c r="P176" s="198"/>
      <c r="Q176" s="198" t="s">
        <v>120</v>
      </c>
      <c r="R176" s="307"/>
      <c r="S176" s="556" t="s">
        <v>19</v>
      </c>
      <c r="T176" s="556"/>
      <c r="U176" s="556" t="s">
        <v>120</v>
      </c>
      <c r="V176" s="1149"/>
      <c r="W176" s="334"/>
      <c r="Y176" s="241"/>
      <c r="Z176" s="241"/>
      <c r="AA176" s="241"/>
      <c r="AB176" s="241"/>
      <c r="AC176" s="241"/>
      <c r="AD176" s="241"/>
      <c r="AE176" s="241"/>
      <c r="AF176" s="241"/>
      <c r="AG176" s="241"/>
      <c r="AH176" s="241"/>
      <c r="AI176" s="241"/>
      <c r="AJ176" s="241"/>
      <c r="AK176" s="241"/>
      <c r="AL176" s="52"/>
      <c r="AM176" s="52"/>
      <c r="AN176" s="241"/>
      <c r="AO176" s="241"/>
      <c r="AP176" s="241"/>
      <c r="AQ176" s="241"/>
    </row>
    <row r="177" s="175" customFormat="true" ht="17.25" hidden="false" customHeight="true" outlineLevel="0" collapsed="false">
      <c r="A177" s="230"/>
      <c r="D177" s="227"/>
      <c r="E177" s="232"/>
      <c r="F177" s="233"/>
      <c r="G177" s="1133"/>
      <c r="H177" s="227"/>
      <c r="I177" s="227"/>
      <c r="J177" s="334"/>
      <c r="K177" s="204"/>
      <c r="L177" s="198"/>
      <c r="M177" s="198"/>
      <c r="N177" s="1134"/>
      <c r="O177" s="204"/>
      <c r="P177" s="198"/>
      <c r="Q177" s="198"/>
      <c r="R177" s="307"/>
      <c r="S177" s="556"/>
      <c r="T177" s="1150"/>
      <c r="U177" s="1151"/>
      <c r="V177" s="1151"/>
      <c r="W177" s="334"/>
      <c r="Y177" s="96"/>
      <c r="Z177" s="96"/>
      <c r="AA177" s="96"/>
      <c r="AB177" s="96"/>
      <c r="AC177" s="96"/>
      <c r="AD177" s="96"/>
      <c r="AE177" s="96"/>
      <c r="AF177" s="96"/>
      <c r="AG177" s="96"/>
      <c r="AH177" s="96"/>
      <c r="AI177" s="96"/>
      <c r="AJ177" s="96"/>
      <c r="AK177" s="96"/>
    </row>
    <row r="178" s="175" customFormat="true" ht="17.25" hidden="false" customHeight="true" outlineLevel="0" collapsed="false">
      <c r="A178" s="230"/>
      <c r="D178" s="227"/>
      <c r="E178" s="232"/>
      <c r="F178" s="233"/>
      <c r="G178" s="1133"/>
      <c r="H178" s="227"/>
      <c r="I178" s="227"/>
      <c r="J178" s="334"/>
      <c r="K178" s="204"/>
      <c r="L178" s="198"/>
      <c r="M178" s="198"/>
      <c r="N178" s="1134"/>
      <c r="O178" s="204"/>
      <c r="P178" s="1135"/>
      <c r="Q178" s="1136"/>
      <c r="R178" s="1136" t="s">
        <v>428</v>
      </c>
      <c r="S178" s="1138"/>
      <c r="T178" s="1138"/>
      <c r="U178" s="1138"/>
      <c r="V178" s="1138"/>
      <c r="W178" s="1152"/>
      <c r="Y178" s="96"/>
      <c r="Z178" s="96"/>
      <c r="AA178" s="96"/>
      <c r="AB178" s="96"/>
      <c r="AC178" s="96"/>
      <c r="AD178" s="96"/>
      <c r="AE178" s="96"/>
      <c r="AF178" s="96"/>
      <c r="AG178" s="96"/>
      <c r="AH178" s="96"/>
      <c r="AI178" s="96"/>
      <c r="AJ178" s="96"/>
      <c r="AK178" s="96"/>
    </row>
    <row r="179" s="175" customFormat="true" ht="17.25" hidden="false" customHeight="true" outlineLevel="0" collapsed="false">
      <c r="A179" s="230"/>
      <c r="D179" s="227"/>
      <c r="E179" s="232"/>
      <c r="F179" s="233"/>
      <c r="G179" s="1133"/>
      <c r="H179" s="227"/>
      <c r="I179" s="227"/>
      <c r="J179" s="334"/>
      <c r="K179" s="204"/>
      <c r="L179" s="1135"/>
      <c r="M179" s="1136"/>
      <c r="N179" s="1136" t="s">
        <v>429</v>
      </c>
      <c r="O179" s="1136"/>
      <c r="P179" s="1136"/>
      <c r="Q179" s="1136"/>
      <c r="R179" s="1136"/>
      <c r="S179" s="1138"/>
      <c r="T179" s="1138"/>
      <c r="U179" s="1138"/>
      <c r="V179" s="1138"/>
      <c r="W179" s="1137"/>
      <c r="Y179" s="96"/>
      <c r="Z179" s="96"/>
      <c r="AA179" s="96"/>
      <c r="AB179" s="96"/>
      <c r="AC179" s="96"/>
      <c r="AD179" s="96"/>
      <c r="AE179" s="96"/>
      <c r="AF179" s="96"/>
      <c r="AG179" s="96"/>
      <c r="AH179" s="96"/>
      <c r="AI179" s="96"/>
      <c r="AJ179" s="96"/>
      <c r="AK179" s="96"/>
    </row>
    <row r="180" s="175" customFormat="true" ht="17.25" hidden="false" customHeight="true" outlineLevel="0" collapsed="false">
      <c r="A180" s="230"/>
      <c r="D180" s="227"/>
      <c r="E180" s="232"/>
      <c r="F180" s="233"/>
      <c r="G180" s="1133"/>
      <c r="H180" s="1135"/>
      <c r="I180" s="1136"/>
      <c r="J180" s="1136" t="s">
        <v>461</v>
      </c>
      <c r="K180" s="1136"/>
      <c r="L180" s="1136"/>
      <c r="M180" s="1136"/>
      <c r="N180" s="1136"/>
      <c r="O180" s="1136"/>
      <c r="P180" s="1136"/>
      <c r="Q180" s="1136"/>
      <c r="R180" s="1136"/>
      <c r="S180" s="1138"/>
      <c r="T180" s="1138"/>
      <c r="U180" s="1138"/>
      <c r="V180" s="1138"/>
      <c r="W180" s="1137"/>
      <c r="Y180" s="96"/>
      <c r="Z180" s="96"/>
      <c r="AA180" s="96"/>
      <c r="AB180" s="96"/>
      <c r="AC180" s="96"/>
      <c r="AD180" s="96"/>
      <c r="AE180" s="96"/>
      <c r="AF180" s="96"/>
      <c r="AG180" s="96"/>
      <c r="AH180" s="96"/>
      <c r="AI180" s="96"/>
      <c r="AJ180" s="96"/>
      <c r="AK180" s="96"/>
    </row>
    <row r="181" customFormat="false" ht="17.25" hidden="false" customHeight="true" outlineLevel="0" collapsed="false"/>
    <row r="182" s="175" customFormat="true" ht="17.25" hidden="false" customHeight="true" outlineLevel="0" collapsed="false">
      <c r="A182" s="230"/>
      <c r="C182" s="117"/>
      <c r="D182" s="1112"/>
      <c r="E182" s="1139"/>
      <c r="F182" s="1140"/>
      <c r="G182" s="1141"/>
      <c r="H182" s="227"/>
      <c r="I182" s="227" t="n">
        <v>1</v>
      </c>
      <c r="J182" s="334"/>
      <c r="K182" s="204" t="s">
        <v>61</v>
      </c>
      <c r="L182" s="198"/>
      <c r="M182" s="198" t="s">
        <v>120</v>
      </c>
      <c r="N182" s="1134" t="str">
        <f aca="false">IF(Z182="","",INDEX(TERRITORY_MR_LIST,MATCH(Z182,TERRITORY_LIST_ID,0)))</f>
        <v/>
      </c>
      <c r="O182" s="204" t="s">
        <v>61</v>
      </c>
      <c r="P182" s="198"/>
      <c r="Q182" s="198" t="s">
        <v>120</v>
      </c>
      <c r="R182" s="307"/>
      <c r="S182" s="556" t="s">
        <v>19</v>
      </c>
      <c r="T182" s="556"/>
      <c r="U182" s="556" t="s">
        <v>120</v>
      </c>
      <c r="V182" s="1149"/>
      <c r="W182" s="334"/>
      <c r="Y182" s="241"/>
      <c r="Z182" s="241"/>
      <c r="AA182" s="241"/>
      <c r="AB182" s="241"/>
      <c r="AC182" s="241"/>
      <c r="AD182" s="241"/>
      <c r="AE182" s="241"/>
      <c r="AF182" s="241"/>
      <c r="AG182" s="241"/>
      <c r="AH182" s="241"/>
      <c r="AI182" s="241"/>
      <c r="AJ182" s="241"/>
      <c r="AK182" s="241"/>
      <c r="AL182" s="52"/>
      <c r="AM182" s="52"/>
      <c r="AN182" s="241"/>
      <c r="AO182" s="241"/>
      <c r="AP182" s="241"/>
      <c r="AQ182" s="241"/>
    </row>
    <row r="183" s="175" customFormat="true" ht="17.25" hidden="false" customHeight="true" outlineLevel="0" collapsed="false">
      <c r="A183" s="230"/>
      <c r="D183" s="1112"/>
      <c r="E183" s="1139"/>
      <c r="F183" s="1140"/>
      <c r="G183" s="1141"/>
      <c r="H183" s="227"/>
      <c r="I183" s="227"/>
      <c r="J183" s="334"/>
      <c r="K183" s="204"/>
      <c r="L183" s="198"/>
      <c r="M183" s="198"/>
      <c r="N183" s="1134"/>
      <c r="O183" s="204"/>
      <c r="P183" s="198"/>
      <c r="Q183" s="198"/>
      <c r="R183" s="307"/>
      <c r="S183" s="556"/>
      <c r="T183" s="1150"/>
      <c r="U183" s="1151"/>
      <c r="V183" s="1151"/>
      <c r="W183" s="334"/>
      <c r="Y183" s="96"/>
      <c r="Z183" s="96"/>
      <c r="AA183" s="96"/>
      <c r="AB183" s="96"/>
      <c r="AC183" s="96"/>
      <c r="AD183" s="96"/>
      <c r="AE183" s="96"/>
      <c r="AF183" s="96"/>
      <c r="AG183" s="96"/>
      <c r="AH183" s="96"/>
      <c r="AI183" s="96"/>
      <c r="AJ183" s="96"/>
      <c r="AK183" s="96"/>
    </row>
    <row r="184" s="175" customFormat="true" ht="17.25" hidden="false" customHeight="true" outlineLevel="0" collapsed="false">
      <c r="A184" s="230"/>
      <c r="D184" s="1112"/>
      <c r="E184" s="1139"/>
      <c r="F184" s="1140"/>
      <c r="G184" s="1141"/>
      <c r="H184" s="227"/>
      <c r="I184" s="227"/>
      <c r="J184" s="334"/>
      <c r="K184" s="204"/>
      <c r="L184" s="198"/>
      <c r="M184" s="198"/>
      <c r="N184" s="1134"/>
      <c r="O184" s="204"/>
      <c r="P184" s="1135"/>
      <c r="Q184" s="1136"/>
      <c r="R184" s="1136" t="s">
        <v>428</v>
      </c>
      <c r="S184" s="1138"/>
      <c r="T184" s="1138"/>
      <c r="U184" s="1138"/>
      <c r="V184" s="1138"/>
      <c r="W184" s="1152"/>
      <c r="Y184" s="96"/>
      <c r="Z184" s="96"/>
      <c r="AA184" s="96"/>
      <c r="AB184" s="96"/>
      <c r="AC184" s="96"/>
      <c r="AD184" s="96"/>
      <c r="AE184" s="96"/>
      <c r="AF184" s="96"/>
      <c r="AG184" s="96"/>
      <c r="AH184" s="96"/>
      <c r="AI184" s="96"/>
      <c r="AJ184" s="96"/>
      <c r="AK184" s="96"/>
    </row>
    <row r="185" s="175" customFormat="true" ht="17.25" hidden="false" customHeight="true" outlineLevel="0" collapsed="false">
      <c r="A185" s="230"/>
      <c r="D185" s="1112"/>
      <c r="E185" s="1139"/>
      <c r="F185" s="1140"/>
      <c r="G185" s="1141"/>
      <c r="H185" s="227"/>
      <c r="I185" s="227"/>
      <c r="J185" s="334"/>
      <c r="K185" s="204"/>
      <c r="L185" s="1135"/>
      <c r="M185" s="1136"/>
      <c r="N185" s="1136" t="s">
        <v>429</v>
      </c>
      <c r="O185" s="1136"/>
      <c r="P185" s="1136"/>
      <c r="Q185" s="1136"/>
      <c r="R185" s="1136"/>
      <c r="S185" s="1138"/>
      <c r="T185" s="1138"/>
      <c r="U185" s="1138"/>
      <c r="V185" s="1138"/>
      <c r="W185" s="1137"/>
      <c r="Y185" s="96"/>
      <c r="Z185" s="96"/>
      <c r="AA185" s="96"/>
      <c r="AB185" s="96"/>
      <c r="AC185" s="96"/>
      <c r="AD185" s="96"/>
      <c r="AE185" s="96"/>
      <c r="AF185" s="96"/>
      <c r="AG185" s="96"/>
      <c r="AH185" s="96"/>
      <c r="AI185" s="96"/>
      <c r="AJ185" s="96"/>
      <c r="AK185" s="96"/>
    </row>
    <row r="186" customFormat="false" ht="17.25" hidden="false" customHeight="true" outlineLevel="0" collapsed="false"/>
    <row r="187" s="175" customFormat="true" ht="17.25" hidden="false" customHeight="true" outlineLevel="0" collapsed="false">
      <c r="A187" s="230"/>
      <c r="C187" s="117"/>
      <c r="D187" s="1112"/>
      <c r="E187" s="1139"/>
      <c r="F187" s="1140"/>
      <c r="G187" s="1141"/>
      <c r="H187" s="1112"/>
      <c r="I187" s="1112"/>
      <c r="J187" s="1153"/>
      <c r="K187" s="1141"/>
      <c r="L187" s="198"/>
      <c r="M187" s="198" t="s">
        <v>120</v>
      </c>
      <c r="N187" s="1134" t="str">
        <f aca="false">IF(Z187="","",INDEX(TERRITORY_MR_LIST,MATCH(Z187,TERRITORY_LIST_ID,0)))</f>
        <v/>
      </c>
      <c r="O187" s="204" t="s">
        <v>61</v>
      </c>
      <c r="P187" s="198"/>
      <c r="Q187" s="198" t="s">
        <v>120</v>
      </c>
      <c r="R187" s="307"/>
      <c r="S187" s="556" t="s">
        <v>19</v>
      </c>
      <c r="T187" s="556"/>
      <c r="U187" s="556" t="s">
        <v>120</v>
      </c>
      <c r="V187" s="1149"/>
      <c r="W187" s="334"/>
      <c r="Y187" s="241"/>
      <c r="Z187" s="241"/>
      <c r="AA187" s="241"/>
      <c r="AB187" s="241"/>
      <c r="AC187" s="241"/>
      <c r="AD187" s="241"/>
      <c r="AE187" s="241"/>
      <c r="AF187" s="241"/>
      <c r="AG187" s="241"/>
      <c r="AH187" s="241"/>
      <c r="AI187" s="241"/>
      <c r="AJ187" s="241"/>
      <c r="AK187" s="241"/>
      <c r="AL187" s="52"/>
      <c r="AM187" s="52"/>
      <c r="AN187" s="241"/>
      <c r="AO187" s="241"/>
      <c r="AP187" s="241"/>
      <c r="AQ187" s="241"/>
    </row>
    <row r="188" s="175" customFormat="true" ht="17.25" hidden="false" customHeight="true" outlineLevel="0" collapsed="false">
      <c r="A188" s="230"/>
      <c r="D188" s="1112"/>
      <c r="E188" s="1139"/>
      <c r="F188" s="1140"/>
      <c r="G188" s="1141"/>
      <c r="H188" s="1112"/>
      <c r="I188" s="1112"/>
      <c r="J188" s="1153"/>
      <c r="K188" s="1141"/>
      <c r="L188" s="198"/>
      <c r="M188" s="198"/>
      <c r="N188" s="1134"/>
      <c r="O188" s="204"/>
      <c r="P188" s="198"/>
      <c r="Q188" s="198"/>
      <c r="R188" s="307"/>
      <c r="S188" s="556"/>
      <c r="T188" s="1150"/>
      <c r="U188" s="1151"/>
      <c r="V188" s="1151"/>
      <c r="W188" s="334"/>
      <c r="Y188" s="96"/>
      <c r="Z188" s="96"/>
      <c r="AA188" s="96"/>
      <c r="AB188" s="96"/>
      <c r="AC188" s="96"/>
      <c r="AD188" s="96"/>
      <c r="AE188" s="96"/>
      <c r="AF188" s="96"/>
      <c r="AG188" s="96"/>
      <c r="AH188" s="96"/>
      <c r="AI188" s="96"/>
      <c r="AJ188" s="96"/>
      <c r="AK188" s="96"/>
    </row>
    <row r="189" s="175" customFormat="true" ht="17.25" hidden="false" customHeight="true" outlineLevel="0" collapsed="false">
      <c r="A189" s="230"/>
      <c r="D189" s="1112"/>
      <c r="E189" s="1139"/>
      <c r="F189" s="1140"/>
      <c r="G189" s="1141"/>
      <c r="H189" s="1112"/>
      <c r="I189" s="1112"/>
      <c r="J189" s="1153"/>
      <c r="K189" s="1141"/>
      <c r="L189" s="198"/>
      <c r="M189" s="198"/>
      <c r="N189" s="1134"/>
      <c r="O189" s="204"/>
      <c r="P189" s="1135"/>
      <c r="Q189" s="1136"/>
      <c r="R189" s="1136" t="s">
        <v>428</v>
      </c>
      <c r="S189" s="1138"/>
      <c r="T189" s="1138"/>
      <c r="U189" s="1138"/>
      <c r="V189" s="1138"/>
      <c r="W189" s="1152"/>
      <c r="Y189" s="96"/>
      <c r="Z189" s="96"/>
      <c r="AA189" s="96"/>
      <c r="AB189" s="96"/>
      <c r="AC189" s="96"/>
      <c r="AD189" s="96"/>
      <c r="AE189" s="96"/>
      <c r="AF189" s="96"/>
      <c r="AG189" s="96"/>
      <c r="AH189" s="96"/>
      <c r="AI189" s="96"/>
      <c r="AJ189" s="96"/>
      <c r="AK189" s="96"/>
    </row>
    <row r="190" customFormat="false" ht="17.25" hidden="false" customHeight="true" outlineLevel="0" collapsed="false"/>
    <row r="191" s="175" customFormat="true" ht="17.25" hidden="false" customHeight="true" outlineLevel="0" collapsed="false">
      <c r="A191" s="230"/>
      <c r="C191" s="117"/>
      <c r="D191" s="1112"/>
      <c r="E191" s="1139"/>
      <c r="F191" s="1140"/>
      <c r="G191" s="1141"/>
      <c r="H191" s="1112"/>
      <c r="I191" s="1112"/>
      <c r="J191" s="1153"/>
      <c r="K191" s="1141"/>
      <c r="L191" s="1112"/>
      <c r="M191" s="1112"/>
      <c r="N191" s="1145"/>
      <c r="O191" s="1146"/>
      <c r="P191" s="198"/>
      <c r="Q191" s="198" t="s">
        <v>120</v>
      </c>
      <c r="R191" s="307"/>
      <c r="S191" s="556" t="s">
        <v>19</v>
      </c>
      <c r="T191" s="556"/>
      <c r="U191" s="556" t="s">
        <v>120</v>
      </c>
      <c r="V191" s="1149"/>
      <c r="W191" s="334"/>
      <c r="Y191" s="241"/>
      <c r="Z191" s="241"/>
      <c r="AA191" s="241"/>
      <c r="AB191" s="241"/>
      <c r="AC191" s="241"/>
      <c r="AD191" s="241"/>
      <c r="AE191" s="241"/>
      <c r="AF191" s="241"/>
      <c r="AG191" s="241"/>
      <c r="AH191" s="241"/>
      <c r="AI191" s="241"/>
      <c r="AJ191" s="241"/>
      <c r="AK191" s="241"/>
      <c r="AL191" s="52"/>
      <c r="AM191" s="52"/>
      <c r="AN191" s="241"/>
      <c r="AO191" s="241"/>
      <c r="AP191" s="241"/>
      <c r="AQ191" s="241"/>
    </row>
    <row r="192" s="175" customFormat="true" ht="17.25" hidden="false" customHeight="true" outlineLevel="0" collapsed="false">
      <c r="A192" s="230"/>
      <c r="D192" s="1112"/>
      <c r="E192" s="1139"/>
      <c r="F192" s="1140"/>
      <c r="G192" s="1141"/>
      <c r="H192" s="1112"/>
      <c r="I192" s="1112"/>
      <c r="J192" s="1153"/>
      <c r="K192" s="1141"/>
      <c r="L192" s="1112"/>
      <c r="M192" s="1112"/>
      <c r="N192" s="1145"/>
      <c r="O192" s="1146"/>
      <c r="P192" s="198"/>
      <c r="Q192" s="198"/>
      <c r="R192" s="307"/>
      <c r="S192" s="556"/>
      <c r="T192" s="1150"/>
      <c r="U192" s="1151"/>
      <c r="V192" s="1151"/>
      <c r="W192" s="334"/>
      <c r="Y192" s="96"/>
      <c r="Z192" s="96"/>
      <c r="AA192" s="96"/>
      <c r="AB192" s="96"/>
      <c r="AC192" s="96"/>
      <c r="AD192" s="96"/>
      <c r="AE192" s="96"/>
      <c r="AF192" s="96"/>
      <c r="AG192" s="96"/>
      <c r="AH192" s="96"/>
      <c r="AI192" s="96"/>
      <c r="AJ192" s="96"/>
      <c r="AK192" s="96"/>
    </row>
    <row r="193" customFormat="false" ht="17.25" hidden="false" customHeight="true" outlineLevel="0" collapsed="false"/>
    <row r="194" customFormat="false" ht="16.5" hidden="false" customHeight="true" outlineLevel="0" collapsed="false">
      <c r="A194" s="230"/>
      <c r="B194" s="175"/>
      <c r="C194" s="175"/>
      <c r="D194" s="227"/>
      <c r="E194" s="283"/>
      <c r="F194" s="283"/>
      <c r="G194" s="134"/>
      <c r="H194" s="234"/>
      <c r="I194" s="235"/>
      <c r="J194" s="236"/>
      <c r="K194" s="237"/>
      <c r="L194" s="237"/>
      <c r="M194" s="237"/>
      <c r="N194" s="238"/>
      <c r="O194" s="237"/>
      <c r="P194" s="237"/>
      <c r="Q194" s="237"/>
      <c r="R194" s="239"/>
      <c r="S194" s="237"/>
      <c r="T194" s="237"/>
      <c r="U194" s="237"/>
      <c r="V194" s="239"/>
      <c r="W194" s="240"/>
    </row>
    <row r="195" customFormat="false" ht="16.5" hidden="false" customHeight="true" outlineLevel="0" collapsed="false">
      <c r="A195" s="230"/>
      <c r="B195" s="175"/>
      <c r="C195" s="175"/>
      <c r="D195" s="227"/>
      <c r="E195" s="283"/>
      <c r="F195" s="283"/>
      <c r="G195" s="134"/>
      <c r="H195" s="234"/>
      <c r="I195" s="235"/>
      <c r="J195" s="236"/>
      <c r="K195" s="237"/>
      <c r="L195" s="237"/>
      <c r="M195" s="237"/>
      <c r="N195" s="238"/>
      <c r="O195" s="237"/>
      <c r="P195" s="237"/>
      <c r="Q195" s="237"/>
      <c r="R195" s="239"/>
      <c r="S195" s="237"/>
      <c r="T195" s="242"/>
      <c r="U195" s="242"/>
      <c r="V195" s="242"/>
      <c r="W195" s="243"/>
    </row>
    <row r="196" customFormat="false" ht="17.25" hidden="false" customHeight="true" outlineLevel="0" collapsed="false">
      <c r="A196" s="230"/>
      <c r="B196" s="175"/>
      <c r="C196" s="175"/>
      <c r="D196" s="227"/>
      <c r="E196" s="283"/>
      <c r="F196" s="283"/>
      <c r="G196" s="134"/>
      <c r="H196" s="234"/>
      <c r="I196" s="235"/>
      <c r="J196" s="236"/>
      <c r="K196" s="237"/>
      <c r="L196" s="237"/>
      <c r="M196" s="237"/>
      <c r="N196" s="238"/>
      <c r="O196" s="237"/>
      <c r="P196" s="114"/>
      <c r="Q196" s="242"/>
      <c r="R196" s="242"/>
      <c r="S196" s="175"/>
      <c r="T196" s="175"/>
      <c r="U196" s="175"/>
      <c r="V196" s="175"/>
      <c r="W196" s="243"/>
    </row>
    <row r="197" customFormat="false" ht="17.25" hidden="false" customHeight="true" outlineLevel="0" collapsed="false">
      <c r="A197" s="230"/>
      <c r="B197" s="175"/>
      <c r="C197" s="175"/>
      <c r="D197" s="227"/>
      <c r="E197" s="283"/>
      <c r="F197" s="283"/>
      <c r="G197" s="134"/>
      <c r="H197" s="234"/>
      <c r="I197" s="235"/>
      <c r="J197" s="236"/>
      <c r="K197" s="237"/>
      <c r="L197" s="242"/>
      <c r="M197" s="242"/>
      <c r="N197" s="242"/>
      <c r="O197" s="242"/>
      <c r="P197" s="242"/>
      <c r="Q197" s="242"/>
      <c r="R197" s="242"/>
      <c r="S197" s="175"/>
      <c r="T197" s="175"/>
      <c r="U197" s="175"/>
      <c r="V197" s="175"/>
      <c r="W197" s="243"/>
    </row>
    <row r="198" customFormat="false" ht="17.25" hidden="false" customHeight="true" outlineLevel="0" collapsed="false">
      <c r="A198" s="230"/>
      <c r="B198" s="175"/>
      <c r="C198" s="175"/>
      <c r="D198" s="227"/>
      <c r="E198" s="283"/>
      <c r="F198" s="283"/>
      <c r="G198" s="134"/>
      <c r="H198" s="244"/>
      <c r="I198" s="245"/>
      <c r="J198" s="245"/>
      <c r="K198" s="245"/>
      <c r="L198" s="245"/>
      <c r="M198" s="245"/>
      <c r="N198" s="245"/>
      <c r="O198" s="245"/>
      <c r="P198" s="245"/>
      <c r="Q198" s="245"/>
      <c r="R198" s="245"/>
      <c r="S198" s="246"/>
      <c r="T198" s="246"/>
      <c r="U198" s="246"/>
      <c r="V198" s="246"/>
      <c r="W198" s="247"/>
    </row>
    <row r="200" s="1085" customFormat="true" ht="17.25" hidden="false" customHeight="true" outlineLevel="0" collapsed="false">
      <c r="A200" s="1085" t="s">
        <v>2069</v>
      </c>
    </row>
    <row r="201" customFormat="false" ht="17.25" hidden="false" customHeight="true" outlineLevel="0" collapsed="false">
      <c r="G201" s="1132"/>
      <c r="H201" s="1132"/>
      <c r="I201" s="1132"/>
    </row>
    <row r="202" s="53" customFormat="true" ht="15" hidden="false" customHeight="true" outlineLevel="0" collapsed="false">
      <c r="D202" s="1154"/>
      <c r="E202" s="263"/>
      <c r="F202" s="263"/>
      <c r="G202" s="204"/>
      <c r="H202" s="1155"/>
      <c r="I202" s="1156" t="n">
        <v>1</v>
      </c>
      <c r="J202" s="1157"/>
      <c r="K202" s="1078"/>
      <c r="L202" s="1158" t="s">
        <v>61</v>
      </c>
      <c r="M202" s="1158" t="s">
        <v>61</v>
      </c>
      <c r="N202" s="1155"/>
      <c r="O202" s="198" t="s">
        <v>120</v>
      </c>
      <c r="P202" s="1159"/>
      <c r="Q202" s="1078"/>
      <c r="R202" s="1158" t="s">
        <v>61</v>
      </c>
      <c r="S202" s="1158" t="s">
        <v>61</v>
      </c>
      <c r="T202" s="1160"/>
      <c r="U202" s="198" t="s">
        <v>120</v>
      </c>
      <c r="V202" s="1161" t="str">
        <f aca="false">IF(AK202="","",INDEX(TERRITORY_MR_LIST,MATCH(AK202,TERRITORY_LIST_ID,0)))</f>
        <v/>
      </c>
      <c r="W202" s="205"/>
      <c r="X202" s="1158" t="s">
        <v>61</v>
      </c>
      <c r="Y202" s="1158" t="s">
        <v>19</v>
      </c>
      <c r="Z202" s="1155"/>
      <c r="AA202" s="198" t="s">
        <v>120</v>
      </c>
      <c r="AB202" s="335"/>
      <c r="AC202" s="268"/>
      <c r="AD202" s="204" t="s">
        <v>61</v>
      </c>
      <c r="AE202" s="204" t="s">
        <v>19</v>
      </c>
      <c r="AF202" s="205"/>
      <c r="AG202" s="198" t="s">
        <v>120</v>
      </c>
      <c r="AH202" s="1113"/>
      <c r="AI202" s="334"/>
    </row>
    <row r="203" s="53" customFormat="true" ht="15" hidden="false" customHeight="true" outlineLevel="0" collapsed="false">
      <c r="D203" s="1154"/>
      <c r="E203" s="263"/>
      <c r="F203" s="263"/>
      <c r="G203" s="204"/>
      <c r="H203" s="1155"/>
      <c r="I203" s="1156"/>
      <c r="J203" s="1157"/>
      <c r="K203" s="1162"/>
      <c r="L203" s="1158"/>
      <c r="M203" s="1158"/>
      <c r="N203" s="1155"/>
      <c r="O203" s="198"/>
      <c r="P203" s="1159"/>
      <c r="Q203" s="1163"/>
      <c r="R203" s="1158"/>
      <c r="S203" s="1158"/>
      <c r="T203" s="1160"/>
      <c r="U203" s="198"/>
      <c r="V203" s="1161"/>
      <c r="W203" s="1164"/>
      <c r="X203" s="1158"/>
      <c r="Y203" s="1158"/>
      <c r="Z203" s="1155"/>
      <c r="AA203" s="198"/>
      <c r="AB203" s="335"/>
      <c r="AC203" s="687"/>
      <c r="AD203" s="204"/>
      <c r="AE203" s="204"/>
      <c r="AF203" s="1165"/>
      <c r="AG203" s="1135"/>
      <c r="AH203" s="1137" t="s">
        <v>2070</v>
      </c>
      <c r="AI203" s="1137"/>
    </row>
    <row r="204" s="53" customFormat="true" ht="15" hidden="false" customHeight="true" outlineLevel="0" collapsed="false">
      <c r="D204" s="1154"/>
      <c r="E204" s="263"/>
      <c r="F204" s="263"/>
      <c r="G204" s="204"/>
      <c r="H204" s="1155"/>
      <c r="I204" s="1156"/>
      <c r="J204" s="1157"/>
      <c r="K204" s="1162"/>
      <c r="L204" s="1158"/>
      <c r="M204" s="1158"/>
      <c r="N204" s="1155"/>
      <c r="O204" s="198"/>
      <c r="P204" s="1159"/>
      <c r="Q204" s="1163"/>
      <c r="R204" s="1158"/>
      <c r="S204" s="1158"/>
      <c r="T204" s="1160"/>
      <c r="U204" s="198"/>
      <c r="V204" s="1161"/>
      <c r="W204" s="1164"/>
      <c r="X204" s="1158"/>
      <c r="Y204" s="1158"/>
      <c r="Z204" s="1164"/>
      <c r="AA204" s="1166"/>
      <c r="AB204" s="1167" t="s">
        <v>2071</v>
      </c>
      <c r="AC204" s="1167"/>
      <c r="AD204" s="1167"/>
      <c r="AE204" s="1167"/>
      <c r="AF204" s="1167"/>
      <c r="AG204" s="1167"/>
      <c r="AH204" s="1167"/>
      <c r="AI204" s="1167"/>
    </row>
    <row r="205" s="53" customFormat="true" ht="15" hidden="false" customHeight="true" outlineLevel="0" collapsed="false">
      <c r="D205" s="1154"/>
      <c r="E205" s="263"/>
      <c r="F205" s="263"/>
      <c r="G205" s="204"/>
      <c r="H205" s="1155"/>
      <c r="I205" s="1156"/>
      <c r="J205" s="1157"/>
      <c r="K205" s="1162"/>
      <c r="L205" s="1158"/>
      <c r="M205" s="1158"/>
      <c r="N205" s="1155"/>
      <c r="O205" s="198"/>
      <c r="P205" s="1159"/>
      <c r="Q205" s="1163"/>
      <c r="R205" s="1158"/>
      <c r="S205" s="1158"/>
      <c r="T205" s="1168"/>
      <c r="U205" s="1169"/>
      <c r="V205" s="1137" t="s">
        <v>114</v>
      </c>
      <c r="W205" s="1137"/>
      <c r="X205" s="1137"/>
      <c r="Y205" s="1137"/>
      <c r="Z205" s="1137"/>
      <c r="AA205" s="1137"/>
      <c r="AB205" s="1137"/>
      <c r="AC205" s="1137"/>
      <c r="AD205" s="1137"/>
      <c r="AE205" s="1137"/>
      <c r="AF205" s="1137"/>
      <c r="AG205" s="1137"/>
      <c r="AH205" s="1137"/>
      <c r="AI205" s="1137"/>
    </row>
    <row r="206" s="53" customFormat="true" ht="11.25" hidden="false" customHeight="true" outlineLevel="0" collapsed="false">
      <c r="D206" s="1154"/>
      <c r="E206" s="263"/>
      <c r="F206" s="263"/>
      <c r="G206" s="204"/>
      <c r="H206" s="1144"/>
      <c r="I206" s="1156"/>
      <c r="J206" s="1157"/>
      <c r="K206" s="1162"/>
      <c r="L206" s="1158"/>
      <c r="M206" s="1158"/>
      <c r="N206" s="1144"/>
      <c r="O206" s="1166"/>
      <c r="P206" s="1137" t="s">
        <v>2072</v>
      </c>
      <c r="Q206" s="1137"/>
      <c r="R206" s="1137"/>
      <c r="S206" s="1137"/>
      <c r="T206" s="1137"/>
      <c r="U206" s="1137"/>
      <c r="V206" s="1137"/>
      <c r="W206" s="1137"/>
      <c r="X206" s="1137"/>
      <c r="Y206" s="1137"/>
      <c r="Z206" s="1137"/>
      <c r="AA206" s="1137"/>
      <c r="AB206" s="1137"/>
      <c r="AC206" s="1137"/>
      <c r="AD206" s="1137"/>
      <c r="AE206" s="1137"/>
      <c r="AF206" s="1137"/>
      <c r="AG206" s="1137"/>
      <c r="AH206" s="1137"/>
      <c r="AI206" s="1137"/>
    </row>
    <row r="207" s="255" customFormat="true" ht="11.25" hidden="false" customHeight="true" outlineLevel="0" collapsed="false">
      <c r="D207" s="1154"/>
      <c r="E207" s="263"/>
      <c r="F207" s="263"/>
      <c r="G207" s="204"/>
      <c r="H207" s="1170"/>
      <c r="I207" s="1171"/>
      <c r="J207" s="1137" t="s">
        <v>461</v>
      </c>
      <c r="K207" s="1137"/>
      <c r="L207" s="1137"/>
      <c r="M207" s="1137"/>
      <c r="N207" s="1137"/>
      <c r="O207" s="1137"/>
      <c r="P207" s="1137"/>
      <c r="Q207" s="1137"/>
      <c r="R207" s="1137"/>
      <c r="S207" s="1137"/>
      <c r="T207" s="1137"/>
      <c r="U207" s="1137"/>
      <c r="V207" s="1137"/>
      <c r="W207" s="1137"/>
      <c r="X207" s="1137"/>
      <c r="Y207" s="1137"/>
      <c r="Z207" s="1137"/>
      <c r="AA207" s="1137"/>
      <c r="AB207" s="1137"/>
      <c r="AC207" s="1137"/>
      <c r="AD207" s="1137"/>
      <c r="AE207" s="1137"/>
      <c r="AF207" s="1137"/>
      <c r="AG207" s="1137"/>
      <c r="AH207" s="1137"/>
      <c r="AI207" s="1137"/>
      <c r="BK207" s="53"/>
    </row>
    <row r="208" customFormat="false" ht="17.25" hidden="false" customHeight="true" outlineLevel="0" collapsed="false">
      <c r="G208" s="1132"/>
      <c r="I208" s="1132"/>
      <c r="J208" s="1132"/>
    </row>
    <row r="209" s="53" customFormat="true" ht="15" hidden="false" customHeight="true" outlineLevel="0" collapsed="false">
      <c r="D209" s="1154"/>
      <c r="E209" s="263"/>
      <c r="F209" s="263"/>
      <c r="G209" s="283"/>
      <c r="H209" s="269"/>
      <c r="I209" s="270"/>
      <c r="J209" s="236"/>
      <c r="K209" s="236"/>
      <c r="L209" s="237"/>
      <c r="M209" s="237"/>
      <c r="N209" s="271"/>
      <c r="O209" s="237"/>
      <c r="P209" s="236"/>
      <c r="Q209" s="236"/>
      <c r="R209" s="237"/>
      <c r="S209" s="237"/>
      <c r="T209" s="272"/>
      <c r="U209" s="237"/>
      <c r="V209" s="236"/>
      <c r="W209" s="237"/>
      <c r="X209" s="237"/>
      <c r="Y209" s="237"/>
      <c r="Z209" s="271"/>
      <c r="AA209" s="237"/>
      <c r="AB209" s="236"/>
      <c r="AC209" s="273"/>
      <c r="AD209" s="237"/>
      <c r="AE209" s="237"/>
      <c r="AF209" s="237"/>
      <c r="AG209" s="237"/>
      <c r="AH209" s="271"/>
      <c r="AI209" s="240"/>
    </row>
    <row r="210" s="53" customFormat="true" ht="15" hidden="false" customHeight="true" outlineLevel="0" collapsed="false">
      <c r="D210" s="1154"/>
      <c r="E210" s="263"/>
      <c r="F210" s="263"/>
      <c r="G210" s="283"/>
      <c r="H210" s="274"/>
      <c r="I210" s="270"/>
      <c r="J210" s="236"/>
      <c r="K210" s="75"/>
      <c r="L210" s="237"/>
      <c r="M210" s="237"/>
      <c r="N210" s="50"/>
      <c r="O210" s="237"/>
      <c r="P210" s="236"/>
      <c r="Q210" s="275"/>
      <c r="R210" s="237"/>
      <c r="S210" s="237"/>
      <c r="T210" s="276"/>
      <c r="U210" s="237"/>
      <c r="V210" s="236"/>
      <c r="W210" s="114"/>
      <c r="X210" s="237"/>
      <c r="Y210" s="237"/>
      <c r="Z210" s="50"/>
      <c r="AA210" s="237"/>
      <c r="AB210" s="236"/>
      <c r="AC210" s="75"/>
      <c r="AD210" s="237"/>
      <c r="AE210" s="237"/>
      <c r="AF210" s="242"/>
      <c r="AG210" s="242"/>
      <c r="AH210" s="243"/>
      <c r="AI210" s="243"/>
    </row>
    <row r="211" s="53" customFormat="true" ht="15" hidden="false" customHeight="true" outlineLevel="0" collapsed="false">
      <c r="D211" s="1154"/>
      <c r="E211" s="263"/>
      <c r="F211" s="263"/>
      <c r="G211" s="283"/>
      <c r="H211" s="274"/>
      <c r="I211" s="270"/>
      <c r="J211" s="236"/>
      <c r="K211" s="75"/>
      <c r="L211" s="237"/>
      <c r="M211" s="237"/>
      <c r="N211" s="50"/>
      <c r="O211" s="237"/>
      <c r="P211" s="236"/>
      <c r="Q211" s="275"/>
      <c r="R211" s="237"/>
      <c r="S211" s="237"/>
      <c r="T211" s="276"/>
      <c r="U211" s="237"/>
      <c r="V211" s="236"/>
      <c r="W211" s="114"/>
      <c r="X211" s="237"/>
      <c r="Y211" s="237"/>
      <c r="Z211" s="114"/>
      <c r="AA211" s="242"/>
      <c r="AB211" s="243"/>
      <c r="AC211" s="243"/>
      <c r="AD211" s="243"/>
      <c r="AE211" s="243"/>
      <c r="AF211" s="243"/>
      <c r="AG211" s="243"/>
      <c r="AH211" s="243"/>
      <c r="AI211" s="243"/>
    </row>
    <row r="212" s="53" customFormat="true" ht="15" hidden="false" customHeight="true" outlineLevel="0" collapsed="false">
      <c r="D212" s="1154"/>
      <c r="E212" s="263"/>
      <c r="F212" s="263"/>
      <c r="G212" s="283"/>
      <c r="H212" s="274"/>
      <c r="I212" s="270"/>
      <c r="J212" s="236"/>
      <c r="K212" s="75"/>
      <c r="L212" s="237"/>
      <c r="M212" s="237"/>
      <c r="N212" s="50"/>
      <c r="O212" s="237"/>
      <c r="P212" s="236"/>
      <c r="Q212" s="275"/>
      <c r="R212" s="237"/>
      <c r="S212" s="237"/>
      <c r="T212" s="277"/>
      <c r="U212" s="278"/>
      <c r="V212" s="243"/>
      <c r="W212" s="243"/>
      <c r="X212" s="243"/>
      <c r="Y212" s="243"/>
      <c r="Z212" s="243"/>
      <c r="AA212" s="243"/>
      <c r="AB212" s="243"/>
      <c r="AC212" s="243"/>
      <c r="AD212" s="243"/>
      <c r="AE212" s="243"/>
      <c r="AF212" s="243"/>
      <c r="AG212" s="243"/>
      <c r="AH212" s="243"/>
      <c r="AI212" s="243"/>
    </row>
    <row r="213" s="53" customFormat="true" ht="11.25" hidden="false" customHeight="true" outlineLevel="0" collapsed="false">
      <c r="D213" s="1154"/>
      <c r="E213" s="263"/>
      <c r="F213" s="263"/>
      <c r="G213" s="283"/>
      <c r="H213" s="279"/>
      <c r="I213" s="270"/>
      <c r="J213" s="236"/>
      <c r="K213" s="75"/>
      <c r="L213" s="237"/>
      <c r="M213" s="237"/>
      <c r="N213" s="242"/>
      <c r="O213" s="242"/>
      <c r="P213" s="243"/>
      <c r="Q213" s="243"/>
      <c r="R213" s="243"/>
      <c r="S213" s="243"/>
      <c r="T213" s="243"/>
      <c r="U213" s="243"/>
      <c r="V213" s="243"/>
      <c r="W213" s="243"/>
      <c r="X213" s="243"/>
      <c r="Y213" s="243"/>
      <c r="Z213" s="243"/>
      <c r="AA213" s="243"/>
      <c r="AB213" s="243"/>
      <c r="AC213" s="243"/>
      <c r="AD213" s="243"/>
      <c r="AE213" s="243"/>
      <c r="AF213" s="243"/>
      <c r="AG213" s="243"/>
      <c r="AH213" s="243"/>
      <c r="AI213" s="243"/>
    </row>
    <row r="214" s="255" customFormat="true" ht="11.25" hidden="false" customHeight="true" outlineLevel="0" collapsed="false">
      <c r="D214" s="1154"/>
      <c r="E214" s="263"/>
      <c r="F214" s="263"/>
      <c r="G214" s="283"/>
      <c r="H214" s="280"/>
      <c r="I214" s="281"/>
      <c r="J214" s="247"/>
      <c r="K214" s="247"/>
      <c r="L214" s="247"/>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H214" s="247"/>
      <c r="AI214" s="247"/>
      <c r="BK214" s="53"/>
    </row>
    <row r="215" customFormat="false" ht="17.25" hidden="false" customHeight="true" outlineLevel="0" collapsed="false"/>
  </sheetData>
  <mergeCells count="287">
    <mergeCell ref="A13:A15"/>
    <mergeCell ref="D23:D25"/>
    <mergeCell ref="E23:E25"/>
    <mergeCell ref="F23:F25"/>
    <mergeCell ref="G23:G24"/>
    <mergeCell ref="H23:H24"/>
    <mergeCell ref="I23:I24"/>
    <mergeCell ref="J23:J24"/>
    <mergeCell ref="G29:G30"/>
    <mergeCell ref="H29:H30"/>
    <mergeCell ref="I29:I30"/>
    <mergeCell ref="J29:J30"/>
    <mergeCell ref="A47:A51"/>
    <mergeCell ref="C47:C51"/>
    <mergeCell ref="F72:F73"/>
    <mergeCell ref="G72:G73"/>
    <mergeCell ref="H72:H73"/>
    <mergeCell ref="I72:I73"/>
    <mergeCell ref="J72:J73"/>
    <mergeCell ref="K72:K73"/>
    <mergeCell ref="L72:L73"/>
    <mergeCell ref="M72:M73"/>
    <mergeCell ref="N72:N73"/>
    <mergeCell ref="O72:O73"/>
    <mergeCell ref="P72:P73"/>
    <mergeCell ref="Q72:Q73"/>
    <mergeCell ref="R72:R73"/>
    <mergeCell ref="S72:S73"/>
    <mergeCell ref="T72:T73"/>
    <mergeCell ref="U72:U73"/>
    <mergeCell ref="V72:V73"/>
    <mergeCell ref="W72:W73"/>
    <mergeCell ref="X72:X73"/>
    <mergeCell ref="Y72:Y73"/>
    <mergeCell ref="F82:F87"/>
    <mergeCell ref="G82:G86"/>
    <mergeCell ref="H82:H86"/>
    <mergeCell ref="I82:I86"/>
    <mergeCell ref="J82:J86"/>
    <mergeCell ref="K82:K86"/>
    <mergeCell ref="L82:L86"/>
    <mergeCell ref="M82:M86"/>
    <mergeCell ref="AF82:AF86"/>
    <mergeCell ref="AG82:AG86"/>
    <mergeCell ref="AH82:AH86"/>
    <mergeCell ref="AI82:AI86"/>
    <mergeCell ref="AJ82:AJ86"/>
    <mergeCell ref="AK82:AK86"/>
    <mergeCell ref="N83:N85"/>
    <mergeCell ref="O83:O85"/>
    <mergeCell ref="P83:P85"/>
    <mergeCell ref="Q83:Q85"/>
    <mergeCell ref="R83:R85"/>
    <mergeCell ref="S83:S85"/>
    <mergeCell ref="T83:T85"/>
    <mergeCell ref="U83:U85"/>
    <mergeCell ref="V83:V85"/>
    <mergeCell ref="W83:W85"/>
    <mergeCell ref="X83:X85"/>
    <mergeCell ref="Y83:Y85"/>
    <mergeCell ref="I87:K87"/>
    <mergeCell ref="N91:N93"/>
    <mergeCell ref="O91:O93"/>
    <mergeCell ref="P91:P93"/>
    <mergeCell ref="Q91:Q93"/>
    <mergeCell ref="R91:R93"/>
    <mergeCell ref="S91:S93"/>
    <mergeCell ref="T91:T93"/>
    <mergeCell ref="U91:U93"/>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D115:D123"/>
    <mergeCell ref="E115:G115"/>
    <mergeCell ref="H115:R115"/>
    <mergeCell ref="AC115:AC120"/>
    <mergeCell ref="E116:G116"/>
    <mergeCell ref="H116:R116"/>
    <mergeCell ref="E117:G117"/>
    <mergeCell ref="H117:R117"/>
    <mergeCell ref="E118:P118"/>
    <mergeCell ref="U118:U120"/>
    <mergeCell ref="V118:V120"/>
    <mergeCell ref="E121:P121"/>
    <mergeCell ref="U121:U123"/>
    <mergeCell ref="V121:V123"/>
    <mergeCell ref="D127:D135"/>
    <mergeCell ref="E127:G127"/>
    <mergeCell ref="H127:R127"/>
    <mergeCell ref="AC127:AC132"/>
    <mergeCell ref="E128:G128"/>
    <mergeCell ref="H128:R128"/>
    <mergeCell ref="E129:G129"/>
    <mergeCell ref="H129:R129"/>
    <mergeCell ref="E130:P130"/>
    <mergeCell ref="U130:U132"/>
    <mergeCell ref="V130:V132"/>
    <mergeCell ref="U133:U135"/>
    <mergeCell ref="V133:V135"/>
    <mergeCell ref="E139:E142"/>
    <mergeCell ref="F139:F142"/>
    <mergeCell ref="G139:G142"/>
    <mergeCell ref="L139:M139"/>
    <mergeCell ref="S139:S142"/>
    <mergeCell ref="H140:H141"/>
    <mergeCell ref="I140:I141"/>
    <mergeCell ref="J140:J141"/>
    <mergeCell ref="K140:K141"/>
    <mergeCell ref="H147:H148"/>
    <mergeCell ref="I147:I148"/>
    <mergeCell ref="J147:J148"/>
    <mergeCell ref="K147:K148"/>
    <mergeCell ref="D154:D158"/>
    <mergeCell ref="E154:E158"/>
    <mergeCell ref="F154:F158"/>
    <mergeCell ref="G154:G158"/>
    <mergeCell ref="H154:H157"/>
    <mergeCell ref="I154:I157"/>
    <mergeCell ref="J154:J157"/>
    <mergeCell ref="K154:K157"/>
    <mergeCell ref="L154:L156"/>
    <mergeCell ref="M154:M156"/>
    <mergeCell ref="N154:N156"/>
    <mergeCell ref="O154:O156"/>
    <mergeCell ref="P154:P155"/>
    <mergeCell ref="Q154:Q155"/>
    <mergeCell ref="R154:R155"/>
    <mergeCell ref="S154:S155"/>
    <mergeCell ref="H160:H163"/>
    <mergeCell ref="I160:I163"/>
    <mergeCell ref="J160:J163"/>
    <mergeCell ref="K160:K163"/>
    <mergeCell ref="L160:L162"/>
    <mergeCell ref="M160:M162"/>
    <mergeCell ref="N160:N162"/>
    <mergeCell ref="O160:O162"/>
    <mergeCell ref="P160:P161"/>
    <mergeCell ref="Q160:Q161"/>
    <mergeCell ref="R160:R161"/>
    <mergeCell ref="S160:S161"/>
    <mergeCell ref="L165:L167"/>
    <mergeCell ref="M165:M167"/>
    <mergeCell ref="N165:N167"/>
    <mergeCell ref="O165:O167"/>
    <mergeCell ref="P165:P166"/>
    <mergeCell ref="Q165:Q166"/>
    <mergeCell ref="R165:R166"/>
    <mergeCell ref="S165:S166"/>
    <mergeCell ref="P169:P170"/>
    <mergeCell ref="Q169:Q170"/>
    <mergeCell ref="R169:R170"/>
    <mergeCell ref="S169:S170"/>
    <mergeCell ref="D176:D180"/>
    <mergeCell ref="E176:E180"/>
    <mergeCell ref="F176:F180"/>
    <mergeCell ref="G176:G180"/>
    <mergeCell ref="H176:H179"/>
    <mergeCell ref="I176:I179"/>
    <mergeCell ref="J176:J179"/>
    <mergeCell ref="K176:K179"/>
    <mergeCell ref="L176:L178"/>
    <mergeCell ref="M176:M178"/>
    <mergeCell ref="N176:N178"/>
    <mergeCell ref="O176:O178"/>
    <mergeCell ref="P176:P177"/>
    <mergeCell ref="Q176:Q177"/>
    <mergeCell ref="R176:R177"/>
    <mergeCell ref="S176:S177"/>
    <mergeCell ref="W176:W177"/>
    <mergeCell ref="H182:H185"/>
    <mergeCell ref="I182:I185"/>
    <mergeCell ref="J182:J185"/>
    <mergeCell ref="K182:K185"/>
    <mergeCell ref="L182:L184"/>
    <mergeCell ref="M182:M184"/>
    <mergeCell ref="N182:N184"/>
    <mergeCell ref="O182:O184"/>
    <mergeCell ref="P182:P183"/>
    <mergeCell ref="Q182:Q183"/>
    <mergeCell ref="R182:R183"/>
    <mergeCell ref="S182:S183"/>
    <mergeCell ref="W182:W183"/>
    <mergeCell ref="L187:L189"/>
    <mergeCell ref="M187:M189"/>
    <mergeCell ref="N187:N189"/>
    <mergeCell ref="O187:O189"/>
    <mergeCell ref="P187:P188"/>
    <mergeCell ref="Q187:Q188"/>
    <mergeCell ref="R187:R188"/>
    <mergeCell ref="S187:S188"/>
    <mergeCell ref="W187:W188"/>
    <mergeCell ref="P191:P192"/>
    <mergeCell ref="Q191:Q192"/>
    <mergeCell ref="R191:R192"/>
    <mergeCell ref="S191:S192"/>
    <mergeCell ref="W191:W192"/>
    <mergeCell ref="D194:D198"/>
    <mergeCell ref="E194:E198"/>
    <mergeCell ref="F194:F198"/>
    <mergeCell ref="G194:G198"/>
    <mergeCell ref="H194:H197"/>
    <mergeCell ref="I194:I197"/>
    <mergeCell ref="J194:J197"/>
    <mergeCell ref="K194:K197"/>
    <mergeCell ref="L194:L196"/>
    <mergeCell ref="M194:M196"/>
    <mergeCell ref="N194:N196"/>
    <mergeCell ref="O194:O196"/>
    <mergeCell ref="P194:P195"/>
    <mergeCell ref="Q194:Q195"/>
    <mergeCell ref="R194:R195"/>
    <mergeCell ref="S194:S195"/>
    <mergeCell ref="D202:D207"/>
    <mergeCell ref="E202:E207"/>
    <mergeCell ref="F202:F207"/>
    <mergeCell ref="G202:G207"/>
    <mergeCell ref="I202:I206"/>
    <mergeCell ref="J202:J206"/>
    <mergeCell ref="L202:L206"/>
    <mergeCell ref="M202:M206"/>
    <mergeCell ref="O202:O205"/>
    <mergeCell ref="P202:P205"/>
    <mergeCell ref="R202:R205"/>
    <mergeCell ref="S202:S205"/>
    <mergeCell ref="U202:U204"/>
    <mergeCell ref="V202:V204"/>
    <mergeCell ref="X202:X204"/>
    <mergeCell ref="Y202:Y204"/>
    <mergeCell ref="AA202:AA203"/>
    <mergeCell ref="AB202:AB203"/>
    <mergeCell ref="AD202:AD203"/>
    <mergeCell ref="AE202:AE203"/>
    <mergeCell ref="AH203:AI203"/>
    <mergeCell ref="AB204:AI204"/>
    <mergeCell ref="V205:AI205"/>
    <mergeCell ref="P206:AI206"/>
    <mergeCell ref="J207:AI207"/>
    <mergeCell ref="D209:D214"/>
    <mergeCell ref="E209:E214"/>
    <mergeCell ref="F209:F214"/>
    <mergeCell ref="G209:G214"/>
    <mergeCell ref="I209:I213"/>
    <mergeCell ref="J209:J213"/>
    <mergeCell ref="L209:L213"/>
    <mergeCell ref="M209:M213"/>
    <mergeCell ref="O209:O212"/>
    <mergeCell ref="P209:P212"/>
    <mergeCell ref="R209:R212"/>
    <mergeCell ref="S209:S212"/>
    <mergeCell ref="U209:U211"/>
    <mergeCell ref="V209:V211"/>
    <mergeCell ref="X209:X211"/>
    <mergeCell ref="Y209:Y211"/>
    <mergeCell ref="AA209:AA210"/>
    <mergeCell ref="AB209:AB210"/>
    <mergeCell ref="AD209:AD210"/>
    <mergeCell ref="AE209:AE210"/>
    <mergeCell ref="AH210:AI210"/>
    <mergeCell ref="AB211:AI211"/>
    <mergeCell ref="V212:AI212"/>
    <mergeCell ref="P213:AI213"/>
    <mergeCell ref="J214:AI214"/>
  </mergeCells>
  <dataValidations count="20">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49 G64 I72:J72 T72 X72 I77:J77 T77 X77"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54:F156 K154 O154 S154:S155 F157:F158 F160:F162 K160 O160 S160:S161 F163 F165:F167 K165 O165 S165:S166 F169:F170 K169 O169 S169:S170 F172 F176:F178 K176 O176 S176:S177 F179:F180 F182:F184 K182 O182 S182:S183 F185 F187:F189 O187 S187:S188 F191:F192 O191 S191:S192 K194:K195 O194:O195 S194:S195" type="none">
      <formula1>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54:G158 G160:G163 G165:G167 G169:G170 G172 G176:G180 G182:G185 G187:G189 G191:G192" type="none">
      <formula1>0</formula1>
      <formula2>0</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60" type="none">
      <formula1>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56" type="none">
      <formula1>0</formula1>
      <formula2>0</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72 G7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E4 E8 G13 M34 E39 E43:F43 F48 F50:F51 E60 E64:F64 E68 G68 L72:M72 Q72:S72 U72:W72 AB72 L77:M77 Q77:S77 U77:W77 AB77 K82:K83 M82 K84:K85 K91:K93 K97 K101:K102 M101 K103:K104 I110 J154:J155 R154:R155 V154:W154 J160:J161 R160:R161 V160:W160 J165:J166 R165:R166 V165:W165 J169:J170 R169:R170 V169:W169 J172 R172 V172:W172 J176:J177 R176:R177 V176:W176 J182:J183 R182:R183 V182:W182 J187:J188 R187:R188 V187:W187 J191:J192 R191:R192 V191:W191 J194:J195 R194:R195 V194:W194 J202:J203 P202:P205 AI202 J204:J206 J209:J210 P209:P212 AI209 J211:J21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60:I60 K60 M60 O60 Q60 T60 X60 AB60 AC84 AE84 AC92 AE92 AC97 AE97 AC103 AE103 O140 Q140 O147 Q147 O150 Q150" type="decimal">
      <formula1>0</formula1>
      <formula2>9.99999999999999E+023</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94:N196" type="list">
      <formula1>DESCRIPTION_TERRITORY</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K56 H64 F68"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39 K72 K77 I82:J85 I97:J97 I101:J104" type="list">
      <formula1>"a"</formula1>
      <formula2>0</formula2>
    </dataValidation>
    <dataValidation allowBlank="true" error="Допускается ввод не более 900 символов!" errorStyle="stop" operator="lessThan" showDropDown="false" showErrorMessage="true" showInputMessage="true" sqref="M23 M29" type="textLength">
      <formula1>900</formula1>
      <formula2>0</formula2>
    </dataValidation>
    <dataValidation allowBlank="true" errorStyle="stop" operator="between" showDropDown="false" showErrorMessage="true" showInputMessage="true" sqref="I34" type="list">
      <formula1>DESCRIPTION_TERRITORY</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60" type="list">
      <formula1>kind_of_power_te_unit</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60 N60 P60 R60:S60 U60:V60 Y60:Z60 AC60 AF82:AF86 AI82:AI86 AF91:AF93 AI91:AI93 AF97 AI97 AF101:AF105 AI101:AI105" type="whole">
      <formula1>0</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J140:J141 J147:J148 J150" type="list">
      <formula1>kind_of_purchase_method</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110" type="list">
      <formula1>QRE_METHOD_LIST</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54:N156 N160:N162 N165:N167 N169:N170 N176:N178 N182:N184 N187:N189 N191:N192" type="none">
      <formula1>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202 AC209" type="list">
      <formula1>list_typetko</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O110:AB110 BT110:CK110 CY110:DJ110" type="decimal">
      <formula1>-9.99999999999999E+023</formula1>
      <formula2>9.99999999999999E+023</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H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3.14453125" defaultRowHeight="9" zeroHeight="false" outlineLevelRow="0" outlineLevelCol="0"/>
  <cols>
    <col collapsed="false" customWidth="false" hidden="false" outlineLevel="0" max="1" min="1" style="1172" width="43.14"/>
    <col collapsed="false" customWidth="false" hidden="true" outlineLevel="0" max="2" min="2" style="1172" width="43.14"/>
    <col collapsed="false" customWidth="false" hidden="false" outlineLevel="0" max="3" min="3" style="1172" width="43.14"/>
    <col collapsed="false" customWidth="true" hidden="false" outlineLevel="0" max="5" min="4" style="1172" width="36.42"/>
    <col collapsed="false" customWidth="true" hidden="false" outlineLevel="0" max="8" min="6" style="1173" width="36.42"/>
  </cols>
  <sheetData>
    <row r="1" customFormat="false" ht="9" hidden="false" customHeight="true" outlineLevel="0" collapsed="false">
      <c r="A1" s="1174" t="s">
        <v>2073</v>
      </c>
      <c r="B1" s="1174"/>
      <c r="C1" s="1175" t="s">
        <v>2074</v>
      </c>
      <c r="D1" s="1176" t="s">
        <v>838</v>
      </c>
      <c r="E1" s="1176" t="s">
        <v>885</v>
      </c>
      <c r="F1" s="1176" t="s">
        <v>938</v>
      </c>
      <c r="G1" s="1176" t="s">
        <v>925</v>
      </c>
      <c r="H1" s="1176" t="s">
        <v>1754</v>
      </c>
    </row>
    <row r="2" customFormat="false" ht="9" hidden="false" customHeight="true" outlineLevel="0" collapsed="false">
      <c r="A2" s="1177" t="s">
        <v>2075</v>
      </c>
      <c r="B2" s="1177"/>
      <c r="C2" s="1178" t="str">
        <f aca="false">INDEX(TEMPLATE_NUMBER_FORM_LIST,MATCH(TEMPLATE_SPHERE,TEMPLATE_SPHERE_LIST,0))</f>
        <v>16</v>
      </c>
      <c r="D2" s="1177" t="s">
        <v>1100</v>
      </c>
      <c r="E2" s="1177" t="s">
        <v>164</v>
      </c>
      <c r="F2" s="1179" t="s">
        <v>164</v>
      </c>
      <c r="G2" s="1177" t="s">
        <v>164</v>
      </c>
      <c r="H2" s="1180"/>
    </row>
    <row r="3" customFormat="false" ht="63" hidden="false" customHeight="true" outlineLevel="0" collapsed="false">
      <c r="A3" s="1174"/>
      <c r="B3" s="1174" t="s">
        <v>120</v>
      </c>
      <c r="C3" s="1178" t="str">
        <f aca="false">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78" t="s">
        <v>2076</v>
      </c>
      <c r="E3" s="1178" t="str">
        <f aca="false">"Форма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79"/>
      <c r="G3" s="1180"/>
      <c r="H3" s="1174"/>
    </row>
    <row r="4" customFormat="false" ht="243" hidden="false" customHeight="true" outlineLevel="0" collapsed="false">
      <c r="A4" s="1174" t="s">
        <v>2077</v>
      </c>
      <c r="B4" s="1174" t="s">
        <v>102</v>
      </c>
      <c r="C4" s="1178" t="str">
        <f aca="false">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77" t="s">
        <v>2078</v>
      </c>
      <c r="E4" s="1178" t="str">
        <f aca="false">"Форма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77"/>
      <c r="G4" s="1177"/>
      <c r="H4" s="1174" t="s">
        <v>2079</v>
      </c>
    </row>
    <row r="5" customFormat="false" ht="117" hidden="false" customHeight="true" outlineLevel="0" collapsed="false">
      <c r="A5" s="1174" t="s">
        <v>2080</v>
      </c>
      <c r="B5" s="1174" t="s">
        <v>89</v>
      </c>
      <c r="C5" s="1178" t="str">
        <f aca="false">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74" t="s">
        <v>2081</v>
      </c>
      <c r="E5" s="1181" t="str">
        <f aca="fals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80"/>
      <c r="G5" s="1180"/>
      <c r="H5" s="1174" t="s">
        <v>2082</v>
      </c>
    </row>
    <row r="6" customFormat="false" ht="90" hidden="false" customHeight="true" outlineLevel="0" collapsed="false">
      <c r="A6" s="1174" t="s">
        <v>2083</v>
      </c>
      <c r="B6" s="1174" t="s">
        <v>90</v>
      </c>
      <c r="C6" s="1178" t="str">
        <f aca="false">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81" t="str">
        <f aca="false">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181" t="str">
        <f aca="false">"Форма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74"/>
      <c r="G6" s="1174"/>
      <c r="H6" s="1180"/>
    </row>
    <row r="7" customFormat="false" ht="45" hidden="false" customHeight="true" outlineLevel="0" collapsed="false">
      <c r="A7" s="1174" t="s">
        <v>2084</v>
      </c>
      <c r="B7" s="1174" t="s">
        <v>121</v>
      </c>
      <c r="C7" s="1178" t="str">
        <f aca="false">IF(TEMPLATE_SPHERE="HEAT",D7,E7)</f>
        <v>Форма 11. Информация о расходах на капитальный и текущий ремонт основных средств</v>
      </c>
      <c r="D7" s="1174" t="s">
        <v>2085</v>
      </c>
      <c r="E7" s="1174" t="s">
        <v>2086</v>
      </c>
      <c r="F7" s="1180"/>
      <c r="G7" s="1180"/>
      <c r="H7" s="1180"/>
    </row>
    <row r="8" customFormat="false" ht="108" hidden="false" customHeight="true" outlineLevel="0" collapsed="false">
      <c r="A8" s="1174" t="s">
        <v>2087</v>
      </c>
      <c r="B8" s="1174" t="s">
        <v>91</v>
      </c>
      <c r="C8" s="1178" t="str">
        <f aca="false">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74" t="s">
        <v>1326</v>
      </c>
      <c r="E8" s="1174" t="s">
        <v>2088</v>
      </c>
      <c r="F8" s="1180"/>
      <c r="G8" s="1180"/>
      <c r="H8" s="1180"/>
    </row>
    <row r="9" customFormat="false" ht="99" hidden="false" customHeight="true" outlineLevel="0" collapsed="false">
      <c r="A9" s="1174" t="s">
        <v>2089</v>
      </c>
      <c r="B9" s="1174"/>
      <c r="C9" s="1174" t="s">
        <v>2090</v>
      </c>
      <c r="D9" s="1174"/>
      <c r="E9" s="1174"/>
      <c r="F9" s="1180"/>
      <c r="G9" s="1180"/>
      <c r="H9" s="1180"/>
    </row>
    <row r="10" customFormat="false" ht="126" hidden="false" customHeight="true" outlineLevel="0" collapsed="false">
      <c r="A10" s="1174" t="s">
        <v>2091</v>
      </c>
      <c r="B10" s="1174"/>
      <c r="C10" s="1174" t="s">
        <v>2092</v>
      </c>
      <c r="D10" s="1174"/>
      <c r="E10" s="1174"/>
      <c r="F10" s="1180"/>
      <c r="G10" s="1180"/>
      <c r="H10" s="1180"/>
    </row>
    <row r="11" customFormat="false" ht="108" hidden="false" customHeight="true" outlineLevel="0" collapsed="false">
      <c r="A11" s="1174" t="s">
        <v>2093</v>
      </c>
      <c r="B11" s="1174"/>
      <c r="C11" s="1174" t="s">
        <v>2094</v>
      </c>
      <c r="D11" s="1174"/>
      <c r="E11" s="1174"/>
      <c r="F11" s="1180"/>
      <c r="G11" s="1180"/>
      <c r="H11" s="1180"/>
    </row>
    <row r="12" customFormat="false" ht="54" hidden="false" customHeight="true" outlineLevel="0" collapsed="false">
      <c r="A12" s="1174" t="s">
        <v>2095</v>
      </c>
      <c r="B12" s="1174"/>
      <c r="C12" s="1174" t="s">
        <v>2096</v>
      </c>
      <c r="D12" s="1174"/>
      <c r="E12" s="1174"/>
      <c r="F12" s="1180"/>
      <c r="G12" s="1180"/>
      <c r="H12" s="1180"/>
    </row>
    <row r="13" customFormat="false" ht="45" hidden="false" customHeight="true" outlineLevel="0" collapsed="false">
      <c r="A13" s="1174" t="s">
        <v>2097</v>
      </c>
      <c r="B13" s="1174"/>
      <c r="C13" s="1174" t="s">
        <v>2098</v>
      </c>
      <c r="D13" s="1174"/>
      <c r="E13" s="1174"/>
      <c r="F13" s="1180"/>
      <c r="G13" s="1180"/>
      <c r="H13" s="1180"/>
    </row>
    <row r="14" customFormat="false" ht="117" hidden="false" customHeight="true" outlineLevel="0" collapsed="false">
      <c r="A14" s="1174" t="s">
        <v>2099</v>
      </c>
      <c r="B14" s="1174"/>
      <c r="C14" s="1174" t="s">
        <v>2100</v>
      </c>
      <c r="D14" s="1174"/>
      <c r="E14" s="1174"/>
      <c r="F14" s="1180"/>
      <c r="G14" s="1180"/>
      <c r="H14" s="1180"/>
    </row>
    <row r="15" customFormat="false" ht="117" hidden="false" customHeight="true" outlineLevel="0" collapsed="false">
      <c r="A15" s="1174" t="s">
        <v>2101</v>
      </c>
      <c r="B15" s="1174"/>
      <c r="C15" s="1174" t="s">
        <v>2102</v>
      </c>
      <c r="D15" s="1174"/>
      <c r="E15" s="1174"/>
      <c r="F15" s="1180"/>
      <c r="G15" s="1180"/>
      <c r="H15" s="1180"/>
    </row>
    <row r="16" customFormat="false" ht="63" hidden="false" customHeight="true" outlineLevel="0" collapsed="false">
      <c r="A16" s="1174" t="s">
        <v>2103</v>
      </c>
      <c r="B16" s="1174"/>
      <c r="C16" s="1174" t="s">
        <v>2104</v>
      </c>
      <c r="D16" s="1174"/>
      <c r="E16" s="1174"/>
      <c r="F16" s="1180"/>
      <c r="G16" s="1180"/>
      <c r="H16" s="1180"/>
    </row>
    <row r="17" customFormat="false" ht="54" hidden="false" customHeight="true" outlineLevel="0" collapsed="false">
      <c r="A17" s="1174" t="s">
        <v>2105</v>
      </c>
      <c r="B17" s="1174"/>
      <c r="C17" s="1178" t="s">
        <v>2106</v>
      </c>
      <c r="D17" s="1174"/>
      <c r="E17" s="1174"/>
      <c r="F17" s="1180"/>
      <c r="G17" s="1180"/>
      <c r="H17" s="1180"/>
    </row>
    <row r="18" customFormat="false" ht="27" hidden="false" customHeight="true" outlineLevel="0" collapsed="false">
      <c r="A18" s="1174" t="s">
        <v>2107</v>
      </c>
      <c r="B18" s="1174"/>
      <c r="C18" s="1178" t="s">
        <v>2108</v>
      </c>
      <c r="D18" s="1174"/>
      <c r="E18" s="1174"/>
      <c r="F18" s="1180"/>
      <c r="G18" s="1180"/>
      <c r="H18" s="1180"/>
    </row>
    <row r="19" customFormat="false" ht="54" hidden="false" customHeight="true" outlineLevel="0" collapsed="false">
      <c r="A19" s="1174" t="s">
        <v>2109</v>
      </c>
      <c r="B19" s="1174"/>
      <c r="C19" s="1178" t="s">
        <v>2110</v>
      </c>
      <c r="D19" s="1174"/>
      <c r="E19" s="1174"/>
      <c r="F19" s="1180"/>
      <c r="G19" s="1180"/>
      <c r="H19" s="1180"/>
    </row>
    <row r="20" customFormat="false" ht="36" hidden="false" customHeight="true" outlineLevel="0" collapsed="false">
      <c r="A20" s="1174" t="s">
        <v>2111</v>
      </c>
      <c r="B20" s="1174"/>
      <c r="C20" s="1178" t="s">
        <v>2112</v>
      </c>
      <c r="D20" s="1174"/>
      <c r="E20" s="1174"/>
      <c r="F20" s="1180"/>
      <c r="G20" s="1180"/>
      <c r="H20" s="1180"/>
    </row>
    <row r="21" customFormat="false" ht="36" hidden="false" customHeight="true" outlineLevel="0" collapsed="false">
      <c r="A21" s="1174" t="s">
        <v>2113</v>
      </c>
      <c r="B21" s="1174"/>
      <c r="C21" s="1178" t="s">
        <v>2114</v>
      </c>
      <c r="D21" s="1174"/>
      <c r="E21" s="1174"/>
      <c r="F21" s="1180"/>
      <c r="G21" s="1180"/>
      <c r="H21" s="1180"/>
    </row>
    <row r="22" customFormat="false" ht="27" hidden="false" customHeight="true" outlineLevel="0" collapsed="false">
      <c r="A22" s="1174" t="s">
        <v>2115</v>
      </c>
      <c r="B22" s="1174"/>
      <c r="C22" s="1178" t="s">
        <v>2116</v>
      </c>
      <c r="D22" s="1174"/>
      <c r="E22" s="1174"/>
      <c r="F22" s="1180"/>
      <c r="G22" s="1180"/>
      <c r="H22" s="1180"/>
    </row>
    <row r="23" customFormat="false" ht="36" hidden="false" customHeight="true" outlineLevel="0" collapsed="false">
      <c r="A23" s="1174" t="s">
        <v>2117</v>
      </c>
      <c r="B23" s="1174"/>
      <c r="C23" s="1178" t="s">
        <v>2118</v>
      </c>
      <c r="D23" s="1174"/>
      <c r="E23" s="1174"/>
      <c r="F23" s="1180"/>
      <c r="G23" s="1180"/>
      <c r="H23" s="1180"/>
    </row>
    <row r="24" customFormat="false" ht="28.5" hidden="false" customHeight="true" outlineLevel="0" collapsed="false">
      <c r="A24" s="1174" t="s">
        <v>2119</v>
      </c>
      <c r="B24" s="1174"/>
      <c r="C24" s="1178" t="s">
        <v>2120</v>
      </c>
      <c r="D24" s="1174"/>
      <c r="E24" s="1174"/>
      <c r="F24" s="1180"/>
      <c r="G24" s="1180"/>
      <c r="H24" s="1180"/>
    </row>
    <row r="25" customFormat="false" ht="36" hidden="false" customHeight="true" outlineLevel="0" collapsed="false">
      <c r="A25" s="1174" t="s">
        <v>2121</v>
      </c>
      <c r="B25" s="1174"/>
      <c r="C25" s="1178" t="s">
        <v>2122</v>
      </c>
      <c r="D25" s="1174"/>
      <c r="E25" s="1174"/>
      <c r="F25" s="1180"/>
      <c r="G25" s="1180"/>
      <c r="H25" s="1180"/>
    </row>
    <row r="26" customFormat="false" ht="27" hidden="false" customHeight="true" outlineLevel="0" collapsed="false">
      <c r="A26" s="1174" t="s">
        <v>2123</v>
      </c>
      <c r="B26" s="1174"/>
      <c r="C26" s="1178" t="s">
        <v>2124</v>
      </c>
      <c r="D26" s="1174"/>
      <c r="E26" s="1174"/>
      <c r="F26" s="1180"/>
      <c r="G26" s="1180"/>
      <c r="H26" s="1180"/>
    </row>
    <row r="27" customFormat="false" ht="36" hidden="false" customHeight="true" outlineLevel="0" collapsed="false">
      <c r="A27" s="1174" t="s">
        <v>2125</v>
      </c>
      <c r="B27" s="1174"/>
      <c r="C27" s="1178" t="s">
        <v>2126</v>
      </c>
      <c r="D27" s="1174"/>
      <c r="E27" s="1174"/>
      <c r="F27" s="1180"/>
      <c r="G27" s="1180"/>
      <c r="H27" s="1180"/>
    </row>
    <row r="28" customFormat="false" ht="28.5" hidden="false" customHeight="true" outlineLevel="0" collapsed="false">
      <c r="A28" s="1174" t="s">
        <v>2127</v>
      </c>
      <c r="B28" s="1174"/>
      <c r="C28" s="1178" t="s">
        <v>2128</v>
      </c>
      <c r="D28" s="1174"/>
      <c r="E28" s="1174"/>
      <c r="F28" s="1180"/>
      <c r="G28" s="1180"/>
      <c r="H28" s="1180"/>
    </row>
    <row r="29" customFormat="false" ht="126" hidden="false" customHeight="true" outlineLevel="0" collapsed="false">
      <c r="A29" s="1174" t="s">
        <v>2129</v>
      </c>
      <c r="B29" s="1174" t="s">
        <v>1148</v>
      </c>
      <c r="C29" s="1178" t="str">
        <f aca="false">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74" t="s">
        <v>2130</v>
      </c>
      <c r="E29" s="1181" t="str">
        <f aca="false">"Форма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80"/>
      <c r="G29" s="1180"/>
      <c r="H29" s="1174" t="s">
        <v>2131</v>
      </c>
    </row>
    <row r="30" customFormat="false" ht="36" hidden="false" customHeight="true" outlineLevel="0" collapsed="false">
      <c r="A30" s="1174" t="s">
        <v>2132</v>
      </c>
      <c r="B30" s="1174"/>
      <c r="C30" s="1178" t="str">
        <f aca="false">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74" t="s">
        <v>2133</v>
      </c>
      <c r="E30" s="1181" t="str">
        <f aca="fals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80"/>
      <c r="G30" s="1180"/>
      <c r="H30" s="1180"/>
    </row>
    <row r="31" customFormat="false" ht="54" hidden="false" customHeight="true" outlineLevel="0" collapsed="false">
      <c r="A31" s="1174" t="s">
        <v>2134</v>
      </c>
      <c r="B31" s="1174"/>
      <c r="C31" s="1178" t="str">
        <f aca="false">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74" t="s">
        <v>2135</v>
      </c>
      <c r="E31" s="1181" t="str">
        <f aca="false">"Форма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80"/>
      <c r="G31" s="1180"/>
      <c r="H31" s="1180"/>
    </row>
    <row r="32" customFormat="false" ht="198" hidden="false" customHeight="true" outlineLevel="0" collapsed="false">
      <c r="A32" s="1174" t="s">
        <v>2136</v>
      </c>
      <c r="B32" s="1174"/>
      <c r="C32" s="1178" t="str">
        <f aca="false">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74" t="s">
        <v>2137</v>
      </c>
      <c r="E32" s="1181" t="str">
        <f aca="false">"Форма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80"/>
      <c r="G32" s="1180"/>
      <c r="H32" s="1174" t="s">
        <v>2138</v>
      </c>
    </row>
    <row r="33" customFormat="false" ht="9" hidden="false" customHeight="true" outlineLevel="0" collapsed="false">
      <c r="A33" s="1174"/>
      <c r="B33" s="1174"/>
      <c r="C33" s="1178"/>
      <c r="D33" s="1174"/>
      <c r="E33" s="1174"/>
      <c r="F33" s="1180"/>
      <c r="G33" s="1180"/>
      <c r="H33" s="1180"/>
    </row>
    <row r="34" customFormat="false" ht="9" hidden="false" customHeight="true" outlineLevel="0" collapsed="false">
      <c r="A34" s="1174"/>
      <c r="B34" s="1174" t="s">
        <v>1114</v>
      </c>
      <c r="C34" s="1178" t="n">
        <f aca="false">INDEX(TEMPLATE_NAME_FORM_LIST,B34,MATCH(TEMPLATE_SPHERE,TEMPLATE_SPHERE_LIST,0))</f>
        <v>0</v>
      </c>
      <c r="D34" s="1174"/>
      <c r="E34" s="1174"/>
      <c r="F34" s="1180"/>
      <c r="G34" s="1180"/>
      <c r="H34" s="1180"/>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AH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9" zeroHeight="false" outlineLevelRow="0" outlineLevelCol="0"/>
  <cols>
    <col collapsed="false" customWidth="false" hidden="false" outlineLevel="0" max="2" min="1" style="1172" width="9.14"/>
    <col collapsed="false" customWidth="true" hidden="false" outlineLevel="0" max="7" min="3" style="1182" width="8"/>
    <col collapsed="false" customWidth="true" hidden="false" outlineLevel="0" max="12" min="8" style="1182" width="8.57"/>
    <col collapsed="false" customWidth="true" hidden="false" outlineLevel="0" max="14" min="13" style="1182" width="27.71"/>
    <col collapsed="false" customWidth="true" hidden="false" outlineLevel="0" max="19" min="15" style="1182" width="5.14"/>
    <col collapsed="false" customWidth="true" hidden="false" outlineLevel="0" max="24" min="20" style="1182" width="27.71"/>
    <col collapsed="false" customWidth="true" hidden="false" outlineLevel="0" max="25" min="25" style="1183" width="1.85"/>
    <col collapsed="false" customWidth="true" hidden="false" outlineLevel="0" max="26" min="26" style="1172" width="27.71"/>
    <col collapsed="false" customWidth="true" hidden="false" outlineLevel="0" max="27" min="27" style="1184" width="27.71"/>
    <col collapsed="false" customWidth="true" hidden="false" outlineLevel="0" max="29" min="28" style="1172" width="27.71"/>
    <col collapsed="false" customWidth="true" hidden="false" outlineLevel="0" max="30" min="30" style="1172" width="3.85"/>
    <col collapsed="false" customWidth="false" hidden="false" outlineLevel="0" max="34" min="31" style="1172" width="9.14"/>
  </cols>
  <sheetData>
    <row r="1" s="1187" customFormat="true" ht="18" hidden="false" customHeight="true" outlineLevel="0" collapsed="false">
      <c r="A1" s="1185"/>
      <c r="B1" s="1185"/>
      <c r="C1" s="1185" t="s">
        <v>2139</v>
      </c>
      <c r="D1" s="1185"/>
      <c r="E1" s="1185"/>
      <c r="F1" s="1185"/>
      <c r="G1" s="1185"/>
      <c r="H1" s="1185" t="s">
        <v>2140</v>
      </c>
      <c r="I1" s="1185"/>
      <c r="J1" s="1185"/>
      <c r="K1" s="1185"/>
      <c r="L1" s="1185"/>
      <c r="M1" s="1185" t="s">
        <v>2141</v>
      </c>
      <c r="N1" s="1185" t="s">
        <v>2142</v>
      </c>
      <c r="O1" s="1185" t="s">
        <v>2143</v>
      </c>
      <c r="P1" s="1185"/>
      <c r="Q1" s="1185"/>
      <c r="R1" s="1185"/>
      <c r="S1" s="1185"/>
      <c r="T1" s="1185" t="s">
        <v>2141</v>
      </c>
      <c r="U1" s="1185"/>
      <c r="V1" s="1185"/>
      <c r="W1" s="1185"/>
      <c r="X1" s="1185"/>
      <c r="Y1" s="1186"/>
      <c r="Z1" s="1185" t="s">
        <v>2144</v>
      </c>
      <c r="AA1" s="1185"/>
      <c r="AB1" s="1185"/>
      <c r="AC1" s="1185"/>
      <c r="AD1" s="1185"/>
    </row>
    <row r="2" customFormat="false" ht="18" hidden="false" customHeight="true" outlineLevel="0" collapsed="false">
      <c r="A2" s="1174"/>
      <c r="B2" s="1174"/>
      <c r="C2" s="1188" t="s">
        <v>838</v>
      </c>
      <c r="D2" s="1188" t="s">
        <v>885</v>
      </c>
      <c r="E2" s="1188" t="s">
        <v>938</v>
      </c>
      <c r="F2" s="1188" t="s">
        <v>925</v>
      </c>
      <c r="G2" s="1188" t="s">
        <v>1754</v>
      </c>
      <c r="H2" s="1189"/>
      <c r="I2" s="1189"/>
      <c r="J2" s="1189"/>
      <c r="K2" s="1189"/>
      <c r="L2" s="1189"/>
      <c r="M2" s="1189"/>
      <c r="N2" s="1189"/>
      <c r="O2" s="1188" t="s">
        <v>838</v>
      </c>
      <c r="P2" s="1188" t="s">
        <v>885</v>
      </c>
      <c r="Q2" s="1188" t="s">
        <v>925</v>
      </c>
      <c r="R2" s="1188" t="s">
        <v>938</v>
      </c>
      <c r="S2" s="1188" t="s">
        <v>1754</v>
      </c>
      <c r="T2" s="1188" t="s">
        <v>838</v>
      </c>
      <c r="U2" s="1188" t="s">
        <v>885</v>
      </c>
      <c r="V2" s="1188" t="s">
        <v>925</v>
      </c>
      <c r="W2" s="1188" t="s">
        <v>938</v>
      </c>
      <c r="X2" s="1188" t="s">
        <v>1754</v>
      </c>
      <c r="Y2" s="1188"/>
      <c r="Z2" s="1188" t="s">
        <v>838</v>
      </c>
      <c r="AA2" s="1190" t="s">
        <v>885</v>
      </c>
      <c r="AB2" s="1188" t="s">
        <v>925</v>
      </c>
      <c r="AC2" s="1188" t="s">
        <v>938</v>
      </c>
      <c r="AD2" s="1188" t="s">
        <v>1754</v>
      </c>
    </row>
    <row r="3" customFormat="false" ht="162" hidden="false" customHeight="true" outlineLevel="0" collapsed="false">
      <c r="A3" s="1191" t="s">
        <v>26</v>
      </c>
      <c r="B3" s="1191"/>
      <c r="C3" s="1185" t="s">
        <v>2145</v>
      </c>
      <c r="D3" s="1185"/>
      <c r="E3" s="1185"/>
      <c r="F3" s="1185"/>
      <c r="G3" s="1189"/>
      <c r="H3" s="1189"/>
      <c r="I3" s="1189"/>
      <c r="J3" s="1189"/>
      <c r="K3" s="1189"/>
      <c r="L3" s="1189"/>
      <c r="M3" s="1189"/>
      <c r="N3" s="1192" t="str">
        <f aca="false">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89"/>
      <c r="P3" s="1189"/>
      <c r="Q3" s="1189"/>
      <c r="R3" s="1189"/>
      <c r="S3" s="1189"/>
      <c r="T3" s="1189"/>
      <c r="U3" s="1189"/>
      <c r="V3" s="1189"/>
      <c r="W3" s="1189"/>
      <c r="X3" s="1189"/>
      <c r="Y3" s="1193"/>
      <c r="Z3" s="1174" t="s">
        <v>2146</v>
      </c>
      <c r="AA3" s="1189" t="s">
        <v>2147</v>
      </c>
      <c r="AB3" s="1174" t="s">
        <v>2148</v>
      </c>
      <c r="AC3" s="1174" t="s">
        <v>2149</v>
      </c>
      <c r="AD3" s="1174"/>
      <c r="AG3" s="1174"/>
      <c r="AH3" s="1174"/>
    </row>
    <row r="4" customFormat="false" ht="9" hidden="false" customHeight="true" outlineLevel="0" collapsed="false">
      <c r="A4" s="1191"/>
      <c r="B4" s="1191"/>
      <c r="C4" s="1189"/>
      <c r="D4" s="1189"/>
      <c r="E4" s="1189"/>
      <c r="F4" s="1189"/>
      <c r="G4" s="1189"/>
      <c r="H4" s="1189"/>
      <c r="I4" s="1189"/>
      <c r="J4" s="1189"/>
      <c r="K4" s="1189"/>
      <c r="L4" s="1189"/>
      <c r="M4" s="1189"/>
      <c r="N4" s="1189"/>
      <c r="O4" s="1189"/>
      <c r="P4" s="1189"/>
      <c r="Q4" s="1189"/>
      <c r="R4" s="1189"/>
      <c r="S4" s="1189"/>
      <c r="T4" s="1189"/>
      <c r="U4" s="1189"/>
      <c r="V4" s="1189"/>
      <c r="W4" s="1189"/>
      <c r="X4" s="1189"/>
      <c r="Y4" s="1193"/>
      <c r="Z4" s="1174"/>
      <c r="AA4" s="1181"/>
      <c r="AB4" s="1174"/>
      <c r="AC4" s="1174"/>
      <c r="AD4" s="1174"/>
    </row>
    <row r="5" customFormat="false" ht="9" hidden="false" customHeight="true" outlineLevel="0" collapsed="false">
      <c r="A5" s="1191"/>
      <c r="B5" s="1191"/>
      <c r="C5" s="1189"/>
      <c r="D5" s="1189"/>
      <c r="E5" s="1189"/>
      <c r="F5" s="1189"/>
      <c r="G5" s="1189"/>
      <c r="H5" s="1189"/>
      <c r="I5" s="1189"/>
      <c r="J5" s="1189"/>
      <c r="K5" s="1189"/>
      <c r="L5" s="1189"/>
      <c r="M5" s="1189"/>
      <c r="N5" s="1189"/>
      <c r="O5" s="1189"/>
      <c r="P5" s="1189"/>
      <c r="Q5" s="1189"/>
      <c r="R5" s="1189"/>
      <c r="S5" s="1189"/>
      <c r="T5" s="1189"/>
      <c r="U5" s="1189"/>
      <c r="V5" s="1189"/>
      <c r="W5" s="1189"/>
      <c r="X5" s="1189"/>
      <c r="Y5" s="1193"/>
      <c r="Z5" s="1174"/>
      <c r="AA5" s="1181"/>
      <c r="AB5" s="1174"/>
      <c r="AC5" s="1174"/>
      <c r="AD5" s="1174"/>
    </row>
    <row r="6" customFormat="false" ht="9" hidden="false" customHeight="true" outlineLevel="0" collapsed="false">
      <c r="A6" s="1191"/>
      <c r="B6" s="1191"/>
      <c r="C6" s="1189"/>
      <c r="D6" s="1189"/>
      <c r="E6" s="1189"/>
      <c r="F6" s="1189"/>
      <c r="G6" s="1189"/>
      <c r="H6" s="1189"/>
      <c r="I6" s="1189"/>
      <c r="J6" s="1189"/>
      <c r="K6" s="1189"/>
      <c r="L6" s="1189"/>
      <c r="M6" s="1189"/>
      <c r="N6" s="1189"/>
      <c r="O6" s="1189"/>
      <c r="P6" s="1189"/>
      <c r="Q6" s="1189"/>
      <c r="R6" s="1189"/>
      <c r="S6" s="1189"/>
      <c r="T6" s="1189"/>
      <c r="U6" s="1189"/>
      <c r="V6" s="1189"/>
      <c r="W6" s="1189"/>
      <c r="X6" s="1189"/>
      <c r="Y6" s="1193"/>
      <c r="Z6" s="1174"/>
      <c r="AA6" s="1181"/>
      <c r="AB6" s="1174"/>
      <c r="AC6" s="1174"/>
      <c r="AD6" s="1174"/>
    </row>
    <row r="7" customFormat="false" ht="9" hidden="false" customHeight="true" outlineLevel="0" collapsed="false">
      <c r="A7" s="1191"/>
      <c r="B7" s="1191"/>
      <c r="C7" s="1189"/>
      <c r="D7" s="1189"/>
      <c r="E7" s="1189"/>
      <c r="F7" s="1189"/>
      <c r="G7" s="1189"/>
      <c r="H7" s="1189"/>
      <c r="I7" s="1189"/>
      <c r="J7" s="1189"/>
      <c r="K7" s="1189"/>
      <c r="L7" s="1189"/>
      <c r="M7" s="1189"/>
      <c r="N7" s="1189"/>
      <c r="O7" s="1189"/>
      <c r="P7" s="1189"/>
      <c r="Q7" s="1189"/>
      <c r="R7" s="1189"/>
      <c r="S7" s="1189"/>
      <c r="T7" s="1189"/>
      <c r="U7" s="1189"/>
      <c r="V7" s="1189"/>
      <c r="W7" s="1189"/>
      <c r="X7" s="1189"/>
      <c r="Y7" s="1193"/>
      <c r="Z7" s="1174"/>
      <c r="AA7" s="1181"/>
      <c r="AB7" s="1174"/>
      <c r="AC7" s="1174"/>
      <c r="AD7" s="1174"/>
    </row>
    <row r="8" customFormat="false" ht="9" hidden="false" customHeight="true" outlineLevel="0" collapsed="false">
      <c r="A8" s="1191"/>
      <c r="B8" s="1191"/>
      <c r="C8" s="1189"/>
      <c r="D8" s="1189"/>
      <c r="E8" s="1189"/>
      <c r="F8" s="1189"/>
      <c r="G8" s="1189"/>
      <c r="H8" s="1189"/>
      <c r="I8" s="1189"/>
      <c r="J8" s="1189"/>
      <c r="K8" s="1189"/>
      <c r="L8" s="1189"/>
      <c r="M8" s="1189"/>
      <c r="N8" s="1189"/>
      <c r="O8" s="1189"/>
      <c r="P8" s="1189"/>
      <c r="Q8" s="1189"/>
      <c r="R8" s="1189"/>
      <c r="S8" s="1189"/>
      <c r="T8" s="1189"/>
      <c r="U8" s="1189"/>
      <c r="V8" s="1189"/>
      <c r="W8" s="1189"/>
      <c r="X8" s="1189"/>
      <c r="Y8" s="1193"/>
      <c r="Z8" s="1174"/>
      <c r="AA8" s="1181"/>
      <c r="AB8" s="1174"/>
      <c r="AC8" s="1174"/>
      <c r="AD8" s="1174"/>
    </row>
    <row r="9" customFormat="false" ht="9" hidden="false" customHeight="true" outlineLevel="0" collapsed="false">
      <c r="A9" s="1191"/>
      <c r="B9" s="1191"/>
      <c r="C9" s="1189"/>
      <c r="D9" s="1189"/>
      <c r="E9" s="1189"/>
      <c r="F9" s="1189"/>
      <c r="G9" s="1189"/>
      <c r="H9" s="1189"/>
      <c r="I9" s="1189"/>
      <c r="J9" s="1189"/>
      <c r="K9" s="1189"/>
      <c r="L9" s="1189"/>
      <c r="M9" s="1189"/>
      <c r="N9" s="1189"/>
      <c r="O9" s="1189"/>
      <c r="P9" s="1189"/>
      <c r="Q9" s="1189"/>
      <c r="R9" s="1189"/>
      <c r="S9" s="1189"/>
      <c r="T9" s="1189"/>
      <c r="U9" s="1189"/>
      <c r="V9" s="1189"/>
      <c r="W9" s="1189"/>
      <c r="X9" s="1189"/>
      <c r="Y9" s="1193"/>
      <c r="Z9" s="1174"/>
      <c r="AA9" s="1181"/>
      <c r="AB9" s="1174"/>
      <c r="AC9" s="1174"/>
      <c r="AD9" s="1174"/>
    </row>
    <row r="10" customFormat="false" ht="9" hidden="false" customHeight="true" outlineLevel="0" collapsed="false">
      <c r="A10" s="1194"/>
      <c r="B10" s="1194"/>
      <c r="C10" s="1194"/>
      <c r="D10" s="1194"/>
      <c r="E10" s="1194"/>
      <c r="F10" s="1194"/>
      <c r="G10" s="1194"/>
      <c r="H10" s="1194"/>
      <c r="I10" s="1194"/>
      <c r="J10" s="1194"/>
      <c r="K10" s="1194"/>
      <c r="L10" s="1194"/>
      <c r="M10" s="1194"/>
      <c r="N10" s="1194"/>
      <c r="O10" s="1194"/>
      <c r="P10" s="1194"/>
      <c r="Q10" s="1194"/>
      <c r="R10" s="1194"/>
      <c r="S10" s="1194"/>
      <c r="T10" s="1194"/>
      <c r="U10" s="1194"/>
      <c r="V10" s="1194"/>
      <c r="W10" s="1194"/>
      <c r="X10" s="1194"/>
      <c r="Y10" s="1194"/>
      <c r="Z10" s="1194"/>
      <c r="AA10" s="1194"/>
      <c r="AB10" s="1194"/>
      <c r="AC10" s="1194"/>
      <c r="AD10" s="1194"/>
    </row>
    <row r="11" customFormat="false" ht="45" hidden="false" customHeight="true" outlineLevel="0" collapsed="false">
      <c r="A11" s="1194" t="s">
        <v>32</v>
      </c>
      <c r="B11" s="1194" t="n">
        <v>1</v>
      </c>
      <c r="C11" s="1185" t="s">
        <v>1132</v>
      </c>
      <c r="D11" s="1185" t="s">
        <v>1130</v>
      </c>
      <c r="E11" s="1185" t="s">
        <v>1787</v>
      </c>
      <c r="F11" s="1185" t="s">
        <v>2150</v>
      </c>
      <c r="G11" s="1185"/>
      <c r="H11" s="1185" t="s">
        <v>2151</v>
      </c>
      <c r="I11" s="1185"/>
      <c r="J11" s="1185"/>
      <c r="K11" s="1185"/>
      <c r="L11" s="1185"/>
      <c r="M11" s="1192" t="str">
        <f aca="false">IF(TEMPLATE_SPHERE="HEAT",T11,U11)</f>
        <v>Количество поданных заявок</v>
      </c>
      <c r="N11" s="1192" t="str">
        <f aca="false">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89"/>
      <c r="P11" s="1189"/>
      <c r="Q11" s="1189"/>
      <c r="R11" s="1189"/>
      <c r="S11" s="1189"/>
      <c r="T11" s="1189" t="s">
        <v>2152</v>
      </c>
      <c r="U11" s="1189" t="s">
        <v>2153</v>
      </c>
      <c r="V11" s="1189"/>
      <c r="W11" s="1189"/>
      <c r="X11" s="1189"/>
      <c r="Y11" s="1193"/>
      <c r="Z11" s="1174" t="s">
        <v>2154</v>
      </c>
      <c r="AA11" s="1181" t="str">
        <f aca="false">"Указывается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74"/>
      <c r="AC11" s="1174"/>
      <c r="AD11" s="1174"/>
    </row>
    <row r="12" customFormat="false" ht="45" hidden="false" customHeight="true" outlineLevel="0" collapsed="false">
      <c r="A12" s="1194"/>
      <c r="B12" s="1194" t="n">
        <v>2</v>
      </c>
      <c r="C12" s="1185"/>
      <c r="D12" s="1185"/>
      <c r="E12" s="1185"/>
      <c r="F12" s="1185"/>
      <c r="G12" s="1185"/>
      <c r="H12" s="1185" t="s">
        <v>2155</v>
      </c>
      <c r="I12" s="1185"/>
      <c r="J12" s="1185"/>
      <c r="K12" s="1185"/>
      <c r="L12" s="1185"/>
      <c r="M12" s="1192" t="str">
        <f aca="false">IF(TEMPLATE_SPHERE="HEAT",T12,U12)</f>
        <v>Количество рассмотренных заявок</v>
      </c>
      <c r="N12" s="1192" t="str">
        <f aca="false">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89"/>
      <c r="P12" s="1189"/>
      <c r="Q12" s="1189"/>
      <c r="R12" s="1189"/>
      <c r="S12" s="1189"/>
      <c r="T12" s="1189" t="s">
        <v>2156</v>
      </c>
      <c r="U12" s="1189" t="s">
        <v>2157</v>
      </c>
      <c r="V12" s="1189"/>
      <c r="W12" s="1189"/>
      <c r="X12" s="1189"/>
      <c r="Y12" s="1193"/>
      <c r="Z12" s="1174" t="s">
        <v>2158</v>
      </c>
      <c r="AA12" s="1181" t="str">
        <f aca="false">"Указывается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74"/>
      <c r="AC12" s="1174"/>
      <c r="AD12" s="1174"/>
    </row>
    <row r="13" customFormat="false" ht="72" hidden="false" customHeight="true" outlineLevel="0" collapsed="false">
      <c r="A13" s="1194"/>
      <c r="B13" s="1194" t="n">
        <v>3</v>
      </c>
      <c r="C13" s="1185"/>
      <c r="D13" s="1185"/>
      <c r="E13" s="1185"/>
      <c r="F13" s="1185"/>
      <c r="G13" s="1185"/>
      <c r="H13" s="1185" t="s">
        <v>2159</v>
      </c>
      <c r="I13" s="1185"/>
      <c r="J13" s="1185"/>
      <c r="K13" s="1185"/>
      <c r="L13" s="1185"/>
      <c r="M13" s="1192" t="str">
        <f aca="false">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92" t="str">
        <f aca="false">IF(TEMPLATE_SPHERE="HEAT",Z13,AA13)</f>
        <v>Указывается количество заявок с решением об отказе в течение отчетного квартала.</v>
      </c>
      <c r="O13" s="1189"/>
      <c r="P13" s="1192"/>
      <c r="Q13" s="1192"/>
      <c r="R13" s="1192"/>
      <c r="S13" s="1189"/>
      <c r="T13" s="1189" t="s">
        <v>2160</v>
      </c>
      <c r="U13" s="1192" t="s">
        <v>2161</v>
      </c>
      <c r="V13" s="1192"/>
      <c r="W13" s="1192"/>
      <c r="X13" s="1189"/>
      <c r="Y13" s="1193"/>
      <c r="Z13" s="1174" t="s">
        <v>2162</v>
      </c>
      <c r="AA13" s="1181" t="str">
        <f aca="false">"Указывается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74"/>
      <c r="AC13" s="1174"/>
      <c r="AD13" s="1174"/>
    </row>
    <row r="14" customFormat="false" ht="45" hidden="false" customHeight="true" outlineLevel="0" collapsed="false">
      <c r="A14" s="1194"/>
      <c r="B14" s="1194" t="n">
        <v>4</v>
      </c>
      <c r="C14" s="1185"/>
      <c r="D14" s="1185"/>
      <c r="E14" s="1185"/>
      <c r="F14" s="1185"/>
      <c r="G14" s="1185"/>
      <c r="H14" s="1185"/>
      <c r="I14" s="1195"/>
      <c r="J14" s="1195"/>
      <c r="K14" s="1195"/>
      <c r="L14" s="1195"/>
      <c r="M14" s="1196" t="str">
        <f aca="false">IF(TEMPLATE_SPHERE="HEAT",T14,U14)</f>
        <v>Причины отказа в заключении договора о подключении (технологическом присоединении) к системе теплоснабжения</v>
      </c>
      <c r="N14" s="1192" t="str">
        <f aca="false">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89"/>
      <c r="P14" s="1192"/>
      <c r="Q14" s="1192"/>
      <c r="R14" s="1192"/>
      <c r="S14" s="1189"/>
      <c r="T14" s="1189" t="s">
        <v>2163</v>
      </c>
      <c r="U14" s="1192" t="str">
        <f aca="false">"Причины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92"/>
      <c r="W14" s="1192"/>
      <c r="X14" s="1189"/>
      <c r="Y14" s="1193"/>
      <c r="Z14" s="1174" t="s">
        <v>2164</v>
      </c>
      <c r="AA14" s="1181" t="s">
        <v>2164</v>
      </c>
      <c r="AB14" s="1174"/>
      <c r="AC14" s="1174"/>
      <c r="AD14" s="1174"/>
    </row>
    <row r="15" customFormat="false" ht="108" hidden="false" customHeight="true" outlineLevel="0" collapsed="false">
      <c r="A15" s="1194"/>
      <c r="B15" s="1194" t="n">
        <v>5</v>
      </c>
      <c r="C15" s="1185"/>
      <c r="D15" s="1185"/>
      <c r="E15" s="1185"/>
      <c r="F15" s="1185"/>
      <c r="G15" s="1185"/>
      <c r="H15" s="1197" t="s">
        <v>2165</v>
      </c>
      <c r="I15" s="1198"/>
      <c r="J15" s="1198"/>
      <c r="K15" s="1198"/>
      <c r="L15" s="1198"/>
      <c r="M15" s="1181" t="str">
        <f aca="false">IF(TEMPLATE_SPHERE="HEAT",T15,U15)</f>
        <v>Резерв мощности источников тепловой энергии, входящих в систему теплоснабжения, в течение одного квартала, в том числе:</v>
      </c>
      <c r="N15" s="1199" t="str">
        <f aca="false">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
      <c r="O15" s="1189"/>
      <c r="P15" s="1192"/>
      <c r="Q15" s="1192"/>
      <c r="R15" s="1192"/>
      <c r="S15" s="1189"/>
      <c r="T15" s="1189" t="s">
        <v>2166</v>
      </c>
      <c r="U15" s="1192" t="str">
        <f aca="false">"Наличие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92"/>
      <c r="W15" s="1192"/>
      <c r="X15" s="1189"/>
      <c r="Y15" s="1193"/>
      <c r="Z15" s="1174" t="s">
        <v>2167</v>
      </c>
      <c r="AA15" s="1181" t="str">
        <f aca="false">"Указывается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74"/>
      <c r="AC15" s="1174"/>
      <c r="AD15" s="1174"/>
    </row>
    <row r="16" customFormat="false" ht="108" hidden="false" customHeight="true" outlineLevel="0" collapsed="false">
      <c r="A16" s="1194"/>
      <c r="B16" s="1194" t="n">
        <v>6</v>
      </c>
      <c r="C16" s="1185"/>
      <c r="D16" s="1185"/>
      <c r="E16" s="1185"/>
      <c r="F16" s="1185"/>
      <c r="G16" s="1185"/>
      <c r="H16" s="1197"/>
      <c r="I16" s="1200"/>
      <c r="J16" s="1200"/>
      <c r="K16" s="1200"/>
      <c r="L16" s="1200"/>
      <c r="M16" s="1201"/>
      <c r="N16" s="1199" t="str">
        <f aca="false">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
      <c r="O16" s="1189"/>
      <c r="P16" s="1192"/>
      <c r="Q16" s="1192"/>
      <c r="R16" s="1192"/>
      <c r="S16" s="1189"/>
      <c r="T16" s="1189"/>
      <c r="U16" s="1192"/>
      <c r="V16" s="1192"/>
      <c r="W16" s="1192"/>
      <c r="X16" s="1189"/>
      <c r="Y16" s="1193"/>
      <c r="Z16" s="1174" t="s">
        <v>2167</v>
      </c>
      <c r="AA16" s="1181" t="str">
        <f aca="false">"Указывается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74"/>
      <c r="AC16" s="1174"/>
      <c r="AD16" s="1174"/>
    </row>
    <row r="17" customFormat="false" ht="9" hidden="false" customHeight="true" outlineLevel="0" collapsed="false">
      <c r="A17" s="1194"/>
      <c r="B17" s="1194"/>
      <c r="C17" s="1194" t="n">
        <v>22</v>
      </c>
      <c r="D17" s="1194" t="n">
        <v>21</v>
      </c>
      <c r="E17" s="1194" t="n">
        <v>42</v>
      </c>
      <c r="F17" s="1194" t="n">
        <v>63</v>
      </c>
      <c r="G17" s="1194"/>
      <c r="H17" s="1194"/>
      <c r="I17" s="1194"/>
      <c r="J17" s="1194"/>
      <c r="K17" s="1194"/>
      <c r="L17" s="1194"/>
      <c r="M17" s="1194"/>
      <c r="N17" s="1194"/>
      <c r="O17" s="1194"/>
      <c r="P17" s="1194"/>
      <c r="Q17" s="1194"/>
      <c r="R17" s="1194"/>
      <c r="S17" s="1194"/>
      <c r="T17" s="1194"/>
      <c r="U17" s="1194"/>
      <c r="V17" s="1194"/>
      <c r="W17" s="1194"/>
      <c r="X17" s="1194"/>
      <c r="Y17" s="1194"/>
      <c r="Z17" s="1194"/>
      <c r="AA17" s="1194"/>
      <c r="AB17" s="1194"/>
      <c r="AC17" s="1194"/>
      <c r="AD17" s="1194"/>
    </row>
    <row r="18" customFormat="false" ht="27" hidden="false" customHeight="true" outlineLevel="0" collapsed="false">
      <c r="A18" s="1191" t="s">
        <v>1790</v>
      </c>
      <c r="B18" s="1194" t="n">
        <v>1</v>
      </c>
      <c r="C18" s="1189" t="s">
        <v>2151</v>
      </c>
      <c r="D18" s="1202" t="s">
        <v>2151</v>
      </c>
      <c r="E18" s="1189" t="s">
        <v>2151</v>
      </c>
      <c r="F18" s="1189" t="s">
        <v>2151</v>
      </c>
      <c r="G18" s="1189"/>
      <c r="H18" s="1203"/>
      <c r="I18" s="1204" t="n">
        <f aca="false">INDEX(TEMPLATE_NUMBER_POINT_FHD,B18,MATCH(TEMPLATE_SPHERE,TEMPLATE_SPHERE_LIST_FOR_NOTE,0))</f>
        <v>1</v>
      </c>
      <c r="J18" s="1204" t="str">
        <f aca="false">INDEX(TEMPLATE_DATA_POINT_FHD,B18,MATCH(TEMPLATE_SPHERE,TEMPLATE_SPHERE_LIST_FOR_NOTE,0))</f>
        <v>Выручка от регулируемого вида деятельности с распределением по видам деятельности</v>
      </c>
      <c r="K18" s="1204" t="str">
        <f aca="false">INDEX(TEMPLATE_NOTE_POINT_FHD,B18,MATCH(TEMPLATE_SPHERE,TEMPLATE_SPHERE_LIST_FOR_NOTE,0))</f>
        <v>Указывается выручка от регулируемого вида деятельности с распределением по видам деятельности.</v>
      </c>
      <c r="L18" s="1192" t="n">
        <f aca="false">IF(I18=0,"",I18)</f>
        <v>1</v>
      </c>
      <c r="M18" s="1192" t="str">
        <f aca="false">IF(J18=0,"",J18)</f>
        <v>Выручка от регулируемого вида деятельности с распределением по видам деятельности</v>
      </c>
      <c r="N18" s="1192" t="str">
        <f aca="false">IF(K18=0,"",K18)</f>
        <v>Указывается выручка от регулируемого вида деятельности с распределением по видам деятельности.</v>
      </c>
      <c r="O18" s="1205" t="n">
        <v>1</v>
      </c>
      <c r="P18" s="1205" t="n">
        <v>1</v>
      </c>
      <c r="Q18" s="1205" t="n">
        <v>1</v>
      </c>
      <c r="R18" s="1205" t="n">
        <v>1</v>
      </c>
      <c r="S18" s="1205"/>
      <c r="T18" s="1206" t="s">
        <v>2168</v>
      </c>
      <c r="U18" s="1174" t="s">
        <v>2169</v>
      </c>
      <c r="V18" s="1174" t="s">
        <v>2170</v>
      </c>
      <c r="W18" s="1174" t="s">
        <v>2171</v>
      </c>
      <c r="X18" s="1189"/>
      <c r="Y18" s="1193"/>
      <c r="Z18" s="1174" t="s">
        <v>2172</v>
      </c>
      <c r="AA18" s="1181" t="s">
        <v>2173</v>
      </c>
      <c r="AB18" s="1181" t="s">
        <v>2173</v>
      </c>
      <c r="AC18" s="1181" t="s">
        <v>2173</v>
      </c>
      <c r="AD18" s="1174"/>
    </row>
    <row r="19" customFormat="false" ht="36" hidden="false" customHeight="true" outlineLevel="0" collapsed="false">
      <c r="A19" s="1191"/>
      <c r="B19" s="1194" t="n">
        <v>2</v>
      </c>
      <c r="C19" s="1189" t="s">
        <v>2155</v>
      </c>
      <c r="D19" s="1202" t="s">
        <v>2155</v>
      </c>
      <c r="E19" s="1189" t="s">
        <v>2155</v>
      </c>
      <c r="F19" s="1189" t="s">
        <v>2155</v>
      </c>
      <c r="G19" s="1189"/>
      <c r="H19" s="1203"/>
      <c r="I19" s="1204" t="n">
        <f aca="false">INDEX(TEMPLATE_NUMBER_POINT_FHD,B19,MATCH(TEMPLATE_SPHERE,TEMPLATE_SPHERE_LIST_FOR_NOTE,0))</f>
        <v>2</v>
      </c>
      <c r="J19" s="1204" t="str">
        <f aca="false">INDEX(TEMPLATE_DATA_POINT_FHD,B19,MATCH(TEMPLATE_SPHERE,TEMPLATE_SPHERE_LIST_FOR_NOTE,0))</f>
        <v>Себестоимость производимых товаров (оказываемых услуг) по регулируемому виду деятельности, включая:</v>
      </c>
      <c r="K19" s="1204" t="str">
        <f aca="false">INDEX(TEMPLATE_NOTE_POINT_FHD,B19,MATCH(TEMPLATE_SPHERE,TEMPLATE_SPHERE_LIST_FOR_NOTE,0))</f>
        <v>Указывается суммарная себестоимость производимых товаров.</v>
      </c>
      <c r="L19" s="1192" t="n">
        <f aca="false">IF(I19=0,"",I19)</f>
        <v>2</v>
      </c>
      <c r="M19" s="1192" t="str">
        <f aca="false">IF(J19=0,"",J19)</f>
        <v>Себестоимость производимых товаров (оказываемых услуг) по регулируемому виду деятельности, включая:</v>
      </c>
      <c r="N19" s="1192" t="str">
        <f aca="false">IF(K19=0,"",K19)</f>
        <v>Указывается суммарная себестоимость производимых товаров.</v>
      </c>
      <c r="O19" s="1205" t="n">
        <v>2</v>
      </c>
      <c r="P19" s="1205" t="n">
        <v>2</v>
      </c>
      <c r="Q19" s="1205" t="n">
        <v>2</v>
      </c>
      <c r="R19" s="1205" t="n">
        <v>2</v>
      </c>
      <c r="S19" s="1205"/>
      <c r="T19" s="1206" t="s">
        <v>2174</v>
      </c>
      <c r="U19" s="1174" t="s">
        <v>2175</v>
      </c>
      <c r="V19" s="1174" t="s">
        <v>2176</v>
      </c>
      <c r="W19" s="1174" t="s">
        <v>2177</v>
      </c>
      <c r="X19" s="1189"/>
      <c r="Y19" s="1193"/>
      <c r="Z19" s="1174" t="s">
        <v>2178</v>
      </c>
      <c r="AA19" s="1181" t="s">
        <v>2178</v>
      </c>
      <c r="AB19" s="1181" t="s">
        <v>2178</v>
      </c>
      <c r="AC19" s="1181" t="s">
        <v>2178</v>
      </c>
      <c r="AD19" s="1174"/>
    </row>
    <row r="20" customFormat="false" ht="27" hidden="false" customHeight="true" outlineLevel="0" collapsed="false">
      <c r="A20" s="1191"/>
      <c r="B20" s="1194" t="n">
        <v>3</v>
      </c>
      <c r="C20" s="1189" t="n">
        <v>1</v>
      </c>
      <c r="D20" s="1202"/>
      <c r="E20" s="1189"/>
      <c r="F20" s="1189"/>
      <c r="G20" s="1189"/>
      <c r="H20" s="1203"/>
      <c r="I20" s="1204" t="str">
        <f aca="false">INDEX(TEMPLATE_NUMBER_POINT_FHD,B20,MATCH(TEMPLATE_SPHERE,TEMPLATE_SPHERE_LIST_FOR_NOTE,0))</f>
        <v>2.1</v>
      </c>
      <c r="J20" s="1204" t="str">
        <f aca="false">INDEX(TEMPLATE_DATA_POINT_FHD,B20,MATCH(TEMPLATE_SPHERE,TEMPLATE_SPHERE_LIST_FOR_NOTE,0))</f>
        <v>Расходы на приобретаемую тепловую энергию (мощность), теплоноситель</v>
      </c>
      <c r="K20" s="1204" t="n">
        <f aca="false">INDEX(TEMPLATE_NOTE_POINT_FHD,B20,MATCH(TEMPLATE_SPHERE,TEMPLATE_SPHERE_LIST_FOR_NOTE,0))</f>
        <v>0</v>
      </c>
      <c r="L20" s="1192" t="str">
        <f aca="false">IF(I20=0,"",I20)</f>
        <v>2.1</v>
      </c>
      <c r="M20" s="1192" t="str">
        <f aca="false">IF(J20=0,"",J20)</f>
        <v>Расходы на приобретаемую тепловую энергию (мощность), теплоноситель</v>
      </c>
      <c r="N20" s="1192" t="str">
        <f aca="false">IF(K20=0,"",K20)</f>
        <v/>
      </c>
      <c r="O20" s="1205" t="s">
        <v>739</v>
      </c>
      <c r="P20" s="1205" t="s">
        <v>739</v>
      </c>
      <c r="Q20" s="1205" t="s">
        <v>739</v>
      </c>
      <c r="R20" s="1205" t="s">
        <v>739</v>
      </c>
      <c r="S20" s="1205"/>
      <c r="T20" s="1206" t="s">
        <v>2179</v>
      </c>
      <c r="U20" s="1174" t="s">
        <v>2180</v>
      </c>
      <c r="V20" s="1174" t="s">
        <v>2181</v>
      </c>
      <c r="W20" s="1174" t="s">
        <v>2182</v>
      </c>
      <c r="X20" s="1189"/>
      <c r="Y20" s="1193"/>
      <c r="Z20" s="1174"/>
      <c r="AA20" s="1181"/>
      <c r="AB20" s="1174"/>
      <c r="AC20" s="1174"/>
      <c r="AD20" s="1174"/>
    </row>
    <row r="21" customFormat="false" ht="36" hidden="false" customHeight="true" outlineLevel="0" collapsed="false">
      <c r="A21" s="1191"/>
      <c r="B21" s="1194" t="n">
        <v>4</v>
      </c>
      <c r="C21" s="1189" t="n">
        <v>2</v>
      </c>
      <c r="D21" s="1202"/>
      <c r="E21" s="1189"/>
      <c r="F21" s="1189"/>
      <c r="G21" s="1189"/>
      <c r="H21" s="1203"/>
      <c r="I21" s="1204" t="str">
        <f aca="false">INDEX(TEMPLATE_NUMBER_POINT_FHD,B21,MATCH(TEMPLATE_SPHERE,TEMPLATE_SPHERE_LIST_FOR_NOTE,0))</f>
        <v>2.2</v>
      </c>
      <c r="J21" s="1204" t="str">
        <f aca="false">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04" t="str">
        <f aca="false">INDEX(TEMPLATE_NOTE_POINT_FHD,B21,MATCH(TEMPLATE_SPHERE,TEMPLATE_SPHERE_LIST_FOR_NOTE,0))</f>
        <v>Указываются суммарные расходы на приобретение топлива всех видов.</v>
      </c>
      <c r="L21" s="1192" t="str">
        <f aca="false">IF(I21=0,"",I21)</f>
        <v>2.2</v>
      </c>
      <c r="M21" s="1192" t="str">
        <f aca="false">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92" t="str">
        <f aca="false">IF(K21=0,"",K21)</f>
        <v>Указываются суммарные расходы на приобретение топлива всех видов.</v>
      </c>
      <c r="O21" s="1205" t="s">
        <v>320</v>
      </c>
      <c r="P21" s="1205"/>
      <c r="Q21" s="1205"/>
      <c r="R21" s="1205"/>
      <c r="S21" s="1205"/>
      <c r="T21" s="1206" t="s">
        <v>2183</v>
      </c>
      <c r="U21" s="1174"/>
      <c r="V21" s="1174"/>
      <c r="W21" s="1174"/>
      <c r="X21" s="1189"/>
      <c r="Y21" s="1193"/>
      <c r="Z21" s="1174" t="s">
        <v>2184</v>
      </c>
      <c r="AA21" s="1181"/>
      <c r="AB21" s="1174"/>
      <c r="AC21" s="1174"/>
      <c r="AD21" s="1174"/>
    </row>
    <row r="22" customFormat="false" ht="36" hidden="false" customHeight="true" outlineLevel="0" collapsed="false">
      <c r="A22" s="1191"/>
      <c r="B22" s="1194" t="n">
        <v>5</v>
      </c>
      <c r="C22" s="1189" t="n">
        <v>3</v>
      </c>
      <c r="D22" s="1202"/>
      <c r="E22" s="1189"/>
      <c r="F22" s="1189"/>
      <c r="G22" s="1207"/>
      <c r="H22" s="1208"/>
      <c r="I22" s="1204" t="n">
        <f aca="false">INDEX(TEMPLATE_NUMBER_POINT_FHD,B22,MATCH(TEMPLATE_SPHERE,TEMPLATE_SPHERE_LIST_FOR_NOTE,0))</f>
        <v>0</v>
      </c>
      <c r="J22" s="1204" t="n">
        <f aca="false">INDEX(TEMPLATE_DATA_POINT_FHD,B22,MATCH(TEMPLATE_SPHERE,TEMPLATE_SPHERE_LIST_FOR_NOTE,0))</f>
        <v>0</v>
      </c>
      <c r="K22" s="1204" t="n">
        <f aca="false">INDEX(TEMPLATE_NOTE_POINT_FHD,B22,MATCH(TEMPLATE_SPHERE,TEMPLATE_SPHERE_LIST_FOR_NOTE,0))</f>
        <v>0</v>
      </c>
      <c r="L22" s="1192" t="str">
        <f aca="false">IF(I22=0,"",I22)</f>
        <v/>
      </c>
      <c r="M22" s="1192" t="str">
        <f aca="false">IF(J22=0,"",J22)</f>
        <v/>
      </c>
      <c r="N22" s="1192" t="str">
        <f aca="false">IF(K22=0,"",K22)</f>
        <v/>
      </c>
      <c r="O22" s="1205"/>
      <c r="P22" s="1205"/>
      <c r="Q22" s="1205" t="s">
        <v>320</v>
      </c>
      <c r="R22" s="1205"/>
      <c r="S22" s="1205"/>
      <c r="T22" s="1206"/>
      <c r="U22" s="1174"/>
      <c r="V22" s="1174" t="s">
        <v>2185</v>
      </c>
      <c r="W22" s="1174"/>
      <c r="X22" s="1189"/>
      <c r="Y22" s="1193"/>
      <c r="Z22" s="1174"/>
      <c r="AA22" s="1181"/>
      <c r="AB22" s="1174"/>
      <c r="AC22" s="1174"/>
      <c r="AD22" s="1174"/>
    </row>
    <row r="23" customFormat="false" ht="27" hidden="false" customHeight="true" outlineLevel="0" collapsed="false">
      <c r="A23" s="1191"/>
      <c r="B23" s="1194" t="n">
        <v>6</v>
      </c>
      <c r="C23" s="1189" t="n">
        <v>4</v>
      </c>
      <c r="D23" s="1202"/>
      <c r="E23" s="1189"/>
      <c r="F23" s="1189"/>
      <c r="G23" s="1207"/>
      <c r="H23" s="1208"/>
      <c r="I23" s="1204" t="n">
        <f aca="false">INDEX(TEMPLATE_NUMBER_POINT_FHD,B23,MATCH(TEMPLATE_SPHERE,TEMPLATE_SPHERE_LIST_FOR_NOTE,0))</f>
        <v>0</v>
      </c>
      <c r="J23" s="1204" t="n">
        <f aca="false">INDEX(TEMPLATE_DATA_POINT_FHD,B23,MATCH(TEMPLATE_SPHERE,TEMPLATE_SPHERE_LIST_FOR_NOTE,0))</f>
        <v>0</v>
      </c>
      <c r="K23" s="1204" t="n">
        <f aca="false">INDEX(TEMPLATE_NOTE_POINT_FHD,B23,MATCH(TEMPLATE_SPHERE,TEMPLATE_SPHERE_LIST_FOR_NOTE,0))</f>
        <v>0</v>
      </c>
      <c r="L23" s="1192" t="str">
        <f aca="false">IF(I23=0,"",I23)</f>
        <v/>
      </c>
      <c r="M23" s="1192" t="str">
        <f aca="false">IF(J23=0,"",J23)</f>
        <v/>
      </c>
      <c r="N23" s="1192" t="str">
        <f aca="false">IF(K23=0,"",K23)</f>
        <v/>
      </c>
      <c r="O23" s="1205"/>
      <c r="P23" s="1205"/>
      <c r="Q23" s="1205" t="s">
        <v>323</v>
      </c>
      <c r="R23" s="1205"/>
      <c r="S23" s="1205"/>
      <c r="T23" s="1206"/>
      <c r="U23" s="1174"/>
      <c r="V23" s="1174" t="s">
        <v>2186</v>
      </c>
      <c r="W23" s="1174"/>
      <c r="X23" s="1189"/>
      <c r="Y23" s="1193"/>
      <c r="Z23" s="1174"/>
      <c r="AA23" s="1181"/>
      <c r="AB23" s="1174"/>
      <c r="AC23" s="1174"/>
      <c r="AD23" s="1174"/>
    </row>
    <row r="24" customFormat="false" ht="36" hidden="false" customHeight="true" outlineLevel="0" collapsed="false">
      <c r="A24" s="1191"/>
      <c r="B24" s="1194" t="n">
        <v>7</v>
      </c>
      <c r="C24" s="1189" t="n">
        <v>5</v>
      </c>
      <c r="D24" s="1202"/>
      <c r="E24" s="1189"/>
      <c r="F24" s="1189"/>
      <c r="G24" s="1207"/>
      <c r="H24" s="1208"/>
      <c r="I24" s="1204" t="n">
        <f aca="false">INDEX(TEMPLATE_NUMBER_POINT_FHD,B24,MATCH(TEMPLATE_SPHERE,TEMPLATE_SPHERE_LIST_FOR_NOTE,0))</f>
        <v>0</v>
      </c>
      <c r="J24" s="1204" t="n">
        <f aca="false">INDEX(TEMPLATE_DATA_POINT_FHD,B24,MATCH(TEMPLATE_SPHERE,TEMPLATE_SPHERE_LIST_FOR_NOTE,0))</f>
        <v>0</v>
      </c>
      <c r="K24" s="1204" t="n">
        <f aca="false">INDEX(TEMPLATE_NOTE_POINT_FHD,B24,MATCH(TEMPLATE_SPHERE,TEMPLATE_SPHERE_LIST_FOR_NOTE,0))</f>
        <v>0</v>
      </c>
      <c r="L24" s="1192" t="str">
        <f aca="false">IF(I24=0,"",I24)</f>
        <v/>
      </c>
      <c r="M24" s="1192" t="str">
        <f aca="false">IF(J24=0,"",J24)</f>
        <v/>
      </c>
      <c r="N24" s="1192" t="str">
        <f aca="false">IF(K24=0,"",K24)</f>
        <v/>
      </c>
      <c r="O24" s="1205"/>
      <c r="P24" s="1205"/>
      <c r="Q24" s="1205" t="s">
        <v>759</v>
      </c>
      <c r="R24" s="1205"/>
      <c r="S24" s="1205"/>
      <c r="T24" s="1206"/>
      <c r="U24" s="1174"/>
      <c r="V24" s="1174" t="s">
        <v>2187</v>
      </c>
      <c r="W24" s="1174"/>
      <c r="X24" s="1189"/>
      <c r="Y24" s="1193"/>
      <c r="Z24" s="1174"/>
      <c r="AA24" s="1181"/>
      <c r="AB24" s="1174"/>
      <c r="AC24" s="1174"/>
      <c r="AD24" s="1174"/>
    </row>
    <row r="25" customFormat="false" ht="36" hidden="false" customHeight="true" outlineLevel="0" collapsed="false">
      <c r="A25" s="1191"/>
      <c r="B25" s="1194" t="n">
        <v>8</v>
      </c>
      <c r="C25" s="1189" t="n">
        <v>6</v>
      </c>
      <c r="D25" s="1202"/>
      <c r="E25" s="1189"/>
      <c r="F25" s="1189"/>
      <c r="G25" s="1207"/>
      <c r="H25" s="1208"/>
      <c r="I25" s="1204" t="str">
        <f aca="false">INDEX(TEMPLATE_NUMBER_POINT_FHD,B25,MATCH(TEMPLATE_SPHERE,TEMPLATE_SPHERE_LIST_FOR_NOTE,0))</f>
        <v>2.3</v>
      </c>
      <c r="J25" s="1204" t="str">
        <f aca="false">INDEX(TEMPLATE_DATA_POINT_FHD,B25,MATCH(TEMPLATE_SPHERE,TEMPLATE_SPHERE_LIST_FOR_NOTE,0))</f>
        <v>Расходы на приобретаемую электрическую энергию (мощность), используемую в технологическом процессе</v>
      </c>
      <c r="K25" s="1204" t="n">
        <f aca="false">INDEX(TEMPLATE_NOTE_POINT_FHD,B25,MATCH(TEMPLATE_SPHERE,TEMPLATE_SPHERE_LIST_FOR_NOTE,0))</f>
        <v>0</v>
      </c>
      <c r="L25" s="1192" t="str">
        <f aca="false">IF(I25=0,"",I25)</f>
        <v>2.3</v>
      </c>
      <c r="M25" s="1192" t="str">
        <f aca="false">IF(J25=0,"",J25)</f>
        <v>Расходы на приобретаемую электрическую энергию (мощность), используемую в технологическом процессе</v>
      </c>
      <c r="N25" s="1192" t="str">
        <f aca="false">IF(K25=0,"",K25)</f>
        <v/>
      </c>
      <c r="O25" s="1205" t="s">
        <v>323</v>
      </c>
      <c r="P25" s="1205" t="s">
        <v>320</v>
      </c>
      <c r="Q25" s="1205" t="s">
        <v>766</v>
      </c>
      <c r="R25" s="1205" t="s">
        <v>320</v>
      </c>
      <c r="S25" s="1205"/>
      <c r="T25" s="1206" t="s">
        <v>2188</v>
      </c>
      <c r="U25" s="1174" t="s">
        <v>2188</v>
      </c>
      <c r="V25" s="1174" t="s">
        <v>2188</v>
      </c>
      <c r="W25" s="1174" t="s">
        <v>2188</v>
      </c>
      <c r="X25" s="1189"/>
      <c r="Y25" s="1193"/>
      <c r="Z25" s="1174"/>
      <c r="AA25" s="1181"/>
      <c r="AB25" s="1174"/>
      <c r="AC25" s="1174"/>
      <c r="AD25" s="1174"/>
    </row>
    <row r="26" customFormat="false" ht="18" hidden="false" customHeight="true" outlineLevel="0" collapsed="false">
      <c r="A26" s="1191"/>
      <c r="B26" s="1194" t="n">
        <v>9</v>
      </c>
      <c r="C26" s="1189" t="s">
        <v>683</v>
      </c>
      <c r="D26" s="1202"/>
      <c r="E26" s="1189"/>
      <c r="F26" s="1189"/>
      <c r="G26" s="1207"/>
      <c r="H26" s="1208"/>
      <c r="I26" s="1204" t="str">
        <f aca="false">INDEX(TEMPLATE_NUMBER_POINT_FHD,B26,MATCH(TEMPLATE_SPHERE,TEMPLATE_SPHERE_LIST_FOR_NOTE,0))</f>
        <v>2.3.1</v>
      </c>
      <c r="J26" s="1204" t="str">
        <f aca="false">INDEX(TEMPLATE_DATA_POINT_FHD,B26,MATCH(TEMPLATE_SPHERE,TEMPLATE_SPHERE_LIST_FOR_NOTE,0))</f>
        <v>Средневзвешенная стоимость 1 кВт.ч (с учетом мощности)</v>
      </c>
      <c r="K26" s="1204" t="n">
        <f aca="false">INDEX(TEMPLATE_NOTE_POINT_FHD,B26,MATCH(TEMPLATE_SPHERE,TEMPLATE_SPHERE_LIST_FOR_NOTE,0))</f>
        <v>0</v>
      </c>
      <c r="L26" s="1192" t="str">
        <f aca="false">IF(I26=0,"",I26)</f>
        <v>2.3.1</v>
      </c>
      <c r="M26" s="1192" t="str">
        <f aca="false">IF(J26=0,"",J26)</f>
        <v>Средневзвешенная стоимость 1 кВт.ч (с учетом мощности)</v>
      </c>
      <c r="N26" s="1192" t="str">
        <f aca="false">IF(K26=0,"",K26)</f>
        <v/>
      </c>
      <c r="O26" s="1205" t="s">
        <v>755</v>
      </c>
      <c r="P26" s="1205" t="s">
        <v>749</v>
      </c>
      <c r="Q26" s="1205" t="s">
        <v>2189</v>
      </c>
      <c r="R26" s="1205" t="s">
        <v>749</v>
      </c>
      <c r="S26" s="1205"/>
      <c r="T26" s="1206" t="str">
        <f aca="false">"Средневзвешенная стоимость 1 кВт.ч"&amp;IF(TITLE_TYPE_ORG="Регулируемая организация"," (с учетом мощности)","")</f>
        <v>Средневзвешенная стоимость 1 кВт.ч (с учетом мощности)</v>
      </c>
      <c r="U26" s="1206" t="s">
        <v>2190</v>
      </c>
      <c r="V26" s="1206" t="s">
        <v>2190</v>
      </c>
      <c r="W26" s="1206" t="s">
        <v>2190</v>
      </c>
      <c r="X26" s="1189"/>
      <c r="Y26" s="1193"/>
      <c r="Z26" s="1174"/>
      <c r="AA26" s="1181"/>
      <c r="AB26" s="1174"/>
      <c r="AC26" s="1174"/>
      <c r="AD26" s="1174"/>
    </row>
    <row r="27" customFormat="false" ht="18" hidden="false" customHeight="true" outlineLevel="0" collapsed="false">
      <c r="A27" s="1191"/>
      <c r="B27" s="1194" t="n">
        <v>10</v>
      </c>
      <c r="C27" s="1189" t="s">
        <v>687</v>
      </c>
      <c r="D27" s="1202"/>
      <c r="E27" s="1189"/>
      <c r="F27" s="1189"/>
      <c r="G27" s="1207"/>
      <c r="H27" s="1208"/>
      <c r="I27" s="1204" t="str">
        <f aca="false">INDEX(TEMPLATE_NUMBER_POINT_FHD,B27,MATCH(TEMPLATE_SPHERE,TEMPLATE_SPHERE_LIST_FOR_NOTE,0))</f>
        <v>2.3.2</v>
      </c>
      <c r="J27" s="1204" t="str">
        <f aca="false">INDEX(TEMPLATE_DATA_POINT_FHD,B27,MATCH(TEMPLATE_SPHERE,TEMPLATE_SPHERE_LIST_FOR_NOTE,0))</f>
        <v>Объём приобретения электрической энергии</v>
      </c>
      <c r="K27" s="1204" t="n">
        <f aca="false">INDEX(TEMPLATE_NOTE_POINT_FHD,B27,MATCH(TEMPLATE_SPHERE,TEMPLATE_SPHERE_LIST_FOR_NOTE,0))</f>
        <v>0</v>
      </c>
      <c r="L27" s="1192" t="str">
        <f aca="false">IF(I27=0,"",I27)</f>
        <v>2.3.2</v>
      </c>
      <c r="M27" s="1192" t="str">
        <f aca="false">IF(J27=0,"",J27)</f>
        <v>Объём приобретения электрической энергии</v>
      </c>
      <c r="N27" s="1192" t="str">
        <f aca="false">IF(K27=0,"",K27)</f>
        <v/>
      </c>
      <c r="O27" s="1205" t="s">
        <v>757</v>
      </c>
      <c r="P27" s="1205" t="s">
        <v>751</v>
      </c>
      <c r="Q27" s="1205" t="s">
        <v>2191</v>
      </c>
      <c r="R27" s="1205" t="s">
        <v>751</v>
      </c>
      <c r="S27" s="1205"/>
      <c r="T27" s="1206" t="s">
        <v>2192</v>
      </c>
      <c r="U27" s="1206" t="s">
        <v>2192</v>
      </c>
      <c r="V27" s="1206" t="s">
        <v>2192</v>
      </c>
      <c r="W27" s="1206" t="s">
        <v>2192</v>
      </c>
      <c r="X27" s="1189"/>
      <c r="Y27" s="1193"/>
      <c r="Z27" s="1174"/>
      <c r="AA27" s="1181"/>
      <c r="AB27" s="1174"/>
      <c r="AC27" s="1174"/>
      <c r="AD27" s="1174"/>
    </row>
    <row r="28" customFormat="false" ht="27" hidden="false" customHeight="true" outlineLevel="0" collapsed="false">
      <c r="A28" s="1191"/>
      <c r="B28" s="1194" t="n">
        <v>11</v>
      </c>
      <c r="C28" s="1189" t="n">
        <v>7</v>
      </c>
      <c r="D28" s="1202"/>
      <c r="E28" s="1189"/>
      <c r="F28" s="1189"/>
      <c r="G28" s="1207"/>
      <c r="H28" s="1208"/>
      <c r="I28" s="1204" t="str">
        <f aca="false">INDEX(TEMPLATE_NUMBER_POINT_FHD,B28,MATCH(TEMPLATE_SPHERE,TEMPLATE_SPHERE_LIST_FOR_NOTE,0))</f>
        <v>2.4</v>
      </c>
      <c r="J28" s="1204" t="str">
        <f aca="false">INDEX(TEMPLATE_DATA_POINT_FHD,B28,MATCH(TEMPLATE_SPHERE,TEMPLATE_SPHERE_LIST_FOR_NOTE,0))</f>
        <v>Расходы на приобретение холодной воды, используемой в технологическом процессе</v>
      </c>
      <c r="K28" s="1204" t="n">
        <f aca="false">INDEX(TEMPLATE_NOTE_POINT_FHD,B28,MATCH(TEMPLATE_SPHERE,TEMPLATE_SPHERE_LIST_FOR_NOTE,0))</f>
        <v>0</v>
      </c>
      <c r="L28" s="1192" t="str">
        <f aca="false">IF(I28=0,"",I28)</f>
        <v>2.4</v>
      </c>
      <c r="M28" s="1192" t="str">
        <f aca="false">IF(J28=0,"",J28)</f>
        <v>Расходы на приобретение холодной воды, используемой в технологическом процессе</v>
      </c>
      <c r="N28" s="1192" t="str">
        <f aca="false">IF(K28=0,"",K28)</f>
        <v/>
      </c>
      <c r="O28" s="1205" t="s">
        <v>759</v>
      </c>
      <c r="P28" s="1205"/>
      <c r="Q28" s="1205"/>
      <c r="R28" s="1205"/>
      <c r="S28" s="1205"/>
      <c r="T28" s="1206" t="s">
        <v>2193</v>
      </c>
      <c r="U28" s="1174"/>
      <c r="V28" s="1174"/>
      <c r="W28" s="1174"/>
      <c r="X28" s="1189"/>
      <c r="Y28" s="1193"/>
      <c r="Z28" s="1174"/>
      <c r="AA28" s="1181"/>
      <c r="AB28" s="1174"/>
      <c r="AC28" s="1174"/>
      <c r="AD28" s="1174"/>
    </row>
    <row r="29" customFormat="false" ht="27" hidden="false" customHeight="true" outlineLevel="0" collapsed="false">
      <c r="A29" s="1191"/>
      <c r="B29" s="1194" t="n">
        <v>12</v>
      </c>
      <c r="C29" s="1189" t="n">
        <v>8</v>
      </c>
      <c r="D29" s="1202"/>
      <c r="E29" s="1189"/>
      <c r="F29" s="1189"/>
      <c r="G29" s="1207"/>
      <c r="H29" s="1208"/>
      <c r="I29" s="1204" t="str">
        <f aca="false">INDEX(TEMPLATE_NUMBER_POINT_FHD,B29,MATCH(TEMPLATE_SPHERE,TEMPLATE_SPHERE_LIST_FOR_NOTE,0))</f>
        <v>2.5</v>
      </c>
      <c r="J29" s="1204" t="str">
        <f aca="false">INDEX(TEMPLATE_DATA_POINT_FHD,B29,MATCH(TEMPLATE_SPHERE,TEMPLATE_SPHERE_LIST_FOR_NOTE,0))</f>
        <v>Расходы на  химические реагенты, используемые в технологическом процессе</v>
      </c>
      <c r="K29" s="1204" t="n">
        <f aca="false">INDEX(TEMPLATE_NOTE_POINT_FHD,B29,MATCH(TEMPLATE_SPHERE,TEMPLATE_SPHERE_LIST_FOR_NOTE,0))</f>
        <v>0</v>
      </c>
      <c r="L29" s="1192" t="str">
        <f aca="false">IF(I29=0,"",I29)</f>
        <v>2.5</v>
      </c>
      <c r="M29" s="1192" t="str">
        <f aca="false">IF(J29=0,"",J29)</f>
        <v>Расходы на  химические реагенты, используемые в технологическом процессе</v>
      </c>
      <c r="N29" s="1192" t="str">
        <f aca="false">IF(K29=0,"",K29)</f>
        <v/>
      </c>
      <c r="O29" s="1205" t="s">
        <v>766</v>
      </c>
      <c r="P29" s="1205" t="s">
        <v>323</v>
      </c>
      <c r="Q29" s="1205"/>
      <c r="R29" s="1205" t="s">
        <v>323</v>
      </c>
      <c r="S29" s="1205"/>
      <c r="T29" s="1206" t="str">
        <f aca="false">"Расходы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174" t="s">
        <v>2194</v>
      </c>
      <c r="V29" s="1174"/>
      <c r="W29" s="1174" t="s">
        <v>2194</v>
      </c>
      <c r="X29" s="1189"/>
      <c r="Y29" s="1193"/>
      <c r="Z29" s="1174"/>
      <c r="AA29" s="1181"/>
      <c r="AB29" s="1174"/>
      <c r="AC29" s="1174"/>
      <c r="AD29" s="1174"/>
    </row>
    <row r="30" customFormat="false" ht="54" hidden="false" customHeight="true" outlineLevel="0" collapsed="false">
      <c r="A30" s="1191"/>
      <c r="B30" s="1194" t="n">
        <v>13</v>
      </c>
      <c r="C30" s="1189" t="n">
        <v>9</v>
      </c>
      <c r="D30" s="1202"/>
      <c r="E30" s="1189"/>
      <c r="F30" s="1189"/>
      <c r="G30" s="1207"/>
      <c r="H30" s="1208"/>
      <c r="I30" s="1204" t="str">
        <f aca="false">INDEX(TEMPLATE_NUMBER_POINT_FHD,B30,MATCH(TEMPLATE_SPHERE,TEMPLATE_SPHERE_LIST_FOR_NOTE,0))</f>
        <v>2.6</v>
      </c>
      <c r="J30" s="1204" t="str">
        <f aca="false">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04" t="n">
        <f aca="false">INDEX(TEMPLATE_NOTE_POINT_FHD,B30,MATCH(TEMPLATE_SPHERE,TEMPLATE_SPHERE_LIST_FOR_NOTE,0))</f>
        <v>0</v>
      </c>
      <c r="L30" s="1192" t="str">
        <f aca="false">IF(I30=0,"",I30)</f>
        <v>2.6</v>
      </c>
      <c r="M30" s="1192" t="str">
        <f aca="false">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92" t="str">
        <f aca="false">IF(K30=0,"",K30)</f>
        <v/>
      </c>
      <c r="O30" s="1205" t="s">
        <v>768</v>
      </c>
      <c r="P30" s="1205" t="s">
        <v>759</v>
      </c>
      <c r="Q30" s="1205" t="s">
        <v>768</v>
      </c>
      <c r="R30" s="1205" t="s">
        <v>759</v>
      </c>
      <c r="S30" s="1205"/>
      <c r="T30" s="1206" t="s">
        <v>2195</v>
      </c>
      <c r="U30" s="1174" t="s">
        <v>2195</v>
      </c>
      <c r="V30" s="1174" t="s">
        <v>2195</v>
      </c>
      <c r="W30" s="1174" t="s">
        <v>2195</v>
      </c>
      <c r="X30" s="1189"/>
      <c r="Y30" s="1193"/>
      <c r="Z30" s="1174"/>
      <c r="AA30" s="1181" t="s">
        <v>2196</v>
      </c>
      <c r="AB30" s="1181" t="s">
        <v>2196</v>
      </c>
      <c r="AC30" s="1181" t="s">
        <v>2196</v>
      </c>
      <c r="AD30" s="1174"/>
    </row>
    <row r="31" customFormat="false" ht="18" hidden="false" customHeight="true" outlineLevel="0" collapsed="false">
      <c r="A31" s="1191"/>
      <c r="B31" s="1194" t="n">
        <v>14</v>
      </c>
      <c r="C31" s="1189" t="s">
        <v>2197</v>
      </c>
      <c r="D31" s="1202"/>
      <c r="E31" s="1189"/>
      <c r="F31" s="1189"/>
      <c r="G31" s="1207"/>
      <c r="H31" s="1208"/>
      <c r="I31" s="1204" t="str">
        <f aca="false">INDEX(TEMPLATE_NUMBER_POINT_FHD,B31,MATCH(TEMPLATE_SPHERE,TEMPLATE_SPHERE_LIST_FOR_NOTE,0))</f>
        <v>2.6.1</v>
      </c>
      <c r="J31" s="1204" t="str">
        <f aca="false">INDEX(TEMPLATE_DATA_POINT_FHD,B31,MATCH(TEMPLATE_SPHERE,TEMPLATE_SPHERE_LIST_FOR_NOTE,0))</f>
        <v>Расходы на оплату труда основного производственного персонала</v>
      </c>
      <c r="K31" s="1204" t="n">
        <f aca="false">INDEX(TEMPLATE_NOTE_POINT_FHD,B31,MATCH(TEMPLATE_SPHERE,TEMPLATE_SPHERE_LIST_FOR_NOTE,0))</f>
        <v>0</v>
      </c>
      <c r="L31" s="1192" t="str">
        <f aca="false">IF(I31=0,"",I31)</f>
        <v>2.6.1</v>
      </c>
      <c r="M31" s="1192" t="str">
        <f aca="false">IF(J31=0,"",J31)</f>
        <v>Расходы на оплату труда основного производственного персонала</v>
      </c>
      <c r="N31" s="1192" t="str">
        <f aca="false">IF(K31=0,"",K31)</f>
        <v/>
      </c>
      <c r="O31" s="1205" t="s">
        <v>2198</v>
      </c>
      <c r="P31" s="1205" t="s">
        <v>762</v>
      </c>
      <c r="Q31" s="1205" t="s">
        <v>2198</v>
      </c>
      <c r="R31" s="1205" t="s">
        <v>762</v>
      </c>
      <c r="S31" s="1205"/>
      <c r="T31" s="1209" t="s">
        <v>2199</v>
      </c>
      <c r="U31" s="1174" t="s">
        <v>2199</v>
      </c>
      <c r="V31" s="1174" t="s">
        <v>2199</v>
      </c>
      <c r="W31" s="1174" t="s">
        <v>2199</v>
      </c>
      <c r="X31" s="1189"/>
      <c r="Y31" s="1193"/>
      <c r="Z31" s="1174"/>
      <c r="AA31" s="1181"/>
      <c r="AB31" s="1181"/>
      <c r="AC31" s="1181"/>
      <c r="AD31" s="1174"/>
    </row>
    <row r="32" customFormat="false" ht="36" hidden="false" customHeight="true" outlineLevel="0" collapsed="false">
      <c r="A32" s="1191"/>
      <c r="B32" s="1194" t="n">
        <v>15</v>
      </c>
      <c r="C32" s="1189" t="s">
        <v>2200</v>
      </c>
      <c r="D32" s="1202"/>
      <c r="E32" s="1189"/>
      <c r="F32" s="1189"/>
      <c r="G32" s="1207"/>
      <c r="H32" s="1208"/>
      <c r="I32" s="1204" t="str">
        <f aca="false">INDEX(TEMPLATE_NUMBER_POINT_FHD,B32,MATCH(TEMPLATE_SPHERE,TEMPLATE_SPHERE_LIST_FOR_NOTE,0))</f>
        <v>2.6.2</v>
      </c>
      <c r="J32" s="1204" t="str">
        <f aca="false">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04" t="n">
        <f aca="false">INDEX(TEMPLATE_NOTE_POINT_FHD,B32,MATCH(TEMPLATE_SPHERE,TEMPLATE_SPHERE_LIST_FOR_NOTE,0))</f>
        <v>0</v>
      </c>
      <c r="L32" s="1192" t="str">
        <f aca="false">IF(I32=0,"",I32)</f>
        <v>2.6.2</v>
      </c>
      <c r="M32" s="1192" t="str">
        <f aca="false">IF(J32=0,"",J32)</f>
        <v>Страховые взносы на обязательное социальное страхование, выплачиваемые из фонда оплаты труда основного производственного персонала</v>
      </c>
      <c r="N32" s="1192" t="str">
        <f aca="false">IF(K32=0,"",K32)</f>
        <v/>
      </c>
      <c r="O32" s="1205" t="s">
        <v>2201</v>
      </c>
      <c r="P32" s="1205" t="s">
        <v>764</v>
      </c>
      <c r="Q32" s="1205" t="s">
        <v>2201</v>
      </c>
      <c r="R32" s="1205" t="s">
        <v>764</v>
      </c>
      <c r="S32" s="1205"/>
      <c r="T32" s="1210" t="str">
        <f aca="false">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174" t="s">
        <v>2202</v>
      </c>
      <c r="V32" s="1174" t="s">
        <v>2202</v>
      </c>
      <c r="W32" s="1174" t="s">
        <v>2202</v>
      </c>
      <c r="X32" s="1189"/>
      <c r="Y32" s="1193"/>
      <c r="Z32" s="1174"/>
      <c r="AA32" s="1181"/>
      <c r="AB32" s="1181"/>
      <c r="AC32" s="1181"/>
      <c r="AD32" s="1174"/>
    </row>
    <row r="33" customFormat="false" ht="45" hidden="false" customHeight="true" outlineLevel="0" collapsed="false">
      <c r="A33" s="1191"/>
      <c r="B33" s="1194" t="n">
        <v>16</v>
      </c>
      <c r="C33" s="1189" t="n">
        <v>10</v>
      </c>
      <c r="D33" s="1202"/>
      <c r="E33" s="1189"/>
      <c r="F33" s="1189"/>
      <c r="G33" s="1207"/>
      <c r="H33" s="1208"/>
      <c r="I33" s="1204" t="str">
        <f aca="false">INDEX(TEMPLATE_NUMBER_POINT_FHD,B33,MATCH(TEMPLATE_SPHERE,TEMPLATE_SPHERE_LIST_FOR_NOTE,0))</f>
        <v>2.7</v>
      </c>
      <c r="J33" s="1204" t="str">
        <f aca="false">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04" t="n">
        <f aca="false">INDEX(TEMPLATE_NOTE_POINT_FHD,B33,MATCH(TEMPLATE_SPHERE,TEMPLATE_SPHERE_LIST_FOR_NOTE,0))</f>
        <v>0</v>
      </c>
      <c r="L33" s="1192" t="str">
        <f aca="false">IF(I33=0,"",I33)</f>
        <v>2.7</v>
      </c>
      <c r="M33" s="1192" t="str">
        <f aca="false">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92" t="str">
        <f aca="false">IF(K33=0,"",K33)</f>
        <v/>
      </c>
      <c r="O33" s="1205" t="s">
        <v>770</v>
      </c>
      <c r="P33" s="1205" t="s">
        <v>766</v>
      </c>
      <c r="Q33" s="1205" t="s">
        <v>770</v>
      </c>
      <c r="R33" s="1205" t="s">
        <v>766</v>
      </c>
      <c r="S33" s="1205"/>
      <c r="T33" s="1209" t="str">
        <f aca="fals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174" t="s">
        <v>2203</v>
      </c>
      <c r="V33" s="1174" t="s">
        <v>2203</v>
      </c>
      <c r="W33" s="1174" t="s">
        <v>2204</v>
      </c>
      <c r="X33" s="1189"/>
      <c r="Y33" s="1193"/>
      <c r="Z33" s="1174"/>
      <c r="AA33" s="1181" t="s">
        <v>2205</v>
      </c>
      <c r="AB33" s="1181" t="s">
        <v>2205</v>
      </c>
      <c r="AC33" s="1181" t="s">
        <v>2205</v>
      </c>
      <c r="AD33" s="1174"/>
    </row>
    <row r="34" customFormat="false" ht="27" hidden="false" customHeight="true" outlineLevel="0" collapsed="false">
      <c r="A34" s="1191"/>
      <c r="B34" s="1194" t="n">
        <v>17</v>
      </c>
      <c r="C34" s="1189" t="s">
        <v>2206</v>
      </c>
      <c r="D34" s="1202"/>
      <c r="E34" s="1189"/>
      <c r="F34" s="1189"/>
      <c r="G34" s="1207"/>
      <c r="H34" s="1208"/>
      <c r="I34" s="1204" t="str">
        <f aca="false">INDEX(TEMPLATE_NUMBER_POINT_FHD,B34,MATCH(TEMPLATE_SPHERE,TEMPLATE_SPHERE_LIST_FOR_NOTE,0))</f>
        <v>2.7.1</v>
      </c>
      <c r="J34" s="1204" t="str">
        <f aca="false">INDEX(TEMPLATE_DATA_POINT_FHD,B34,MATCH(TEMPLATE_SPHERE,TEMPLATE_SPHERE_LIST_FOR_NOTE,0))</f>
        <v>Расходы на оплату труда административно-управленческого персонала</v>
      </c>
      <c r="K34" s="1204" t="n">
        <f aca="false">INDEX(TEMPLATE_NOTE_POINT_FHD,B34,MATCH(TEMPLATE_SPHERE,TEMPLATE_SPHERE_LIST_FOR_NOTE,0))</f>
        <v>0</v>
      </c>
      <c r="L34" s="1192" t="str">
        <f aca="false">IF(I34=0,"",I34)</f>
        <v>2.7.1</v>
      </c>
      <c r="M34" s="1192" t="str">
        <f aca="false">IF(J34=0,"",J34)</f>
        <v>Расходы на оплату труда административно-управленческого персонала</v>
      </c>
      <c r="N34" s="1192" t="str">
        <f aca="false">IF(K34=0,"",K34)</f>
        <v/>
      </c>
      <c r="O34" s="1205" t="s">
        <v>2207</v>
      </c>
      <c r="P34" s="1205" t="s">
        <v>2189</v>
      </c>
      <c r="Q34" s="1205" t="s">
        <v>2207</v>
      </c>
      <c r="R34" s="1205" t="s">
        <v>2189</v>
      </c>
      <c r="S34" s="1205"/>
      <c r="T34" s="1210" t="s">
        <v>2208</v>
      </c>
      <c r="U34" s="1174" t="s">
        <v>2208</v>
      </c>
      <c r="V34" s="1174" t="s">
        <v>2208</v>
      </c>
      <c r="W34" s="1174" t="s">
        <v>2209</v>
      </c>
      <c r="X34" s="1189"/>
      <c r="Y34" s="1193"/>
      <c r="Z34" s="1174"/>
      <c r="AA34" s="1181"/>
      <c r="AB34" s="1174"/>
      <c r="AC34" s="1174"/>
      <c r="AD34" s="1174"/>
    </row>
    <row r="35" customFormat="false" ht="45" hidden="false" customHeight="true" outlineLevel="0" collapsed="false">
      <c r="A35" s="1191"/>
      <c r="B35" s="1194" t="n">
        <v>18</v>
      </c>
      <c r="C35" s="1189" t="s">
        <v>2210</v>
      </c>
      <c r="D35" s="1202"/>
      <c r="E35" s="1189"/>
      <c r="F35" s="1189"/>
      <c r="G35" s="1207"/>
      <c r="H35" s="1208"/>
      <c r="I35" s="1204" t="str">
        <f aca="false">INDEX(TEMPLATE_NUMBER_POINT_FHD,B35,MATCH(TEMPLATE_SPHERE,TEMPLATE_SPHERE_LIST_FOR_NOTE,0))</f>
        <v>2.7.2</v>
      </c>
      <c r="J35" s="1204" t="str">
        <f aca="false">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04" t="n">
        <f aca="false">INDEX(TEMPLATE_NOTE_POINT_FHD,B35,MATCH(TEMPLATE_SPHERE,TEMPLATE_SPHERE_LIST_FOR_NOTE,0))</f>
        <v>0</v>
      </c>
      <c r="L35" s="1192" t="str">
        <f aca="false">IF(I35=0,"",I35)</f>
        <v>2.7.2</v>
      </c>
      <c r="M35" s="1192" t="str">
        <f aca="false">IF(J35=0,"",J35)</f>
        <v>Страховые взносы на обязательное социальное страхование, выплачиваемые из фонда оплаты труда административно-управленческого персонала</v>
      </c>
      <c r="N35" s="1192" t="str">
        <f aca="false">IF(K35=0,"",K35)</f>
        <v/>
      </c>
      <c r="O35" s="1205" t="s">
        <v>2211</v>
      </c>
      <c r="P35" s="1205" t="s">
        <v>2191</v>
      </c>
      <c r="Q35" s="1205" t="s">
        <v>2211</v>
      </c>
      <c r="R35" s="1205" t="s">
        <v>2191</v>
      </c>
      <c r="S35" s="1205"/>
      <c r="T35" s="1206" t="str">
        <f aca="false">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174" t="s">
        <v>2212</v>
      </c>
      <c r="V35" s="1174" t="s">
        <v>2212</v>
      </c>
      <c r="W35" s="1174" t="s">
        <v>2212</v>
      </c>
      <c r="X35" s="1189"/>
      <c r="Y35" s="1193"/>
      <c r="Z35" s="1174"/>
      <c r="AA35" s="1181"/>
      <c r="AB35" s="1174"/>
      <c r="AC35" s="1174"/>
      <c r="AD35" s="1174"/>
    </row>
    <row r="36" customFormat="false" ht="18" hidden="false" customHeight="true" outlineLevel="0" collapsed="false">
      <c r="A36" s="1191"/>
      <c r="B36" s="1194" t="n">
        <v>19</v>
      </c>
      <c r="C36" s="1189" t="n">
        <v>11</v>
      </c>
      <c r="D36" s="1202"/>
      <c r="E36" s="1189"/>
      <c r="F36" s="1189"/>
      <c r="G36" s="1207"/>
      <c r="H36" s="1208"/>
      <c r="I36" s="1204" t="str">
        <f aca="false">INDEX(TEMPLATE_NUMBER_POINT_FHD,B36,MATCH(TEMPLATE_SPHERE,TEMPLATE_SPHERE_LIST_FOR_NOTE,0))</f>
        <v>2.8</v>
      </c>
      <c r="J36" s="1204" t="str">
        <f aca="false">INDEX(TEMPLATE_DATA_POINT_FHD,B36,MATCH(TEMPLATE_SPHERE,TEMPLATE_SPHERE_LIST_FOR_NOTE,0))</f>
        <v>Расходы на амортизацию основных средств и нематериальных активов</v>
      </c>
      <c r="K36" s="1204" t="n">
        <f aca="false">INDEX(TEMPLATE_NOTE_POINT_FHD,B36,MATCH(TEMPLATE_SPHERE,TEMPLATE_SPHERE_LIST_FOR_NOTE,0))</f>
        <v>0</v>
      </c>
      <c r="L36" s="1192" t="str">
        <f aca="false">IF(I36=0,"",I36)</f>
        <v>2.8</v>
      </c>
      <c r="M36" s="1192" t="str">
        <f aca="false">IF(J36=0,"",J36)</f>
        <v>Расходы на амортизацию основных средств и нематериальных активов</v>
      </c>
      <c r="N36" s="1192" t="str">
        <f aca="false">IF(K36=0,"",K36)</f>
        <v/>
      </c>
      <c r="O36" s="1205" t="s">
        <v>772</v>
      </c>
      <c r="P36" s="1205" t="s">
        <v>768</v>
      </c>
      <c r="Q36" s="1205" t="s">
        <v>772</v>
      </c>
      <c r="R36" s="1205" t="s">
        <v>768</v>
      </c>
      <c r="S36" s="1205"/>
      <c r="T36" s="1206" t="s">
        <v>2213</v>
      </c>
      <c r="U36" s="1174" t="s">
        <v>2213</v>
      </c>
      <c r="V36" s="1174" t="s">
        <v>2213</v>
      </c>
      <c r="W36" s="1174" t="s">
        <v>2213</v>
      </c>
      <c r="X36" s="1189"/>
      <c r="Y36" s="1193"/>
      <c r="Z36" s="1174"/>
      <c r="AA36" s="1181"/>
      <c r="AB36" s="1174"/>
      <c r="AC36" s="1174"/>
      <c r="AD36" s="1174"/>
    </row>
    <row r="37" customFormat="false" ht="18" hidden="false" customHeight="true" outlineLevel="0" collapsed="false">
      <c r="A37" s="1191"/>
      <c r="B37" s="1194" t="n">
        <v>20</v>
      </c>
      <c r="C37" s="1189" t="s">
        <v>2214</v>
      </c>
      <c r="D37" s="1202"/>
      <c r="E37" s="1189"/>
      <c r="F37" s="1189"/>
      <c r="G37" s="1207"/>
      <c r="H37" s="1208"/>
      <c r="I37" s="1204" t="str">
        <f aca="false">INDEX(TEMPLATE_NUMBER_POINT_FHD,B37,MATCH(TEMPLATE_SPHERE,TEMPLATE_SPHERE_LIST_FOR_NOTE,0))</f>
        <v>2.8.1</v>
      </c>
      <c r="J37" s="1204" t="str">
        <f aca="false">INDEX(TEMPLATE_DATA_POINT_FHD,B37,MATCH(TEMPLATE_SPHERE,TEMPLATE_SPHERE_LIST_FOR_NOTE,0))</f>
        <v>Расходы на амортизацию основных средств</v>
      </c>
      <c r="K37" s="1204" t="n">
        <f aca="false">INDEX(TEMPLATE_NOTE_POINT_FHD,B37,MATCH(TEMPLATE_SPHERE,TEMPLATE_SPHERE_LIST_FOR_NOTE,0))</f>
        <v>0</v>
      </c>
      <c r="L37" s="1192" t="str">
        <f aca="false">IF(I37=0,"",I37)</f>
        <v>2.8.1</v>
      </c>
      <c r="M37" s="1192" t="str">
        <f aca="false">IF(J37=0,"",J37)</f>
        <v>Расходы на амортизацию основных средств</v>
      </c>
      <c r="N37" s="1192" t="str">
        <f aca="false">IF(K37=0,"",K37)</f>
        <v/>
      </c>
      <c r="O37" s="1205" t="s">
        <v>2215</v>
      </c>
      <c r="P37" s="1205" t="s">
        <v>2198</v>
      </c>
      <c r="Q37" s="1205" t="s">
        <v>2215</v>
      </c>
      <c r="R37" s="1205" t="s">
        <v>2198</v>
      </c>
      <c r="S37" s="1205"/>
      <c r="T37" s="1206" t="s">
        <v>2216</v>
      </c>
      <c r="U37" s="1174" t="s">
        <v>2216</v>
      </c>
      <c r="V37" s="1174" t="s">
        <v>2216</v>
      </c>
      <c r="W37" s="1174" t="s">
        <v>2216</v>
      </c>
      <c r="X37" s="1189"/>
      <c r="Y37" s="1193"/>
      <c r="Z37" s="1174"/>
      <c r="AA37" s="1181"/>
      <c r="AB37" s="1174"/>
      <c r="AC37" s="1174"/>
      <c r="AD37" s="1174"/>
    </row>
    <row r="38" customFormat="false" ht="18" hidden="false" customHeight="true" outlineLevel="0" collapsed="false">
      <c r="A38" s="1191"/>
      <c r="B38" s="1194" t="n">
        <v>21</v>
      </c>
      <c r="C38" s="1189" t="s">
        <v>2217</v>
      </c>
      <c r="D38" s="1202"/>
      <c r="E38" s="1189"/>
      <c r="F38" s="1189"/>
      <c r="G38" s="1207"/>
      <c r="H38" s="1208"/>
      <c r="I38" s="1204" t="str">
        <f aca="false">INDEX(TEMPLATE_NUMBER_POINT_FHD,B38,MATCH(TEMPLATE_SPHERE,TEMPLATE_SPHERE_LIST_FOR_NOTE,0))</f>
        <v>2.8.2</v>
      </c>
      <c r="J38" s="1204" t="str">
        <f aca="false">INDEX(TEMPLATE_DATA_POINT_FHD,B38,MATCH(TEMPLATE_SPHERE,TEMPLATE_SPHERE_LIST_FOR_NOTE,0))</f>
        <v>Расходы на амортизацию нематериальных активов</v>
      </c>
      <c r="K38" s="1204" t="n">
        <f aca="false">INDEX(TEMPLATE_NOTE_POINT_FHD,B38,MATCH(TEMPLATE_SPHERE,TEMPLATE_SPHERE_LIST_FOR_NOTE,0))</f>
        <v>0</v>
      </c>
      <c r="L38" s="1192" t="str">
        <f aca="false">IF(I38=0,"",I38)</f>
        <v>2.8.2</v>
      </c>
      <c r="M38" s="1192" t="str">
        <f aca="false">IF(J38=0,"",J38)</f>
        <v>Расходы на амортизацию нематериальных активов</v>
      </c>
      <c r="N38" s="1192" t="str">
        <f aca="false">IF(K38=0,"",K38)</f>
        <v/>
      </c>
      <c r="O38" s="1205" t="s">
        <v>2218</v>
      </c>
      <c r="P38" s="1205" t="s">
        <v>2201</v>
      </c>
      <c r="Q38" s="1205" t="s">
        <v>2218</v>
      </c>
      <c r="R38" s="1205" t="s">
        <v>2201</v>
      </c>
      <c r="S38" s="1205"/>
      <c r="T38" s="1206" t="s">
        <v>2219</v>
      </c>
      <c r="U38" s="1174" t="s">
        <v>2219</v>
      </c>
      <c r="V38" s="1174" t="s">
        <v>2219</v>
      </c>
      <c r="W38" s="1174" t="s">
        <v>2219</v>
      </c>
      <c r="X38" s="1189"/>
      <c r="Y38" s="1193"/>
      <c r="Z38" s="1174"/>
      <c r="AA38" s="1181"/>
      <c r="AB38" s="1174"/>
      <c r="AC38" s="1174"/>
      <c r="AD38" s="1174"/>
    </row>
    <row r="39" customFormat="false" ht="36" hidden="false" customHeight="true" outlineLevel="0" collapsed="false">
      <c r="A39" s="1191"/>
      <c r="B39" s="1194" t="n">
        <v>22</v>
      </c>
      <c r="C39" s="1189" t="n">
        <v>12</v>
      </c>
      <c r="D39" s="1202"/>
      <c r="E39" s="1189"/>
      <c r="F39" s="1189"/>
      <c r="G39" s="1207"/>
      <c r="H39" s="1208"/>
      <c r="I39" s="1204" t="str">
        <f aca="false">INDEX(TEMPLATE_NUMBER_POINT_FHD,B39,MATCH(TEMPLATE_SPHERE,TEMPLATE_SPHERE_LIST_FOR_NOTE,0))</f>
        <v>2.9</v>
      </c>
      <c r="J39" s="1204" t="str">
        <f aca="false">INDEX(TEMPLATE_DATA_POINT_FHD,B39,MATCH(TEMPLATE_SPHERE,TEMPLATE_SPHERE_LIST_FOR_NOTE,0))</f>
        <v>Расходы на аренду имущества, используемого для осуществления регулируемого вида деятельности</v>
      </c>
      <c r="K39" s="1204" t="n">
        <f aca="false">INDEX(TEMPLATE_NOTE_POINT_FHD,B39,MATCH(TEMPLATE_SPHERE,TEMPLATE_SPHERE_LIST_FOR_NOTE,0))</f>
        <v>0</v>
      </c>
      <c r="L39" s="1192" t="str">
        <f aca="false">IF(I39=0,"",I39)</f>
        <v>2.9</v>
      </c>
      <c r="M39" s="1192" t="str">
        <f aca="false">IF(J39=0,"",J39)</f>
        <v>Расходы на аренду имущества, используемого для осуществления регулируемого вида деятельности</v>
      </c>
      <c r="N39" s="1192" t="str">
        <f aca="false">IF(K39=0,"",K39)</f>
        <v/>
      </c>
      <c r="O39" s="1205" t="s">
        <v>776</v>
      </c>
      <c r="P39" s="1205" t="s">
        <v>770</v>
      </c>
      <c r="Q39" s="1205" t="s">
        <v>776</v>
      </c>
      <c r="R39" s="1205" t="s">
        <v>770</v>
      </c>
      <c r="S39" s="1205"/>
      <c r="T39" s="1206" t="s">
        <v>2220</v>
      </c>
      <c r="U39" s="1174" t="s">
        <v>2221</v>
      </c>
      <c r="V39" s="1174" t="s">
        <v>2222</v>
      </c>
      <c r="W39" s="1174" t="s">
        <v>2223</v>
      </c>
      <c r="X39" s="1189"/>
      <c r="Y39" s="1193"/>
      <c r="Z39" s="1174"/>
      <c r="AA39" s="1181"/>
      <c r="AB39" s="1174"/>
      <c r="AC39" s="1174"/>
      <c r="AD39" s="1174"/>
    </row>
    <row r="40" customFormat="false" ht="18" hidden="false" customHeight="true" outlineLevel="0" collapsed="false">
      <c r="A40" s="1191"/>
      <c r="B40" s="1194" t="n">
        <v>23</v>
      </c>
      <c r="C40" s="1189" t="n">
        <v>13</v>
      </c>
      <c r="D40" s="1202"/>
      <c r="E40" s="1189"/>
      <c r="F40" s="1189"/>
      <c r="G40" s="1189"/>
      <c r="H40" s="1211"/>
      <c r="I40" s="1204" t="str">
        <f aca="false">INDEX(TEMPLATE_NUMBER_POINT_FHD,B40,MATCH(TEMPLATE_SPHERE,TEMPLATE_SPHERE_LIST_FOR_NOTE,0))</f>
        <v>2.10</v>
      </c>
      <c r="J40" s="1204" t="str">
        <f aca="false">INDEX(TEMPLATE_DATA_POINT_FHD,B40,MATCH(TEMPLATE_SPHERE,TEMPLATE_SPHERE_LIST_FOR_NOTE,0))</f>
        <v>Общепроизводственные расходы, в том числе:</v>
      </c>
      <c r="K40" s="1204" t="str">
        <f aca="false">INDEX(TEMPLATE_NOTE_POINT_FHD,B40,MATCH(TEMPLATE_SPHERE,TEMPLATE_SPHERE_LIST_FOR_NOTE,0))</f>
        <v>Указывается общая сумма общепроизводственных расходов.</v>
      </c>
      <c r="L40" s="1192" t="str">
        <f aca="false">IF(I40=0,"",I40)</f>
        <v>2.10</v>
      </c>
      <c r="M40" s="1192" t="str">
        <f aca="false">IF(J40=0,"",J40)</f>
        <v>Общепроизводственные расходы, в том числе:</v>
      </c>
      <c r="N40" s="1192" t="str">
        <f aca="false">IF(K40=0,"",K40)</f>
        <v>Указывается общая сумма общепроизводственных расходов.</v>
      </c>
      <c r="O40" s="1205" t="s">
        <v>2224</v>
      </c>
      <c r="P40" s="1205" t="s">
        <v>772</v>
      </c>
      <c r="Q40" s="1205" t="s">
        <v>2224</v>
      </c>
      <c r="R40" s="1205" t="s">
        <v>772</v>
      </c>
      <c r="S40" s="1205"/>
      <c r="T40" s="1189" t="s">
        <v>2225</v>
      </c>
      <c r="U40" s="1189" t="s">
        <v>2225</v>
      </c>
      <c r="V40" s="1189" t="s">
        <v>2225</v>
      </c>
      <c r="W40" s="1189" t="s">
        <v>2225</v>
      </c>
      <c r="X40" s="1189"/>
      <c r="Y40" s="1193"/>
      <c r="Z40" s="1174" t="s">
        <v>2226</v>
      </c>
      <c r="AA40" s="1181" t="s">
        <v>2226</v>
      </c>
      <c r="AB40" s="1181" t="s">
        <v>2226</v>
      </c>
      <c r="AC40" s="1181" t="s">
        <v>2226</v>
      </c>
      <c r="AD40" s="1174"/>
    </row>
    <row r="41" customFormat="false" ht="27" hidden="false" customHeight="true" outlineLevel="0" collapsed="false">
      <c r="A41" s="1191"/>
      <c r="B41" s="1194" t="n">
        <v>24</v>
      </c>
      <c r="C41" s="1189" t="s">
        <v>2227</v>
      </c>
      <c r="D41" s="1202"/>
      <c r="E41" s="1189"/>
      <c r="F41" s="1189"/>
      <c r="G41" s="1189"/>
      <c r="H41" s="1207"/>
      <c r="I41" s="1204" t="str">
        <f aca="false">INDEX(TEMPLATE_NUMBER_POINT_FHD,B41,MATCH(TEMPLATE_SPHERE,TEMPLATE_SPHERE_LIST_FOR_NOTE,0))</f>
        <v>2.10.1</v>
      </c>
      <c r="J41" s="1204" t="str">
        <f aca="false">INDEX(TEMPLATE_DATA_POINT_FHD,B41,MATCH(TEMPLATE_SPHERE,TEMPLATE_SPHERE_LIST_FOR_NOTE,0))</f>
        <v>Расходы на текущий ремонт</v>
      </c>
      <c r="K41" s="1204" t="str">
        <f aca="false">INDEX(TEMPLATE_NOTE_POINT_FHD,B41,MATCH(TEMPLATE_SPHERE,TEMPLATE_SPHERE_LIST_FOR_NOTE,0))</f>
        <v>Указываются расходы на текущий ремонт, отнесенные к общепроизводственным расходам.</v>
      </c>
      <c r="L41" s="1192" t="str">
        <f aca="false">IF(I41=0,"",I41)</f>
        <v>2.10.1</v>
      </c>
      <c r="M41" s="1192" t="str">
        <f aca="false">IF(J41=0,"",J41)</f>
        <v>Расходы на текущий ремонт</v>
      </c>
      <c r="N41" s="1192" t="str">
        <f aca="false">IF(K41=0,"",K41)</f>
        <v>Указываются расходы на текущий ремонт, отнесенные к общепроизводственным расходам.</v>
      </c>
      <c r="O41" s="1205" t="s">
        <v>2228</v>
      </c>
      <c r="P41" s="1205" t="s">
        <v>2215</v>
      </c>
      <c r="Q41" s="1205" t="s">
        <v>2228</v>
      </c>
      <c r="R41" s="1205" t="s">
        <v>2215</v>
      </c>
      <c r="S41" s="1205"/>
      <c r="T41" s="1189" t="s">
        <v>2229</v>
      </c>
      <c r="U41" s="1189" t="s">
        <v>2229</v>
      </c>
      <c r="V41" s="1189" t="s">
        <v>2229</v>
      </c>
      <c r="W41" s="1189" t="s">
        <v>2229</v>
      </c>
      <c r="X41" s="1189"/>
      <c r="Y41" s="1193"/>
      <c r="Z41" s="1174" t="s">
        <v>2230</v>
      </c>
      <c r="AA41" s="1174" t="s">
        <v>2230</v>
      </c>
      <c r="AB41" s="1174" t="s">
        <v>2230</v>
      </c>
      <c r="AC41" s="1174" t="s">
        <v>2230</v>
      </c>
      <c r="AD41" s="1174"/>
    </row>
    <row r="42" customFormat="false" ht="27" hidden="false" customHeight="true" outlineLevel="0" collapsed="false">
      <c r="A42" s="1191"/>
      <c r="B42" s="1194" t="n">
        <v>25</v>
      </c>
      <c r="C42" s="1189" t="s">
        <v>2231</v>
      </c>
      <c r="D42" s="1202"/>
      <c r="E42" s="1189"/>
      <c r="F42" s="1189"/>
      <c r="G42" s="1189"/>
      <c r="H42" s="1207"/>
      <c r="I42" s="1204" t="str">
        <f aca="false">INDEX(TEMPLATE_NUMBER_POINT_FHD,B42,MATCH(TEMPLATE_SPHERE,TEMPLATE_SPHERE_LIST_FOR_NOTE,0))</f>
        <v>2.10.2</v>
      </c>
      <c r="J42" s="1204" t="str">
        <f aca="false">INDEX(TEMPLATE_DATA_POINT_FHD,B42,MATCH(TEMPLATE_SPHERE,TEMPLATE_SPHERE_LIST_FOR_NOTE,0))</f>
        <v>Расходы на капитальный ремонт</v>
      </c>
      <c r="K42" s="1204" t="str">
        <f aca="false">INDEX(TEMPLATE_NOTE_POINT_FHD,B42,MATCH(TEMPLATE_SPHERE,TEMPLATE_SPHERE_LIST_FOR_NOTE,0))</f>
        <v>Указываются расходы на капитальный ремонт, отнесенные к общепроизводственным расходам.</v>
      </c>
      <c r="L42" s="1192" t="str">
        <f aca="false">IF(I42=0,"",I42)</f>
        <v>2.10.2</v>
      </c>
      <c r="M42" s="1192" t="str">
        <f aca="false">IF(J42=0,"",J42)</f>
        <v>Расходы на капитальный ремонт</v>
      </c>
      <c r="N42" s="1192" t="str">
        <f aca="false">IF(K42=0,"",K42)</f>
        <v>Указываются расходы на капитальный ремонт, отнесенные к общепроизводственным расходам.</v>
      </c>
      <c r="O42" s="1205" t="s">
        <v>2232</v>
      </c>
      <c r="P42" s="1205" t="s">
        <v>2218</v>
      </c>
      <c r="Q42" s="1205" t="s">
        <v>2232</v>
      </c>
      <c r="R42" s="1205" t="s">
        <v>2218</v>
      </c>
      <c r="S42" s="1205"/>
      <c r="T42" s="1189" t="s">
        <v>2233</v>
      </c>
      <c r="U42" s="1189" t="s">
        <v>2233</v>
      </c>
      <c r="V42" s="1189" t="s">
        <v>2233</v>
      </c>
      <c r="W42" s="1189" t="s">
        <v>2233</v>
      </c>
      <c r="X42" s="1189"/>
      <c r="Y42" s="1193"/>
      <c r="Z42" s="1174" t="s">
        <v>2234</v>
      </c>
      <c r="AA42" s="1174" t="s">
        <v>2234</v>
      </c>
      <c r="AB42" s="1174" t="s">
        <v>2234</v>
      </c>
      <c r="AC42" s="1174" t="s">
        <v>2234</v>
      </c>
      <c r="AD42" s="1174"/>
    </row>
    <row r="43" customFormat="false" ht="18" hidden="false" customHeight="true" outlineLevel="0" collapsed="false">
      <c r="A43" s="1191"/>
      <c r="B43" s="1194" t="n">
        <v>26</v>
      </c>
      <c r="C43" s="1189" t="n">
        <v>14</v>
      </c>
      <c r="D43" s="1202"/>
      <c r="E43" s="1189"/>
      <c r="F43" s="1189"/>
      <c r="G43" s="1189"/>
      <c r="H43" s="1207"/>
      <c r="I43" s="1204" t="str">
        <f aca="false">INDEX(TEMPLATE_NUMBER_POINT_FHD,B43,MATCH(TEMPLATE_SPHERE,TEMPLATE_SPHERE_LIST_FOR_NOTE,0))</f>
        <v>2.11</v>
      </c>
      <c r="J43" s="1204" t="str">
        <f aca="false">INDEX(TEMPLATE_DATA_POINT_FHD,B43,MATCH(TEMPLATE_SPHERE,TEMPLATE_SPHERE_LIST_FOR_NOTE,0))</f>
        <v>Общехозяйственные расходы, в том числе:</v>
      </c>
      <c r="K43" s="1204" t="str">
        <f aca="false">INDEX(TEMPLATE_NOTE_POINT_FHD,B43,MATCH(TEMPLATE_SPHERE,TEMPLATE_SPHERE_LIST_FOR_NOTE,0))</f>
        <v>Указывается общая сумма общехозяйственных расходов.</v>
      </c>
      <c r="L43" s="1192" t="str">
        <f aca="false">IF(I43=0,"",I43)</f>
        <v>2.11</v>
      </c>
      <c r="M43" s="1192" t="str">
        <f aca="false">IF(J43=0,"",J43)</f>
        <v>Общехозяйственные расходы, в том числе:</v>
      </c>
      <c r="N43" s="1192" t="str">
        <f aca="false">IF(K43=0,"",K43)</f>
        <v>Указывается общая сумма общехозяйственных расходов.</v>
      </c>
      <c r="O43" s="1205" t="s">
        <v>2235</v>
      </c>
      <c r="P43" s="1205" t="s">
        <v>776</v>
      </c>
      <c r="Q43" s="1205" t="s">
        <v>2235</v>
      </c>
      <c r="R43" s="1205" t="s">
        <v>776</v>
      </c>
      <c r="S43" s="1205"/>
      <c r="T43" s="1189" t="s">
        <v>2236</v>
      </c>
      <c r="U43" s="1189" t="s">
        <v>2236</v>
      </c>
      <c r="V43" s="1189" t="s">
        <v>2236</v>
      </c>
      <c r="W43" s="1189" t="s">
        <v>2236</v>
      </c>
      <c r="X43" s="1189"/>
      <c r="Y43" s="1193"/>
      <c r="Z43" s="1174" t="s">
        <v>2237</v>
      </c>
      <c r="AA43" s="1174" t="s">
        <v>2237</v>
      </c>
      <c r="AB43" s="1174" t="s">
        <v>2237</v>
      </c>
      <c r="AC43" s="1174" t="s">
        <v>2237</v>
      </c>
      <c r="AD43" s="1174"/>
    </row>
    <row r="44" customFormat="false" ht="27" hidden="false" customHeight="true" outlineLevel="0" collapsed="false">
      <c r="A44" s="1191"/>
      <c r="B44" s="1194" t="n">
        <v>27</v>
      </c>
      <c r="C44" s="1189" t="s">
        <v>2238</v>
      </c>
      <c r="D44" s="1202"/>
      <c r="E44" s="1189"/>
      <c r="F44" s="1189"/>
      <c r="G44" s="1189"/>
      <c r="H44" s="1207"/>
      <c r="I44" s="1204" t="str">
        <f aca="false">INDEX(TEMPLATE_NUMBER_POINT_FHD,B44,MATCH(TEMPLATE_SPHERE,TEMPLATE_SPHERE_LIST_FOR_NOTE,0))</f>
        <v>2.11.1</v>
      </c>
      <c r="J44" s="1204" t="str">
        <f aca="false">INDEX(TEMPLATE_DATA_POINT_FHD,B44,MATCH(TEMPLATE_SPHERE,TEMPLATE_SPHERE_LIST_FOR_NOTE,0))</f>
        <v>Расходы на текущий ремонт</v>
      </c>
      <c r="K44" s="1204" t="str">
        <f aca="false">INDEX(TEMPLATE_NOTE_POINT_FHD,B44,MATCH(TEMPLATE_SPHERE,TEMPLATE_SPHERE_LIST_FOR_NOTE,0))</f>
        <v>Указываются расходы на текущий ремонт, отнесенные к общехозяйственным расходам.</v>
      </c>
      <c r="L44" s="1192" t="str">
        <f aca="false">IF(I44=0,"",I44)</f>
        <v>2.11.1</v>
      </c>
      <c r="M44" s="1192" t="str">
        <f aca="false">IF(J44=0,"",J44)</f>
        <v>Расходы на текущий ремонт</v>
      </c>
      <c r="N44" s="1192" t="str">
        <f aca="false">IF(K44=0,"",K44)</f>
        <v>Указываются расходы на текущий ремонт, отнесенные к общехозяйственным расходам.</v>
      </c>
      <c r="O44" s="1205" t="s">
        <v>2239</v>
      </c>
      <c r="P44" s="1205" t="s">
        <v>2240</v>
      </c>
      <c r="Q44" s="1205" t="s">
        <v>2239</v>
      </c>
      <c r="R44" s="1205" t="s">
        <v>2240</v>
      </c>
      <c r="S44" s="1205"/>
      <c r="T44" s="1189" t="s">
        <v>2229</v>
      </c>
      <c r="U44" s="1189" t="s">
        <v>2229</v>
      </c>
      <c r="V44" s="1189" t="s">
        <v>2229</v>
      </c>
      <c r="W44" s="1189" t="s">
        <v>2229</v>
      </c>
      <c r="X44" s="1189"/>
      <c r="Y44" s="1193"/>
      <c r="Z44" s="1174" t="s">
        <v>2241</v>
      </c>
      <c r="AA44" s="1174" t="s">
        <v>2241</v>
      </c>
      <c r="AB44" s="1174" t="s">
        <v>2241</v>
      </c>
      <c r="AC44" s="1174" t="s">
        <v>2241</v>
      </c>
      <c r="AD44" s="1174"/>
    </row>
    <row r="45" customFormat="false" ht="27" hidden="false" customHeight="true" outlineLevel="0" collapsed="false">
      <c r="A45" s="1191"/>
      <c r="B45" s="1194" t="n">
        <v>28</v>
      </c>
      <c r="C45" s="1189" t="s">
        <v>2242</v>
      </c>
      <c r="D45" s="1202"/>
      <c r="E45" s="1189"/>
      <c r="F45" s="1189"/>
      <c r="G45" s="1189"/>
      <c r="H45" s="1207"/>
      <c r="I45" s="1204" t="str">
        <f aca="false">INDEX(TEMPLATE_NUMBER_POINT_FHD,B45,MATCH(TEMPLATE_SPHERE,TEMPLATE_SPHERE_LIST_FOR_NOTE,0))</f>
        <v>2.11.2</v>
      </c>
      <c r="J45" s="1204" t="str">
        <f aca="false">INDEX(TEMPLATE_DATA_POINT_FHD,B45,MATCH(TEMPLATE_SPHERE,TEMPLATE_SPHERE_LIST_FOR_NOTE,0))</f>
        <v>Расходы на капитальный ремонт</v>
      </c>
      <c r="K45" s="1204" t="str">
        <f aca="false">INDEX(TEMPLATE_NOTE_POINT_FHD,B45,MATCH(TEMPLATE_SPHERE,TEMPLATE_SPHERE_LIST_FOR_NOTE,0))</f>
        <v>Указываются расходы на капитальный ремонт, отнесенные к общехозяйственным расходам.</v>
      </c>
      <c r="L45" s="1192" t="str">
        <f aca="false">IF(I45=0,"",I45)</f>
        <v>2.11.2</v>
      </c>
      <c r="M45" s="1192" t="str">
        <f aca="false">IF(J45=0,"",J45)</f>
        <v>Расходы на капитальный ремонт</v>
      </c>
      <c r="N45" s="1192" t="str">
        <f aca="false">IF(K45=0,"",K45)</f>
        <v>Указываются расходы на капитальный ремонт, отнесенные к общехозяйственным расходам.</v>
      </c>
      <c r="O45" s="1205" t="s">
        <v>2243</v>
      </c>
      <c r="P45" s="1205" t="s">
        <v>2244</v>
      </c>
      <c r="Q45" s="1205" t="s">
        <v>2243</v>
      </c>
      <c r="R45" s="1205" t="s">
        <v>2244</v>
      </c>
      <c r="S45" s="1205"/>
      <c r="T45" s="1189" t="s">
        <v>2233</v>
      </c>
      <c r="U45" s="1189" t="s">
        <v>2233</v>
      </c>
      <c r="V45" s="1189" t="s">
        <v>2233</v>
      </c>
      <c r="W45" s="1189" t="s">
        <v>2233</v>
      </c>
      <c r="X45" s="1189"/>
      <c r="Y45" s="1193"/>
      <c r="Z45" s="1174" t="s">
        <v>2245</v>
      </c>
      <c r="AA45" s="1174" t="s">
        <v>2245</v>
      </c>
      <c r="AB45" s="1174" t="s">
        <v>2245</v>
      </c>
      <c r="AC45" s="1174" t="s">
        <v>2245</v>
      </c>
      <c r="AD45" s="1174"/>
    </row>
    <row r="46" customFormat="false" ht="54" hidden="false" customHeight="true" outlineLevel="0" collapsed="false">
      <c r="A46" s="1191"/>
      <c r="B46" s="1194" t="n">
        <v>29</v>
      </c>
      <c r="C46" s="1189" t="n">
        <v>15</v>
      </c>
      <c r="D46" s="1202"/>
      <c r="E46" s="1189"/>
      <c r="F46" s="1189"/>
      <c r="G46" s="1189"/>
      <c r="H46" s="1207"/>
      <c r="I46" s="1204" t="str">
        <f aca="false">INDEX(TEMPLATE_NUMBER_POINT_FHD,B46,MATCH(TEMPLATE_SPHERE,TEMPLATE_SPHERE_LIST_FOR_NOTE,0))</f>
        <v>2.12</v>
      </c>
      <c r="J46" s="1204" t="str">
        <f aca="false">INDEX(TEMPLATE_DATA_POINT_FHD,B46,MATCH(TEMPLATE_SPHERE,TEMPLATE_SPHERE_LIST_FOR_NOTE,0))</f>
        <v>Расходы на капитальный и текущий ремонт основных средств</v>
      </c>
      <c r="K46" s="1204" t="str">
        <f aca="false">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92" t="str">
        <f aca="false">IF(I46=0,"",I46)</f>
        <v>2.12</v>
      </c>
      <c r="M46" s="1192" t="str">
        <f aca="false">IF(J46=0,"",J46)</f>
        <v>Расходы на капитальный и текущий ремонт основных средств</v>
      </c>
      <c r="N46" s="1192" t="str">
        <f aca="false">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05" t="s">
        <v>2246</v>
      </c>
      <c r="P46" s="1205" t="s">
        <v>2224</v>
      </c>
      <c r="Q46" s="1205" t="s">
        <v>2246</v>
      </c>
      <c r="R46" s="1205" t="s">
        <v>2224</v>
      </c>
      <c r="S46" s="1205"/>
      <c r="T46" s="1192" t="str">
        <f aca="false">"Расходы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189" t="s">
        <v>2247</v>
      </c>
      <c r="V46" s="1189" t="s">
        <v>2247</v>
      </c>
      <c r="W46" s="1189" t="s">
        <v>2247</v>
      </c>
      <c r="X46" s="1189"/>
      <c r="Y46" s="1193"/>
      <c r="Z46" s="1174" t="s">
        <v>2248</v>
      </c>
      <c r="AA46" s="1174" t="s">
        <v>2249</v>
      </c>
      <c r="AB46" s="1174" t="s">
        <v>2249</v>
      </c>
      <c r="AC46" s="1174" t="s">
        <v>2249</v>
      </c>
      <c r="AD46" s="1174"/>
    </row>
    <row r="47" customFormat="false" ht="54" hidden="false" customHeight="true" outlineLevel="0" collapsed="false">
      <c r="A47" s="1191"/>
      <c r="B47" s="1194" t="n">
        <v>30</v>
      </c>
      <c r="C47" s="1189" t="s">
        <v>2250</v>
      </c>
      <c r="D47" s="1202"/>
      <c r="E47" s="1189"/>
      <c r="F47" s="1189"/>
      <c r="G47" s="1189"/>
      <c r="H47" s="1207"/>
      <c r="I47" s="1204" t="str">
        <f aca="false">INDEX(TEMPLATE_NUMBER_POINT_FHD,B47,MATCH(TEMPLATE_SPHERE,TEMPLATE_SPHERE_LIST_FOR_NOTE,0))</f>
        <v>2.12.1</v>
      </c>
      <c r="J47" s="1204" t="str">
        <f aca="false">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04" t="n">
        <f aca="false">INDEX(TEMPLATE_NOTE_POINT_FHD,B47,MATCH(TEMPLATE_SPHERE,TEMPLATE_SPHERE_LIST_FOR_NOTE,0))</f>
        <v>0</v>
      </c>
      <c r="L47" s="1192" t="str">
        <f aca="false">IF(I47=0,"",I47)</f>
        <v>2.12.1</v>
      </c>
      <c r="M47" s="1192" t="str">
        <f aca="false">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92" t="str">
        <f aca="false">IF(K47=0,"",K47)</f>
        <v/>
      </c>
      <c r="O47" s="1205" t="s">
        <v>2251</v>
      </c>
      <c r="P47" s="1205" t="s">
        <v>2228</v>
      </c>
      <c r="Q47" s="1205" t="s">
        <v>2251</v>
      </c>
      <c r="R47" s="1205" t="s">
        <v>2228</v>
      </c>
      <c r="S47" s="1205"/>
      <c r="T47" s="1189" t="s">
        <v>2252</v>
      </c>
      <c r="U47" s="1189" t="s">
        <v>2252</v>
      </c>
      <c r="V47" s="1189" t="s">
        <v>2252</v>
      </c>
      <c r="W47" s="1189" t="s">
        <v>2252</v>
      </c>
      <c r="X47" s="1189"/>
      <c r="Y47" s="1193"/>
      <c r="Z47" s="1174"/>
      <c r="AA47" s="1181"/>
      <c r="AB47" s="1181"/>
      <c r="AC47" s="1181"/>
      <c r="AD47" s="1174"/>
    </row>
    <row r="48" customFormat="false" ht="54" hidden="false" customHeight="true" outlineLevel="0" collapsed="false">
      <c r="A48" s="1191"/>
      <c r="B48" s="1194" t="n">
        <v>31</v>
      </c>
      <c r="C48" s="1189" t="n">
        <v>16</v>
      </c>
      <c r="D48" s="1202"/>
      <c r="E48" s="1189"/>
      <c r="F48" s="1189"/>
      <c r="G48" s="1189"/>
      <c r="H48" s="1207"/>
      <c r="I48" s="1204" t="n">
        <f aca="false">INDEX(TEMPLATE_NUMBER_POINT_FHD,B48,MATCH(TEMPLATE_SPHERE,TEMPLATE_SPHERE_LIST_FOR_NOTE,0))</f>
        <v>0</v>
      </c>
      <c r="J48" s="1204" t="n">
        <f aca="false">INDEX(TEMPLATE_DATA_POINT_FHD,B48,MATCH(TEMPLATE_SPHERE,TEMPLATE_SPHERE_LIST_FOR_NOTE,0))</f>
        <v>0</v>
      </c>
      <c r="K48" s="1204" t="n">
        <f aca="false">INDEX(TEMPLATE_NOTE_POINT_FHD,B48,MATCH(TEMPLATE_SPHERE,TEMPLATE_SPHERE_LIST_FOR_NOTE,0))</f>
        <v>0</v>
      </c>
      <c r="L48" s="1192" t="str">
        <f aca="false">IF(I48=0,"",I48)</f>
        <v/>
      </c>
      <c r="M48" s="1192" t="str">
        <f aca="false">IF(J48=0,"",J48)</f>
        <v/>
      </c>
      <c r="N48" s="1192" t="str">
        <f aca="false">IF(K48=0,"",K48)</f>
        <v/>
      </c>
      <c r="O48" s="1205"/>
      <c r="P48" s="1205" t="s">
        <v>2235</v>
      </c>
      <c r="Q48" s="1205" t="s">
        <v>2253</v>
      </c>
      <c r="R48" s="1205" t="s">
        <v>2235</v>
      </c>
      <c r="S48" s="1205"/>
      <c r="T48" s="1189"/>
      <c r="U48" s="1189" t="s">
        <v>2254</v>
      </c>
      <c r="V48" s="1189" t="s">
        <v>2255</v>
      </c>
      <c r="W48" s="1189" t="s">
        <v>2255</v>
      </c>
      <c r="X48" s="1189"/>
      <c r="Y48" s="1193"/>
      <c r="Z48" s="1174"/>
      <c r="AA48" s="1181" t="s">
        <v>2249</v>
      </c>
      <c r="AB48" s="1181" t="s">
        <v>2249</v>
      </c>
      <c r="AC48" s="1181" t="s">
        <v>2249</v>
      </c>
      <c r="AD48" s="1174"/>
    </row>
    <row r="49" customFormat="false" ht="54" hidden="false" customHeight="true" outlineLevel="0" collapsed="false">
      <c r="A49" s="1191"/>
      <c r="B49" s="1194" t="n">
        <v>32</v>
      </c>
      <c r="C49" s="1189" t="s">
        <v>2256</v>
      </c>
      <c r="D49" s="1202"/>
      <c r="E49" s="1189"/>
      <c r="F49" s="1189"/>
      <c r="G49" s="1189"/>
      <c r="H49" s="1207"/>
      <c r="I49" s="1204" t="n">
        <f aca="false">INDEX(TEMPLATE_NUMBER_POINT_FHD,B49,MATCH(TEMPLATE_SPHERE,TEMPLATE_SPHERE_LIST_FOR_NOTE,0))</f>
        <v>0</v>
      </c>
      <c r="J49" s="1204" t="n">
        <f aca="false">INDEX(TEMPLATE_DATA_POINT_FHD,B49,MATCH(TEMPLATE_SPHERE,TEMPLATE_SPHERE_LIST_FOR_NOTE,0))</f>
        <v>0</v>
      </c>
      <c r="K49" s="1204" t="n">
        <f aca="false">INDEX(TEMPLATE_NOTE_POINT_FHD,B49,MATCH(TEMPLATE_SPHERE,TEMPLATE_SPHERE_LIST_FOR_NOTE,0))</f>
        <v>0</v>
      </c>
      <c r="L49" s="1192" t="str">
        <f aca="false">IF(I49=0,"",I49)</f>
        <v/>
      </c>
      <c r="M49" s="1192" t="str">
        <f aca="false">IF(J49=0,"",J49)</f>
        <v/>
      </c>
      <c r="N49" s="1192" t="str">
        <f aca="false">IF(K49=0,"",K49)</f>
        <v/>
      </c>
      <c r="O49" s="1205"/>
      <c r="P49" s="1205" t="s">
        <v>2239</v>
      </c>
      <c r="Q49" s="1205" t="s">
        <v>2257</v>
      </c>
      <c r="R49" s="1205" t="s">
        <v>2239</v>
      </c>
      <c r="S49" s="1205"/>
      <c r="T49" s="1189"/>
      <c r="U49" s="1189" t="s">
        <v>2252</v>
      </c>
      <c r="V49" s="1189" t="s">
        <v>2252</v>
      </c>
      <c r="W49" s="1189" t="s">
        <v>2252</v>
      </c>
      <c r="X49" s="1189"/>
      <c r="Y49" s="1193"/>
      <c r="Z49" s="1174"/>
      <c r="AA49" s="1181"/>
      <c r="AB49" s="1181"/>
      <c r="AC49" s="1181"/>
      <c r="AD49" s="1174"/>
    </row>
    <row r="50" customFormat="false" ht="126" hidden="false" customHeight="true" outlineLevel="0" collapsed="false">
      <c r="A50" s="1191"/>
      <c r="B50" s="1194" t="n">
        <v>33</v>
      </c>
      <c r="C50" s="1189" t="n">
        <v>17</v>
      </c>
      <c r="D50" s="1202"/>
      <c r="E50" s="1189"/>
      <c r="F50" s="1189"/>
      <c r="G50" s="1189"/>
      <c r="H50" s="1207"/>
      <c r="I50" s="1204" t="str">
        <f aca="false">INDEX(TEMPLATE_NUMBER_POINT_FHD,B50,MATCH(TEMPLATE_SPHERE,TEMPLATE_SPHERE_LIST_FOR_NOTE,0))</f>
        <v>2.13</v>
      </c>
      <c r="J50" s="1204" t="str">
        <f aca="false">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04" t="str">
        <f aca="false">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92" t="str">
        <f aca="false">IF(I50=0,"",I50)</f>
        <v>2.13</v>
      </c>
      <c r="M50" s="1192" t="str">
        <f aca="false">IF(J50=0,"",J50)</f>
        <v>Прочие расходы, которые подлежат отнесению на регулируемые виды деятельности в соответствии с законодательством Российской Федерации</v>
      </c>
      <c r="N50" s="1192" t="str">
        <f aca="false">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05" t="s">
        <v>2253</v>
      </c>
      <c r="P50" s="1205" t="s">
        <v>2246</v>
      </c>
      <c r="Q50" s="1205" t="s">
        <v>2258</v>
      </c>
      <c r="R50" s="1205" t="s">
        <v>2246</v>
      </c>
      <c r="S50" s="1205"/>
      <c r="T50" s="1189" t="s">
        <v>2259</v>
      </c>
      <c r="U50" s="1189" t="s">
        <v>2260</v>
      </c>
      <c r="V50" s="1189" t="s">
        <v>2261</v>
      </c>
      <c r="W50" s="1189" t="s">
        <v>2262</v>
      </c>
      <c r="X50" s="1189"/>
      <c r="Y50" s="1193"/>
      <c r="Z50" s="1174" t="s">
        <v>2263</v>
      </c>
      <c r="AA50" s="1181" t="s">
        <v>2264</v>
      </c>
      <c r="AB50" s="1181" t="s">
        <v>2264</v>
      </c>
      <c r="AC50" s="1181" t="s">
        <v>2264</v>
      </c>
      <c r="AD50" s="1174"/>
    </row>
    <row r="51" customFormat="false" ht="27" hidden="false" customHeight="true" outlineLevel="0" collapsed="false">
      <c r="A51" s="1191"/>
      <c r="B51" s="1194" t="n">
        <v>34</v>
      </c>
      <c r="C51" s="1189" t="s">
        <v>2265</v>
      </c>
      <c r="D51" s="1202"/>
      <c r="E51" s="1189"/>
      <c r="F51" s="1189"/>
      <c r="G51" s="1189"/>
      <c r="H51" s="1207"/>
      <c r="I51" s="1204" t="str">
        <f aca="false">INDEX(TEMPLATE_NUMBER_POINT_FHD,B51,MATCH(TEMPLATE_SPHERE,TEMPLATE_SPHERE_LIST_FOR_NOTE,0))</f>
        <v>3</v>
      </c>
      <c r="J51" s="1204" t="str">
        <f aca="false">INDEX(TEMPLATE_DATA_POINT_FHD,B51,MATCH(TEMPLATE_SPHERE,TEMPLATE_SPHERE_LIST_FOR_NOTE,0))</f>
        <v>Валовая прибыль (убытки) от реализации товаров и оказания услуг по регулируемому виду деятельности</v>
      </c>
      <c r="K51" s="1204" t="n">
        <f aca="false">INDEX(TEMPLATE_NOTE_POINT_FHD,B51,MATCH(TEMPLATE_SPHERE,TEMPLATE_SPHERE_LIST_FOR_NOTE,0))</f>
        <v>0</v>
      </c>
      <c r="L51" s="1192" t="str">
        <f aca="false">IF(I51=0,"",I51)</f>
        <v>3</v>
      </c>
      <c r="M51" s="1192" t="str">
        <f aca="false">IF(J51=0,"",J51)</f>
        <v>Валовая прибыль (убытки) от реализации товаров и оказания услуг по регулируемому виду деятельности</v>
      </c>
      <c r="N51" s="1192" t="str">
        <f aca="false">IF(K51=0,"",K51)</f>
        <v/>
      </c>
      <c r="O51" s="1205" t="s">
        <v>89</v>
      </c>
      <c r="P51" s="1205"/>
      <c r="Q51" s="1205"/>
      <c r="R51" s="1205"/>
      <c r="S51" s="1205"/>
      <c r="T51" s="1189" t="s">
        <v>2266</v>
      </c>
      <c r="U51" s="1189"/>
      <c r="V51" s="1189"/>
      <c r="W51" s="1189"/>
      <c r="X51" s="1189"/>
      <c r="Y51" s="1193"/>
      <c r="Z51" s="1174"/>
      <c r="AA51" s="1181"/>
      <c r="AB51" s="1181"/>
      <c r="AC51" s="1181"/>
      <c r="AD51" s="1174"/>
    </row>
    <row r="52" customFormat="false" ht="36" hidden="false" customHeight="true" outlineLevel="0" collapsed="false">
      <c r="A52" s="1191"/>
      <c r="B52" s="1194" t="n">
        <v>35</v>
      </c>
      <c r="C52" s="1189" t="s">
        <v>2159</v>
      </c>
      <c r="D52" s="1202" t="s">
        <v>2159</v>
      </c>
      <c r="E52" s="1189" t="s">
        <v>2159</v>
      </c>
      <c r="F52" s="1189" t="s">
        <v>2159</v>
      </c>
      <c r="G52" s="1189"/>
      <c r="H52" s="1207"/>
      <c r="I52" s="1204" t="str">
        <f aca="false">INDEX(TEMPLATE_NUMBER_POINT_FHD,B52,MATCH(TEMPLATE_SPHERE,TEMPLATE_SPHERE_LIST_FOR_NOTE,0))</f>
        <v>4</v>
      </c>
      <c r="J52" s="1204" t="str">
        <f aca="false">INDEX(TEMPLATE_DATA_POINT_FHD,B52,MATCH(TEMPLATE_SPHERE,TEMPLATE_SPHERE_LIST_FOR_NOTE,0))</f>
        <v>Чистая прибыль, полученная от регулируемого вида деятельности, в том числе:</v>
      </c>
      <c r="K52" s="1204" t="str">
        <f aca="false">INDEX(TEMPLATE_NOTE_POINT_FHD,B52,MATCH(TEMPLATE_SPHERE,TEMPLATE_SPHERE_LIST_FOR_NOTE,0))</f>
        <v>Указывается общая сумма чистой прибыли, полученной от регулируемого вида деятельности.</v>
      </c>
      <c r="L52" s="1192" t="str">
        <f aca="false">IF(I52=0,"",I52)</f>
        <v>4</v>
      </c>
      <c r="M52" s="1192" t="str">
        <f aca="false">IF(J52=0,"",J52)</f>
        <v>Чистая прибыль, полученная от регулируемого вида деятельности, в том числе:</v>
      </c>
      <c r="N52" s="1192" t="str">
        <f aca="false">IF(K52=0,"",K52)</f>
        <v>Указывается общая сумма чистой прибыли, полученной от регулируемого вида деятельности.</v>
      </c>
      <c r="O52" s="1205" t="s">
        <v>90</v>
      </c>
      <c r="P52" s="1205" t="s">
        <v>89</v>
      </c>
      <c r="Q52" s="1205" t="s">
        <v>89</v>
      </c>
      <c r="R52" s="1205" t="s">
        <v>89</v>
      </c>
      <c r="S52" s="1205"/>
      <c r="T52" s="1189" t="s">
        <v>2267</v>
      </c>
      <c r="U52" s="1189" t="s">
        <v>2268</v>
      </c>
      <c r="V52" s="1189" t="s">
        <v>2269</v>
      </c>
      <c r="W52" s="1189" t="s">
        <v>2270</v>
      </c>
      <c r="X52" s="1189"/>
      <c r="Y52" s="1193"/>
      <c r="Z52" s="1174" t="s">
        <v>780</v>
      </c>
      <c r="AA52" s="1181" t="s">
        <v>780</v>
      </c>
      <c r="AB52" s="1181" t="s">
        <v>780</v>
      </c>
      <c r="AC52" s="1181" t="s">
        <v>780</v>
      </c>
      <c r="AD52" s="1174"/>
    </row>
    <row r="53" customFormat="false" ht="36" hidden="false" customHeight="true" outlineLevel="0" collapsed="false">
      <c r="A53" s="1191"/>
      <c r="B53" s="1194" t="n">
        <v>36</v>
      </c>
      <c r="C53" s="1189" t="n">
        <v>1</v>
      </c>
      <c r="D53" s="1202"/>
      <c r="E53" s="1189"/>
      <c r="F53" s="1189"/>
      <c r="G53" s="1189"/>
      <c r="H53" s="1207"/>
      <c r="I53" s="1204" t="str">
        <f aca="false">INDEX(TEMPLATE_NUMBER_POINT_FHD,B53,MATCH(TEMPLATE_SPHERE,TEMPLATE_SPHERE_LIST_FOR_NOTE,0))</f>
        <v>4.1</v>
      </c>
      <c r="J53" s="1204" t="str">
        <f aca="false">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04" t="n">
        <f aca="false">INDEX(TEMPLATE_NOTE_POINT_FHD,B53,MATCH(TEMPLATE_SPHERE,TEMPLATE_SPHERE_LIST_FOR_NOTE,0))</f>
        <v>0</v>
      </c>
      <c r="L53" s="1192" t="str">
        <f aca="false">IF(I53=0,"",I53)</f>
        <v>4.1</v>
      </c>
      <c r="M53" s="1192" t="str">
        <f aca="false">IF(J53=0,"",J53)</f>
        <v>Размер расходования чистой прибыли на финансирование мероприятий, предусмотренных инвестиционной программой регулируемой организации</v>
      </c>
      <c r="N53" s="1192" t="str">
        <f aca="false">IF(K53=0,"",K53)</f>
        <v/>
      </c>
      <c r="O53" s="1205" t="s">
        <v>784</v>
      </c>
      <c r="P53" s="1205" t="s">
        <v>337</v>
      </c>
      <c r="Q53" s="1205" t="s">
        <v>337</v>
      </c>
      <c r="R53" s="1205" t="s">
        <v>337</v>
      </c>
      <c r="S53" s="1205"/>
      <c r="T53" s="1189" t="s">
        <v>2271</v>
      </c>
      <c r="U53" s="1189" t="s">
        <v>2271</v>
      </c>
      <c r="V53" s="1189" t="s">
        <v>2271</v>
      </c>
      <c r="W53" s="1189" t="s">
        <v>2271</v>
      </c>
      <c r="X53" s="1189"/>
      <c r="Y53" s="1193"/>
      <c r="Z53" s="1174"/>
      <c r="AA53" s="1181"/>
      <c r="AB53" s="1174"/>
      <c r="AC53" s="1174"/>
      <c r="AD53" s="1174"/>
    </row>
    <row r="54" customFormat="false" ht="18" hidden="false" customHeight="true" outlineLevel="0" collapsed="false">
      <c r="A54" s="1191"/>
      <c r="B54" s="1194" t="n">
        <v>37</v>
      </c>
      <c r="C54" s="1189" t="s">
        <v>2165</v>
      </c>
      <c r="D54" s="1202" t="s">
        <v>2165</v>
      </c>
      <c r="E54" s="1189" t="s">
        <v>2165</v>
      </c>
      <c r="F54" s="1189" t="s">
        <v>2165</v>
      </c>
      <c r="G54" s="1189"/>
      <c r="H54" s="1207"/>
      <c r="I54" s="1204" t="str">
        <f aca="false">INDEX(TEMPLATE_NUMBER_POINT_FHD,B54,MATCH(TEMPLATE_SPHERE,TEMPLATE_SPHERE_LIST_FOR_NOTE,0))</f>
        <v>5</v>
      </c>
      <c r="J54" s="1204" t="str">
        <f aca="false">INDEX(TEMPLATE_DATA_POINT_FHD,B54,MATCH(TEMPLATE_SPHERE,TEMPLATE_SPHERE_LIST_FOR_NOTE,0))</f>
        <v>Изменение стоимости основных фондов, в том числе:</v>
      </c>
      <c r="K54" s="1204" t="str">
        <f aca="false">INDEX(TEMPLATE_NOTE_POINT_FHD,B54,MATCH(TEMPLATE_SPHERE,TEMPLATE_SPHERE_LIST_FOR_NOTE,0))</f>
        <v>Указывается общее изменение стоимости основных фондов.</v>
      </c>
      <c r="L54" s="1192" t="str">
        <f aca="false">IF(I54=0,"",I54)</f>
        <v>5</v>
      </c>
      <c r="M54" s="1192" t="str">
        <f aca="false">IF(J54=0,"",J54)</f>
        <v>Изменение стоимости основных фондов, в том числе:</v>
      </c>
      <c r="N54" s="1192" t="str">
        <f aca="false">IF(K54=0,"",K54)</f>
        <v>Указывается общее изменение стоимости основных фондов.</v>
      </c>
      <c r="O54" s="1205" t="s">
        <v>121</v>
      </c>
      <c r="P54" s="1205" t="s">
        <v>90</v>
      </c>
      <c r="Q54" s="1205" t="s">
        <v>90</v>
      </c>
      <c r="R54" s="1205" t="s">
        <v>90</v>
      </c>
      <c r="S54" s="1205"/>
      <c r="T54" s="1189" t="s">
        <v>782</v>
      </c>
      <c r="U54" s="1189" t="s">
        <v>782</v>
      </c>
      <c r="V54" s="1189" t="s">
        <v>782</v>
      </c>
      <c r="W54" s="1189" t="s">
        <v>782</v>
      </c>
      <c r="X54" s="1189"/>
      <c r="Y54" s="1193"/>
      <c r="Z54" s="1174" t="s">
        <v>783</v>
      </c>
      <c r="AA54" s="1174" t="s">
        <v>783</v>
      </c>
      <c r="AB54" s="1174" t="s">
        <v>783</v>
      </c>
      <c r="AC54" s="1174" t="s">
        <v>783</v>
      </c>
      <c r="AD54" s="1174"/>
    </row>
    <row r="55" customFormat="false" ht="36" hidden="false" customHeight="true" outlineLevel="0" collapsed="false">
      <c r="A55" s="1191"/>
      <c r="B55" s="1194" t="n">
        <v>38</v>
      </c>
      <c r="C55" s="1189" t="n">
        <v>1</v>
      </c>
      <c r="D55" s="1202"/>
      <c r="E55" s="1189"/>
      <c r="F55" s="1189"/>
      <c r="G55" s="1189"/>
      <c r="H55" s="1207"/>
      <c r="I55" s="1204" t="str">
        <f aca="false">INDEX(TEMPLATE_NUMBER_POINT_FHD,B55,MATCH(TEMPLATE_SPHERE,TEMPLATE_SPHERE_LIST_FOR_NOTE,0))</f>
        <v>5.1</v>
      </c>
      <c r="J55" s="1204" t="str">
        <f aca="false">INDEX(TEMPLATE_DATA_POINT_FHD,B55,MATCH(TEMPLATE_SPHERE,TEMPLATE_SPHERE_LIST_FOR_NOTE,0))</f>
        <v>Изменение стоимости основных фондов за счет:</v>
      </c>
      <c r="K55" s="1204" t="str">
        <f aca="false">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92" t="str">
        <f aca="false">IF(I55=0,"",I55)</f>
        <v>5.1</v>
      </c>
      <c r="M55" s="1192" t="str">
        <f aca="false">IF(J55=0,"",J55)</f>
        <v>Изменение стоимости основных фондов за счет:</v>
      </c>
      <c r="N55" s="1192" t="str">
        <f aca="false">IF(K55=0,"",K55)</f>
        <v>Указываются общее изменение стоимости основных фондов за счет их ввода в эксплуатацию и вывода из эксплуатации.</v>
      </c>
      <c r="O55" s="1205" t="s">
        <v>326</v>
      </c>
      <c r="P55" s="1205" t="s">
        <v>784</v>
      </c>
      <c r="Q55" s="1205" t="s">
        <v>784</v>
      </c>
      <c r="R55" s="1205" t="s">
        <v>784</v>
      </c>
      <c r="S55" s="1205"/>
      <c r="T55" s="1192" t="str">
        <f aca="false">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189" t="s">
        <v>2272</v>
      </c>
      <c r="V55" s="1189" t="s">
        <v>2272</v>
      </c>
      <c r="W55" s="1189" t="s">
        <v>2272</v>
      </c>
      <c r="X55" s="1189"/>
      <c r="Y55" s="1193"/>
      <c r="Z55" s="1174" t="s">
        <v>2273</v>
      </c>
      <c r="AA55" s="1174" t="s">
        <v>2273</v>
      </c>
      <c r="AB55" s="1174" t="s">
        <v>2273</v>
      </c>
      <c r="AC55" s="1174" t="s">
        <v>2273</v>
      </c>
      <c r="AD55" s="1174"/>
    </row>
    <row r="56" customFormat="false" ht="27" hidden="false" customHeight="true" outlineLevel="0" collapsed="false">
      <c r="A56" s="1191"/>
      <c r="B56" s="1194" t="n">
        <v>39</v>
      </c>
      <c r="C56" s="1189" t="s">
        <v>1191</v>
      </c>
      <c r="D56" s="1202"/>
      <c r="E56" s="1189"/>
      <c r="F56" s="1189"/>
      <c r="G56" s="1189"/>
      <c r="H56" s="1207"/>
      <c r="I56" s="1204" t="str">
        <f aca="false">INDEX(TEMPLATE_NUMBER_POINT_FHD,B56,MATCH(TEMPLATE_SPHERE,TEMPLATE_SPHERE_LIST_FOR_NOTE,0))</f>
        <v>5.1.1</v>
      </c>
      <c r="J56" s="1204" t="str">
        <f aca="false">INDEX(TEMPLATE_DATA_POINT_FHD,B56,MATCH(TEMPLATE_SPHERE,TEMPLATE_SPHERE_LIST_FOR_NOTE,0))</f>
        <v>Изменения стоимости основных фондов за счет их ввода в эксплуатацию</v>
      </c>
      <c r="K56" s="1204" t="str">
        <f aca="false">INDEX(TEMPLATE_NOTE_POINT_FHD,B56,MATCH(TEMPLATE_SPHERE,TEMPLATE_SPHERE_LIST_FOR_NOTE,0))</f>
        <v>Указываются изменение стоимости основных фондов за счет их ввода в эксплуатацию.</v>
      </c>
      <c r="L56" s="1192" t="str">
        <f aca="false">IF(I56=0,"",I56)</f>
        <v>5.1.1</v>
      </c>
      <c r="M56" s="1192" t="str">
        <f aca="false">IF(J56=0,"",J56)</f>
        <v>Изменения стоимости основных фондов за счет их ввода в эксплуатацию</v>
      </c>
      <c r="N56" s="1192" t="str">
        <f aca="false">IF(K56=0,"",K56)</f>
        <v>Указываются изменение стоимости основных фондов за счет их ввода в эксплуатацию.</v>
      </c>
      <c r="O56" s="1205" t="s">
        <v>1310</v>
      </c>
      <c r="P56" s="1205" t="s">
        <v>787</v>
      </c>
      <c r="Q56" s="1205" t="s">
        <v>787</v>
      </c>
      <c r="R56" s="1205" t="s">
        <v>787</v>
      </c>
      <c r="S56" s="1205"/>
      <c r="T56" s="1192" t="str">
        <f aca="false">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189" t="s">
        <v>2274</v>
      </c>
      <c r="V56" s="1189" t="s">
        <v>2274</v>
      </c>
      <c r="W56" s="1189" t="s">
        <v>2274</v>
      </c>
      <c r="X56" s="1189"/>
      <c r="Y56" s="1193"/>
      <c r="Z56" s="1174" t="s">
        <v>789</v>
      </c>
      <c r="AA56" s="1174" t="s">
        <v>789</v>
      </c>
      <c r="AB56" s="1174" t="s">
        <v>789</v>
      </c>
      <c r="AC56" s="1174" t="s">
        <v>789</v>
      </c>
      <c r="AD56" s="1174"/>
    </row>
    <row r="57" customFormat="false" ht="27" hidden="false" customHeight="true" outlineLevel="0" collapsed="false">
      <c r="A57" s="1191"/>
      <c r="B57" s="1194" t="n">
        <v>40</v>
      </c>
      <c r="C57" s="1189" t="s">
        <v>1193</v>
      </c>
      <c r="D57" s="1202"/>
      <c r="E57" s="1189"/>
      <c r="F57" s="1189"/>
      <c r="G57" s="1189"/>
      <c r="H57" s="1207"/>
      <c r="I57" s="1204" t="str">
        <f aca="false">INDEX(TEMPLATE_NUMBER_POINT_FHD,B57,MATCH(TEMPLATE_SPHERE,TEMPLATE_SPHERE_LIST_FOR_NOTE,0))</f>
        <v>5.1.2</v>
      </c>
      <c r="J57" s="1204" t="str">
        <f aca="false">INDEX(TEMPLATE_DATA_POINT_FHD,B57,MATCH(TEMPLATE_SPHERE,TEMPLATE_SPHERE_LIST_FOR_NOTE,0))</f>
        <v>Изменения стоимости основных фондов за счет их вывода в эксплуатацию</v>
      </c>
      <c r="K57" s="1204" t="str">
        <f aca="false">INDEX(TEMPLATE_NOTE_POINT_FHD,B57,MATCH(TEMPLATE_SPHERE,TEMPLATE_SPHERE_LIST_FOR_NOTE,0))</f>
        <v>Указываются изменение стоимости основных фондов за счет их вывода из эксплуатации.</v>
      </c>
      <c r="L57" s="1192" t="str">
        <f aca="false">IF(I57=0,"",I57)</f>
        <v>5.1.2</v>
      </c>
      <c r="M57" s="1192" t="str">
        <f aca="false">IF(J57=0,"",J57)</f>
        <v>Изменения стоимости основных фондов за счет их вывода в эксплуатацию</v>
      </c>
      <c r="N57" s="1192" t="str">
        <f aca="false">IF(K57=0,"",K57)</f>
        <v>Указываются изменение стоимости основных фондов за счет их вывода из эксплуатации.</v>
      </c>
      <c r="O57" s="1205" t="s">
        <v>2275</v>
      </c>
      <c r="P57" s="1205" t="s">
        <v>790</v>
      </c>
      <c r="Q57" s="1205" t="s">
        <v>790</v>
      </c>
      <c r="R57" s="1205" t="s">
        <v>790</v>
      </c>
      <c r="S57" s="1205"/>
      <c r="T57" s="1192" t="str">
        <f aca="false">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189" t="s">
        <v>2276</v>
      </c>
      <c r="V57" s="1189" t="s">
        <v>2276</v>
      </c>
      <c r="W57" s="1189" t="s">
        <v>2276</v>
      </c>
      <c r="X57" s="1189"/>
      <c r="Y57" s="1193"/>
      <c r="Z57" s="1174" t="s">
        <v>792</v>
      </c>
      <c r="AA57" s="1174" t="s">
        <v>792</v>
      </c>
      <c r="AB57" s="1174" t="s">
        <v>792</v>
      </c>
      <c r="AC57" s="1174" t="s">
        <v>792</v>
      </c>
      <c r="AD57" s="1174"/>
    </row>
    <row r="58" customFormat="false" ht="18" hidden="false" customHeight="true" outlineLevel="0" collapsed="false">
      <c r="A58" s="1191"/>
      <c r="B58" s="1194" t="n">
        <v>41</v>
      </c>
      <c r="C58" s="1189" t="n">
        <v>2</v>
      </c>
      <c r="D58" s="1202"/>
      <c r="E58" s="1189"/>
      <c r="F58" s="1189"/>
      <c r="G58" s="1189"/>
      <c r="H58" s="1207"/>
      <c r="I58" s="1204" t="str">
        <f aca="false">INDEX(TEMPLATE_NUMBER_POINT_FHD,B58,MATCH(TEMPLATE_SPHERE,TEMPLATE_SPHERE_LIST_FOR_NOTE,0))</f>
        <v>5.2</v>
      </c>
      <c r="J58" s="1204" t="str">
        <f aca="false">INDEX(TEMPLATE_DATA_POINT_FHD,B58,MATCH(TEMPLATE_SPHERE,TEMPLATE_SPHERE_LIST_FOR_NOTE,0))</f>
        <v>Изменение стоимости основных фондов за счет их переоценки</v>
      </c>
      <c r="K58" s="1204" t="n">
        <f aca="false">INDEX(TEMPLATE_NOTE_POINT_FHD,B58,MATCH(TEMPLATE_SPHERE,TEMPLATE_SPHERE_LIST_FOR_NOTE,0))</f>
        <v>0</v>
      </c>
      <c r="L58" s="1192" t="str">
        <f aca="false">IF(I58=0,"",I58)</f>
        <v>5.2</v>
      </c>
      <c r="M58" s="1192" t="str">
        <f aca="false">IF(J58=0,"",J58)</f>
        <v>Изменение стоимости основных фондов за счет их переоценки</v>
      </c>
      <c r="N58" s="1192" t="str">
        <f aca="false">IF(K58=0,"",K58)</f>
        <v/>
      </c>
      <c r="O58" s="1205" t="s">
        <v>913</v>
      </c>
      <c r="P58" s="1205" t="s">
        <v>826</v>
      </c>
      <c r="Q58" s="1205" t="s">
        <v>826</v>
      </c>
      <c r="R58" s="1205" t="s">
        <v>826</v>
      </c>
      <c r="S58" s="1205"/>
      <c r="T58" s="1192" t="str">
        <f aca="false">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189" t="s">
        <v>2277</v>
      </c>
      <c r="V58" s="1189" t="s">
        <v>2277</v>
      </c>
      <c r="W58" s="1189" t="s">
        <v>2277</v>
      </c>
      <c r="X58" s="1189"/>
      <c r="Y58" s="1193"/>
      <c r="Z58" s="1174"/>
      <c r="AA58" s="1181"/>
      <c r="AB58" s="1174"/>
      <c r="AC58" s="1174"/>
      <c r="AD58" s="1174"/>
    </row>
    <row r="59" customFormat="false" ht="36" hidden="false" customHeight="true" outlineLevel="0" collapsed="false">
      <c r="A59" s="1191"/>
      <c r="B59" s="1194" t="n">
        <v>42</v>
      </c>
      <c r="C59" s="1189" t="n">
        <v>3</v>
      </c>
      <c r="D59" s="1202" t="s">
        <v>2265</v>
      </c>
      <c r="E59" s="1189" t="s">
        <v>2265</v>
      </c>
      <c r="F59" s="1189" t="s">
        <v>2265</v>
      </c>
      <c r="G59" s="1189"/>
      <c r="H59" s="1207"/>
      <c r="I59" s="1204" t="n">
        <f aca="false">INDEX(TEMPLATE_NUMBER_POINT_FHD,B59,MATCH(TEMPLATE_SPHERE,TEMPLATE_SPHERE_LIST_FOR_NOTE,0))</f>
        <v>0</v>
      </c>
      <c r="J59" s="1204" t="n">
        <f aca="false">INDEX(TEMPLATE_DATA_POINT_FHD,B59,MATCH(TEMPLATE_SPHERE,TEMPLATE_SPHERE_LIST_FOR_NOTE,0))</f>
        <v>0</v>
      </c>
      <c r="K59" s="1204" t="n">
        <f aca="false">INDEX(TEMPLATE_NOTE_POINT_FHD,B59,MATCH(TEMPLATE_SPHERE,TEMPLATE_SPHERE_LIST_FOR_NOTE,0))</f>
        <v>0</v>
      </c>
      <c r="L59" s="1192" t="str">
        <f aca="false">IF(I59=0,"",I59)</f>
        <v/>
      </c>
      <c r="M59" s="1192" t="str">
        <f aca="false">IF(J59=0,"",J59)</f>
        <v/>
      </c>
      <c r="N59" s="1192" t="str">
        <f aca="false">IF(K59=0,"",K59)</f>
        <v/>
      </c>
      <c r="O59" s="1205"/>
      <c r="P59" s="1205" t="s">
        <v>121</v>
      </c>
      <c r="Q59" s="1205" t="s">
        <v>121</v>
      </c>
      <c r="R59" s="1205" t="s">
        <v>121</v>
      </c>
      <c r="S59" s="1205"/>
      <c r="T59" s="1189"/>
      <c r="U59" s="1189" t="s">
        <v>2278</v>
      </c>
      <c r="V59" s="1189" t="s">
        <v>2279</v>
      </c>
      <c r="W59" s="1189" t="s">
        <v>2280</v>
      </c>
      <c r="X59" s="1189"/>
      <c r="Y59" s="1193"/>
      <c r="Z59" s="1174"/>
      <c r="AA59" s="1181"/>
      <c r="AB59" s="1174"/>
      <c r="AC59" s="1174"/>
      <c r="AD59" s="1174"/>
    </row>
    <row r="60" customFormat="false" ht="81" hidden="false" customHeight="true" outlineLevel="0" collapsed="false">
      <c r="A60" s="1191"/>
      <c r="B60" s="1194" t="n">
        <v>43</v>
      </c>
      <c r="C60" s="1189" t="s">
        <v>2281</v>
      </c>
      <c r="D60" s="1202" t="s">
        <v>2281</v>
      </c>
      <c r="E60" s="1189" t="s">
        <v>2281</v>
      </c>
      <c r="F60" s="1189" t="s">
        <v>2281</v>
      </c>
      <c r="G60" s="1189"/>
      <c r="H60" s="1207"/>
      <c r="I60" s="1204" t="str">
        <f aca="false">INDEX(TEMPLATE_NUMBER_POINT_FHD,B60,MATCH(TEMPLATE_SPHERE,TEMPLATE_SPHERE_LIST_FOR_NOTE,0))</f>
        <v>6</v>
      </c>
      <c r="J60" s="1204" t="str">
        <f aca="false">INDEX(TEMPLATE_DATA_POINT_FHD,B60,MATCH(TEMPLATE_SPHERE,TEMPLATE_SPHERE_LIST_FOR_NOTE,0))</f>
        <v>Годовая бухгалтерская (финансовая) отчетность, включая бухгалтерский баланс и приложения к нему</v>
      </c>
      <c r="K60" s="1204" t="str">
        <f aca="false">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92" t="str">
        <f aca="false">IF(I60=0,"",I60)</f>
        <v>6</v>
      </c>
      <c r="M60" s="1192" t="str">
        <f aca="false">IF(J60=0,"",J60)</f>
        <v>Годовая бухгалтерская (финансовая) отчетность, включая бухгалтерский баланс и приложения к нему</v>
      </c>
      <c r="N60" s="1192" t="str">
        <f aca="false">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05" t="s">
        <v>91</v>
      </c>
      <c r="P60" s="1205" t="s">
        <v>91</v>
      </c>
      <c r="Q60" s="1205" t="s">
        <v>91</v>
      </c>
      <c r="R60" s="1205" t="s">
        <v>91</v>
      </c>
      <c r="S60" s="1205"/>
      <c r="T60" s="1189" t="s">
        <v>660</v>
      </c>
      <c r="U60" s="1189" t="s">
        <v>660</v>
      </c>
      <c r="V60" s="1189" t="s">
        <v>660</v>
      </c>
      <c r="W60" s="1189" t="s">
        <v>660</v>
      </c>
      <c r="X60" s="1189"/>
      <c r="Y60" s="1193"/>
      <c r="Z60" s="1174" t="s">
        <v>2282</v>
      </c>
      <c r="AA60" s="1181" t="s">
        <v>2283</v>
      </c>
      <c r="AB60" s="1174" t="s">
        <v>2284</v>
      </c>
      <c r="AC60" s="1174" t="s">
        <v>2283</v>
      </c>
      <c r="AD60" s="1174"/>
    </row>
    <row r="61" customFormat="false" ht="9" hidden="false" customHeight="true" outlineLevel="0" collapsed="false">
      <c r="A61" s="1191"/>
      <c r="B61" s="1194" t="n">
        <v>44</v>
      </c>
      <c r="C61" s="1189"/>
      <c r="D61" s="1202" t="s">
        <v>2285</v>
      </c>
      <c r="E61" s="1189"/>
      <c r="F61" s="1189"/>
      <c r="G61" s="1189"/>
      <c r="H61" s="1207"/>
      <c r="I61" s="1204" t="n">
        <f aca="false">INDEX(TEMPLATE_NUMBER_POINT_FHD,B61,MATCH(TEMPLATE_SPHERE,TEMPLATE_SPHERE_LIST_FOR_NOTE,0))</f>
        <v>0</v>
      </c>
      <c r="J61" s="1204" t="n">
        <f aca="false">INDEX(TEMPLATE_DATA_POINT_FHD,B61,MATCH(TEMPLATE_SPHERE,TEMPLATE_SPHERE_LIST_FOR_NOTE,0))</f>
        <v>0</v>
      </c>
      <c r="K61" s="1204" t="n">
        <f aca="false">INDEX(TEMPLATE_NOTE_POINT_FHD,B61,MATCH(TEMPLATE_SPHERE,TEMPLATE_SPHERE_LIST_FOR_NOTE,0))</f>
        <v>0</v>
      </c>
      <c r="L61" s="1192" t="str">
        <f aca="false">IF(I61=0,"",I61)</f>
        <v/>
      </c>
      <c r="M61" s="1192" t="str">
        <f aca="false">IF(J61=0,"",J61)</f>
        <v/>
      </c>
      <c r="N61" s="1192" t="str">
        <f aca="false">IF(K61=0,"",K61)</f>
        <v/>
      </c>
      <c r="O61" s="1205"/>
      <c r="P61" s="1205" t="s">
        <v>92</v>
      </c>
      <c r="Q61" s="1205"/>
      <c r="R61" s="1205"/>
      <c r="S61" s="1205"/>
      <c r="T61" s="1189"/>
      <c r="U61" s="1189" t="s">
        <v>2286</v>
      </c>
      <c r="V61" s="1189"/>
      <c r="W61" s="1189"/>
      <c r="X61" s="1189"/>
      <c r="Y61" s="1193"/>
      <c r="Z61" s="1174"/>
      <c r="AA61" s="1181"/>
      <c r="AB61" s="1174"/>
      <c r="AC61" s="1174"/>
      <c r="AD61" s="1174"/>
    </row>
    <row r="62" customFormat="false" ht="9" hidden="false" customHeight="true" outlineLevel="0" collapsed="false">
      <c r="A62" s="1191"/>
      <c r="B62" s="1194" t="n">
        <v>45</v>
      </c>
      <c r="C62" s="1189"/>
      <c r="D62" s="1202" t="s">
        <v>2287</v>
      </c>
      <c r="E62" s="1189"/>
      <c r="F62" s="1189"/>
      <c r="G62" s="1189"/>
      <c r="H62" s="1207"/>
      <c r="I62" s="1204" t="n">
        <f aca="false">INDEX(TEMPLATE_NUMBER_POINT_FHD,B62,MATCH(TEMPLATE_SPHERE,TEMPLATE_SPHERE_LIST_FOR_NOTE,0))</f>
        <v>0</v>
      </c>
      <c r="J62" s="1204" t="n">
        <f aca="false">INDEX(TEMPLATE_DATA_POINT_FHD,B62,MATCH(TEMPLATE_SPHERE,TEMPLATE_SPHERE_LIST_FOR_NOTE,0))</f>
        <v>0</v>
      </c>
      <c r="K62" s="1204" t="n">
        <f aca="false">INDEX(TEMPLATE_NOTE_POINT_FHD,B62,MATCH(TEMPLATE_SPHERE,TEMPLATE_SPHERE_LIST_FOR_NOTE,0))</f>
        <v>0</v>
      </c>
      <c r="L62" s="1192" t="str">
        <f aca="false">IF(I62=0,"",I62)</f>
        <v/>
      </c>
      <c r="M62" s="1192" t="str">
        <f aca="false">IF(J62=0,"",J62)</f>
        <v/>
      </c>
      <c r="N62" s="1192" t="str">
        <f aca="false">IF(K62=0,"",K62)</f>
        <v/>
      </c>
      <c r="O62" s="1205"/>
      <c r="P62" s="1205" t="s">
        <v>122</v>
      </c>
      <c r="Q62" s="1205"/>
      <c r="R62" s="1205"/>
      <c r="S62" s="1205"/>
      <c r="T62" s="1189"/>
      <c r="U62" s="1189" t="s">
        <v>2288</v>
      </c>
      <c r="V62" s="1189"/>
      <c r="W62" s="1189"/>
      <c r="X62" s="1189"/>
      <c r="Y62" s="1193"/>
      <c r="Z62" s="1174"/>
      <c r="AA62" s="1181"/>
      <c r="AB62" s="1174"/>
      <c r="AC62" s="1174"/>
      <c r="AD62" s="1174"/>
    </row>
    <row r="63" customFormat="false" ht="18" hidden="false" customHeight="true" outlineLevel="0" collapsed="false">
      <c r="A63" s="1191"/>
      <c r="B63" s="1194" t="n">
        <v>46</v>
      </c>
      <c r="C63" s="1189"/>
      <c r="D63" s="1202" t="s">
        <v>2289</v>
      </c>
      <c r="E63" s="1189"/>
      <c r="F63" s="1189"/>
      <c r="G63" s="1189"/>
      <c r="H63" s="1207"/>
      <c r="I63" s="1204" t="n">
        <f aca="false">INDEX(TEMPLATE_NUMBER_POINT_FHD,B63,MATCH(TEMPLATE_SPHERE,TEMPLATE_SPHERE_LIST_FOR_NOTE,0))</f>
        <v>0</v>
      </c>
      <c r="J63" s="1204" t="n">
        <f aca="false">INDEX(TEMPLATE_DATA_POINT_FHD,B63,MATCH(TEMPLATE_SPHERE,TEMPLATE_SPHERE_LIST_FOR_NOTE,0))</f>
        <v>0</v>
      </c>
      <c r="K63" s="1204" t="n">
        <f aca="false">INDEX(TEMPLATE_NOTE_POINT_FHD,B63,MATCH(TEMPLATE_SPHERE,TEMPLATE_SPHERE_LIST_FOR_NOTE,0))</f>
        <v>0</v>
      </c>
      <c r="L63" s="1192" t="str">
        <f aca="false">IF(I63=0,"",I63)</f>
        <v/>
      </c>
      <c r="M63" s="1192" t="str">
        <f aca="false">IF(J63=0,"",J63)</f>
        <v/>
      </c>
      <c r="N63" s="1192" t="str">
        <f aca="false">IF(K63=0,"",K63)</f>
        <v/>
      </c>
      <c r="O63" s="1205"/>
      <c r="P63" s="1205" t="s">
        <v>163</v>
      </c>
      <c r="Q63" s="1205"/>
      <c r="R63" s="1205"/>
      <c r="S63" s="1205"/>
      <c r="T63" s="1189"/>
      <c r="U63" s="1189" t="s">
        <v>2290</v>
      </c>
      <c r="V63" s="1189"/>
      <c r="W63" s="1189"/>
      <c r="X63" s="1189"/>
      <c r="Y63" s="1193"/>
      <c r="Z63" s="1174"/>
      <c r="AA63" s="1181"/>
      <c r="AB63" s="1174"/>
      <c r="AC63" s="1174"/>
      <c r="AD63" s="1174"/>
    </row>
    <row r="64" customFormat="false" ht="18" hidden="false" customHeight="true" outlineLevel="0" collapsed="false">
      <c r="A64" s="1191"/>
      <c r="B64" s="1194" t="n">
        <v>47</v>
      </c>
      <c r="C64" s="1189"/>
      <c r="D64" s="1202" t="s">
        <v>2291</v>
      </c>
      <c r="E64" s="1189"/>
      <c r="F64" s="1189"/>
      <c r="G64" s="1189"/>
      <c r="H64" s="1207"/>
      <c r="I64" s="1204" t="n">
        <f aca="false">INDEX(TEMPLATE_NUMBER_POINT_FHD,B64,MATCH(TEMPLATE_SPHERE,TEMPLATE_SPHERE_LIST_FOR_NOTE,0))</f>
        <v>0</v>
      </c>
      <c r="J64" s="1204" t="n">
        <f aca="false">INDEX(TEMPLATE_DATA_POINT_FHD,B64,MATCH(TEMPLATE_SPHERE,TEMPLATE_SPHERE_LIST_FOR_NOTE,0))</f>
        <v>0</v>
      </c>
      <c r="K64" s="1204" t="n">
        <f aca="false">INDEX(TEMPLATE_NOTE_POINT_FHD,B64,MATCH(TEMPLATE_SPHERE,TEMPLATE_SPHERE_LIST_FOR_NOTE,0))</f>
        <v>0</v>
      </c>
      <c r="L64" s="1192" t="str">
        <f aca="false">IF(I64=0,"",I64)</f>
        <v/>
      </c>
      <c r="M64" s="1192" t="str">
        <f aca="false">IF(J64=0,"",J64)</f>
        <v/>
      </c>
      <c r="N64" s="1192" t="str">
        <f aca="false">IF(K64=0,"",K64)</f>
        <v/>
      </c>
      <c r="O64" s="1205"/>
      <c r="P64" s="1205" t="s">
        <v>164</v>
      </c>
      <c r="Q64" s="1205"/>
      <c r="R64" s="1205"/>
      <c r="S64" s="1205"/>
      <c r="T64" s="1189"/>
      <c r="U64" s="1189" t="s">
        <v>2292</v>
      </c>
      <c r="V64" s="1189"/>
      <c r="W64" s="1189"/>
      <c r="X64" s="1189"/>
      <c r="Y64" s="1193"/>
      <c r="Z64" s="1174"/>
      <c r="AA64" s="1181" t="s">
        <v>2293</v>
      </c>
      <c r="AB64" s="1174"/>
      <c r="AC64" s="1174"/>
      <c r="AD64" s="1174"/>
    </row>
    <row r="65" customFormat="false" ht="18" hidden="false" customHeight="true" outlineLevel="0" collapsed="false">
      <c r="A65" s="1191"/>
      <c r="B65" s="1194" t="n">
        <v>48</v>
      </c>
      <c r="C65" s="1189"/>
      <c r="D65" s="1202"/>
      <c r="E65" s="1189"/>
      <c r="F65" s="1189"/>
      <c r="G65" s="1189"/>
      <c r="H65" s="1207"/>
      <c r="I65" s="1204" t="n">
        <f aca="false">INDEX(TEMPLATE_NUMBER_POINT_FHD,B65,MATCH(TEMPLATE_SPHERE,TEMPLATE_SPHERE_LIST_FOR_NOTE,0))</f>
        <v>0</v>
      </c>
      <c r="J65" s="1204" t="n">
        <f aca="false">INDEX(TEMPLATE_DATA_POINT_FHD,B65,MATCH(TEMPLATE_SPHERE,TEMPLATE_SPHERE_LIST_FOR_NOTE,0))</f>
        <v>0</v>
      </c>
      <c r="K65" s="1204" t="n">
        <f aca="false">INDEX(TEMPLATE_NOTE_POINT_FHD,B65,MATCH(TEMPLATE_SPHERE,TEMPLATE_SPHERE_LIST_FOR_NOTE,0))</f>
        <v>0</v>
      </c>
      <c r="L65" s="1192" t="str">
        <f aca="false">IF(I65=0,"",I65)</f>
        <v/>
      </c>
      <c r="M65" s="1192" t="str">
        <f aca="false">IF(J65=0,"",J65)</f>
        <v/>
      </c>
      <c r="N65" s="1192" t="str">
        <f aca="false">IF(K65=0,"",K65)</f>
        <v/>
      </c>
      <c r="O65" s="1205"/>
      <c r="P65" s="1205" t="s">
        <v>2206</v>
      </c>
      <c r="Q65" s="1205"/>
      <c r="R65" s="1205"/>
      <c r="S65" s="1205"/>
      <c r="T65" s="1189"/>
      <c r="U65" s="1189" t="s">
        <v>2294</v>
      </c>
      <c r="V65" s="1189"/>
      <c r="W65" s="1189"/>
      <c r="X65" s="1189"/>
      <c r="Y65" s="1193"/>
      <c r="Z65" s="1174"/>
      <c r="AA65" s="1181"/>
      <c r="AB65" s="1174"/>
      <c r="AC65" s="1174"/>
      <c r="AD65" s="1174"/>
    </row>
    <row r="66" customFormat="false" ht="18" hidden="false" customHeight="true" outlineLevel="0" collapsed="false">
      <c r="A66" s="1191"/>
      <c r="B66" s="1194" t="n">
        <v>49</v>
      </c>
      <c r="C66" s="1189"/>
      <c r="D66" s="1202"/>
      <c r="E66" s="1189"/>
      <c r="F66" s="1189"/>
      <c r="G66" s="1189"/>
      <c r="H66" s="1207"/>
      <c r="I66" s="1204" t="n">
        <f aca="false">INDEX(TEMPLATE_NUMBER_POINT_FHD,B66,MATCH(TEMPLATE_SPHERE,TEMPLATE_SPHERE_LIST_FOR_NOTE,0))</f>
        <v>0</v>
      </c>
      <c r="J66" s="1204" t="n">
        <f aca="false">INDEX(TEMPLATE_DATA_POINT_FHD,B66,MATCH(TEMPLATE_SPHERE,TEMPLATE_SPHERE_LIST_FOR_NOTE,0))</f>
        <v>0</v>
      </c>
      <c r="K66" s="1204" t="n">
        <f aca="false">INDEX(TEMPLATE_NOTE_POINT_FHD,B66,MATCH(TEMPLATE_SPHERE,TEMPLATE_SPHERE_LIST_FOR_NOTE,0))</f>
        <v>0</v>
      </c>
      <c r="L66" s="1192" t="str">
        <f aca="false">IF(I66=0,"",I66)</f>
        <v/>
      </c>
      <c r="M66" s="1192" t="str">
        <f aca="false">IF(J66=0,"",J66)</f>
        <v/>
      </c>
      <c r="N66" s="1192" t="str">
        <f aca="false">IF(K66=0,"",K66)</f>
        <v/>
      </c>
      <c r="O66" s="1205"/>
      <c r="P66" s="1205" t="s">
        <v>2210</v>
      </c>
      <c r="Q66" s="1205"/>
      <c r="R66" s="1205"/>
      <c r="S66" s="1205"/>
      <c r="T66" s="1189"/>
      <c r="U66" s="1189" t="s">
        <v>2295</v>
      </c>
      <c r="V66" s="1189"/>
      <c r="W66" s="1189"/>
      <c r="X66" s="1189"/>
      <c r="Y66" s="1193"/>
      <c r="Z66" s="1174"/>
      <c r="AA66" s="1181"/>
      <c r="AB66" s="1174"/>
      <c r="AC66" s="1174"/>
      <c r="AD66" s="1174"/>
    </row>
    <row r="67" customFormat="false" ht="27" hidden="false" customHeight="true" outlineLevel="0" collapsed="false">
      <c r="A67" s="1191"/>
      <c r="B67" s="1194" t="n">
        <v>50</v>
      </c>
      <c r="C67" s="1189"/>
      <c r="D67" s="1202"/>
      <c r="E67" s="1189"/>
      <c r="F67" s="1189"/>
      <c r="G67" s="1189"/>
      <c r="H67" s="1207"/>
      <c r="I67" s="1204" t="n">
        <f aca="false">INDEX(TEMPLATE_NUMBER_POINT_FHD,B67,MATCH(TEMPLATE_SPHERE,TEMPLATE_SPHERE_LIST_FOR_NOTE,0))</f>
        <v>0</v>
      </c>
      <c r="J67" s="1204" t="n">
        <f aca="false">INDEX(TEMPLATE_DATA_POINT_FHD,B67,MATCH(TEMPLATE_SPHERE,TEMPLATE_SPHERE_LIST_FOR_NOTE,0))</f>
        <v>0</v>
      </c>
      <c r="K67" s="1204" t="n">
        <f aca="false">INDEX(TEMPLATE_NOTE_POINT_FHD,B67,MATCH(TEMPLATE_SPHERE,TEMPLATE_SPHERE_LIST_FOR_NOTE,0))</f>
        <v>0</v>
      </c>
      <c r="L67" s="1192" t="str">
        <f aca="false">IF(I67=0,"",I67)</f>
        <v/>
      </c>
      <c r="M67" s="1192" t="str">
        <f aca="false">IF(J67=0,"",J67)</f>
        <v/>
      </c>
      <c r="N67" s="1192" t="str">
        <f aca="false">IF(K67=0,"",K67)</f>
        <v/>
      </c>
      <c r="O67" s="1205"/>
      <c r="P67" s="1205" t="s">
        <v>2296</v>
      </c>
      <c r="Q67" s="1205"/>
      <c r="R67" s="1205"/>
      <c r="S67" s="1205"/>
      <c r="T67" s="1189"/>
      <c r="U67" s="1189" t="s">
        <v>2297</v>
      </c>
      <c r="V67" s="1189"/>
      <c r="W67" s="1189"/>
      <c r="X67" s="1189"/>
      <c r="Y67" s="1193"/>
      <c r="Z67" s="1174"/>
      <c r="AA67" s="1181"/>
      <c r="AB67" s="1174"/>
      <c r="AC67" s="1174"/>
      <c r="AD67" s="1174"/>
    </row>
    <row r="68" customFormat="false" ht="27" hidden="false" customHeight="true" outlineLevel="0" collapsed="false">
      <c r="A68" s="1191"/>
      <c r="B68" s="1194" t="n">
        <v>51</v>
      </c>
      <c r="C68" s="1189"/>
      <c r="D68" s="1202"/>
      <c r="E68" s="1189"/>
      <c r="F68" s="1189"/>
      <c r="G68" s="1189"/>
      <c r="H68" s="1207"/>
      <c r="I68" s="1204" t="n">
        <f aca="false">INDEX(TEMPLATE_NUMBER_POINT_FHD,B68,MATCH(TEMPLATE_SPHERE,TEMPLATE_SPHERE_LIST_FOR_NOTE,0))</f>
        <v>0</v>
      </c>
      <c r="J68" s="1204" t="n">
        <f aca="false">INDEX(TEMPLATE_DATA_POINT_FHD,B68,MATCH(TEMPLATE_SPHERE,TEMPLATE_SPHERE_LIST_FOR_NOTE,0))</f>
        <v>0</v>
      </c>
      <c r="K68" s="1204" t="n">
        <f aca="false">INDEX(TEMPLATE_NOTE_POINT_FHD,B68,MATCH(TEMPLATE_SPHERE,TEMPLATE_SPHERE_LIST_FOR_NOTE,0))</f>
        <v>0</v>
      </c>
      <c r="L68" s="1192" t="str">
        <f aca="false">IF(I68=0,"",I68)</f>
        <v/>
      </c>
      <c r="M68" s="1192" t="str">
        <f aca="false">IF(J68=0,"",J68)</f>
        <v/>
      </c>
      <c r="N68" s="1192" t="str">
        <f aca="false">IF(K68=0,"",K68)</f>
        <v/>
      </c>
      <c r="O68" s="1205"/>
      <c r="P68" s="1205" t="s">
        <v>2298</v>
      </c>
      <c r="Q68" s="1205"/>
      <c r="R68" s="1205"/>
      <c r="S68" s="1205"/>
      <c r="T68" s="1189"/>
      <c r="U68" s="1189" t="s">
        <v>2299</v>
      </c>
      <c r="V68" s="1189"/>
      <c r="W68" s="1189"/>
      <c r="X68" s="1189"/>
      <c r="Y68" s="1193"/>
      <c r="Z68" s="1174"/>
      <c r="AA68" s="1181"/>
      <c r="AB68" s="1174"/>
      <c r="AC68" s="1174"/>
      <c r="AD68" s="1174"/>
    </row>
    <row r="69" customFormat="false" ht="9" hidden="false" customHeight="true" outlineLevel="0" collapsed="false">
      <c r="A69" s="1191"/>
      <c r="B69" s="1194" t="n">
        <v>52</v>
      </c>
      <c r="C69" s="1189"/>
      <c r="D69" s="1202" t="s">
        <v>2300</v>
      </c>
      <c r="E69" s="1189"/>
      <c r="F69" s="1189"/>
      <c r="G69" s="1189"/>
      <c r="H69" s="1207"/>
      <c r="I69" s="1204" t="n">
        <f aca="false">INDEX(TEMPLATE_NUMBER_POINT_FHD,B69,MATCH(TEMPLATE_SPHERE,TEMPLATE_SPHERE_LIST_FOR_NOTE,0))</f>
        <v>0</v>
      </c>
      <c r="J69" s="1204" t="n">
        <f aca="false">INDEX(TEMPLATE_DATA_POINT_FHD,B69,MATCH(TEMPLATE_SPHERE,TEMPLATE_SPHERE_LIST_FOR_NOTE,0))</f>
        <v>0</v>
      </c>
      <c r="K69" s="1204" t="n">
        <f aca="false">INDEX(TEMPLATE_NOTE_POINT_FHD,B69,MATCH(TEMPLATE_SPHERE,TEMPLATE_SPHERE_LIST_FOR_NOTE,0))</f>
        <v>0</v>
      </c>
      <c r="L69" s="1192" t="str">
        <f aca="false">IF(I69=0,"",I69)</f>
        <v/>
      </c>
      <c r="M69" s="1192" t="str">
        <f aca="false">IF(J69=0,"",J69)</f>
        <v/>
      </c>
      <c r="N69" s="1192" t="str">
        <f aca="false">IF(K69=0,"",K69)</f>
        <v/>
      </c>
      <c r="O69" s="1205"/>
      <c r="P69" s="1205" t="s">
        <v>165</v>
      </c>
      <c r="Q69" s="1205"/>
      <c r="R69" s="1205"/>
      <c r="S69" s="1205"/>
      <c r="T69" s="1189"/>
      <c r="U69" s="1189" t="s">
        <v>2301</v>
      </c>
      <c r="V69" s="1189"/>
      <c r="W69" s="1189"/>
      <c r="X69" s="1189"/>
      <c r="Y69" s="1193"/>
      <c r="Z69" s="1174"/>
      <c r="AA69" s="1181"/>
      <c r="AB69" s="1174"/>
      <c r="AC69" s="1174"/>
      <c r="AD69" s="1174"/>
    </row>
    <row r="70" customFormat="false" ht="27" hidden="false" customHeight="true" outlineLevel="0" collapsed="false">
      <c r="A70" s="1191"/>
      <c r="B70" s="1194" t="n">
        <v>53</v>
      </c>
      <c r="C70" s="1189"/>
      <c r="D70" s="1202"/>
      <c r="E70" s="1189" t="s">
        <v>2285</v>
      </c>
      <c r="F70" s="1189"/>
      <c r="G70" s="1189"/>
      <c r="H70" s="1207"/>
      <c r="I70" s="1204" t="n">
        <f aca="false">INDEX(TEMPLATE_NUMBER_POINT_FHD,B70,MATCH(TEMPLATE_SPHERE,TEMPLATE_SPHERE_LIST_FOR_NOTE,0))</f>
        <v>0</v>
      </c>
      <c r="J70" s="1204" t="n">
        <f aca="false">INDEX(TEMPLATE_DATA_POINT_FHD,B70,MATCH(TEMPLATE_SPHERE,TEMPLATE_SPHERE_LIST_FOR_NOTE,0))</f>
        <v>0</v>
      </c>
      <c r="K70" s="1204" t="n">
        <f aca="false">INDEX(TEMPLATE_NOTE_POINT_FHD,B70,MATCH(TEMPLATE_SPHERE,TEMPLATE_SPHERE_LIST_FOR_NOTE,0))</f>
        <v>0</v>
      </c>
      <c r="L70" s="1192" t="str">
        <f aca="false">IF(I70=0,"",I70)</f>
        <v/>
      </c>
      <c r="M70" s="1192" t="str">
        <f aca="false">IF(J70=0,"",J70)</f>
        <v/>
      </c>
      <c r="N70" s="1192" t="str">
        <f aca="false">IF(K70=0,"",K70)</f>
        <v/>
      </c>
      <c r="O70" s="1205"/>
      <c r="P70" s="1205"/>
      <c r="Q70" s="1205" t="s">
        <v>92</v>
      </c>
      <c r="R70" s="1205"/>
      <c r="S70" s="1205"/>
      <c r="T70" s="1189"/>
      <c r="U70" s="1189"/>
      <c r="V70" s="1189" t="s">
        <v>2302</v>
      </c>
      <c r="W70" s="1189"/>
      <c r="X70" s="1189"/>
      <c r="Y70" s="1193"/>
      <c r="Z70" s="1174"/>
      <c r="AA70" s="1181"/>
      <c r="AB70" s="1174"/>
      <c r="AC70" s="1174"/>
      <c r="AD70" s="1174"/>
    </row>
    <row r="71" customFormat="false" ht="36" hidden="false" customHeight="true" outlineLevel="0" collapsed="false">
      <c r="A71" s="1191"/>
      <c r="B71" s="1194" t="n">
        <v>54</v>
      </c>
      <c r="C71" s="1189"/>
      <c r="D71" s="1202"/>
      <c r="E71" s="1189" t="s">
        <v>2287</v>
      </c>
      <c r="F71" s="1189"/>
      <c r="G71" s="1189"/>
      <c r="H71" s="1207"/>
      <c r="I71" s="1204" t="n">
        <f aca="false">INDEX(TEMPLATE_NUMBER_POINT_FHD,B71,MATCH(TEMPLATE_SPHERE,TEMPLATE_SPHERE_LIST_FOR_NOTE,0))</f>
        <v>0</v>
      </c>
      <c r="J71" s="1204" t="n">
        <f aca="false">INDEX(TEMPLATE_DATA_POINT_FHD,B71,MATCH(TEMPLATE_SPHERE,TEMPLATE_SPHERE_LIST_FOR_NOTE,0))</f>
        <v>0</v>
      </c>
      <c r="K71" s="1204" t="n">
        <f aca="false">INDEX(TEMPLATE_NOTE_POINT_FHD,B71,MATCH(TEMPLATE_SPHERE,TEMPLATE_SPHERE_LIST_FOR_NOTE,0))</f>
        <v>0</v>
      </c>
      <c r="L71" s="1192" t="str">
        <f aca="false">IF(I71=0,"",I71)</f>
        <v/>
      </c>
      <c r="M71" s="1192" t="str">
        <f aca="false">IF(J71=0,"",J71)</f>
        <v/>
      </c>
      <c r="N71" s="1192" t="str">
        <f aca="false">IF(K71=0,"",K71)</f>
        <v/>
      </c>
      <c r="O71" s="1205"/>
      <c r="P71" s="1205"/>
      <c r="Q71" s="1205" t="s">
        <v>122</v>
      </c>
      <c r="R71" s="1205"/>
      <c r="S71" s="1205"/>
      <c r="T71" s="1189"/>
      <c r="U71" s="1189"/>
      <c r="V71" s="1189" t="s">
        <v>2303</v>
      </c>
      <c r="W71" s="1189"/>
      <c r="X71" s="1189"/>
      <c r="Y71" s="1193"/>
      <c r="Z71" s="1174"/>
      <c r="AA71" s="1181"/>
      <c r="AB71" s="1174"/>
      <c r="AC71" s="1174"/>
      <c r="AD71" s="1174"/>
    </row>
    <row r="72" customFormat="false" ht="27" hidden="false" customHeight="true" outlineLevel="0" collapsed="false">
      <c r="A72" s="1191"/>
      <c r="B72" s="1194" t="n">
        <v>55</v>
      </c>
      <c r="C72" s="1189"/>
      <c r="D72" s="1202"/>
      <c r="E72" s="1189" t="s">
        <v>2289</v>
      </c>
      <c r="F72" s="1189"/>
      <c r="G72" s="1189"/>
      <c r="H72" s="1207"/>
      <c r="I72" s="1204" t="n">
        <f aca="false">INDEX(TEMPLATE_NUMBER_POINT_FHD,B72,MATCH(TEMPLATE_SPHERE,TEMPLATE_SPHERE_LIST_FOR_NOTE,0))</f>
        <v>0</v>
      </c>
      <c r="J72" s="1204" t="n">
        <f aca="false">INDEX(TEMPLATE_DATA_POINT_FHD,B72,MATCH(TEMPLATE_SPHERE,TEMPLATE_SPHERE_LIST_FOR_NOTE,0))</f>
        <v>0</v>
      </c>
      <c r="K72" s="1204" t="n">
        <f aca="false">INDEX(TEMPLATE_NOTE_POINT_FHD,B72,MATCH(TEMPLATE_SPHERE,TEMPLATE_SPHERE_LIST_FOR_NOTE,0))</f>
        <v>0</v>
      </c>
      <c r="L72" s="1192" t="str">
        <f aca="false">IF(I72=0,"",I72)</f>
        <v/>
      </c>
      <c r="M72" s="1192" t="str">
        <f aca="false">IF(J72=0,"",J72)</f>
        <v/>
      </c>
      <c r="N72" s="1192" t="str">
        <f aca="false">IF(K72=0,"",K72)</f>
        <v/>
      </c>
      <c r="O72" s="1205"/>
      <c r="P72" s="1205"/>
      <c r="Q72" s="1205" t="s">
        <v>163</v>
      </c>
      <c r="R72" s="1205"/>
      <c r="S72" s="1205"/>
      <c r="T72" s="1189"/>
      <c r="U72" s="1189"/>
      <c r="V72" s="1189" t="s">
        <v>2304</v>
      </c>
      <c r="W72" s="1189"/>
      <c r="X72" s="1189"/>
      <c r="Y72" s="1193"/>
      <c r="Z72" s="1174"/>
      <c r="AA72" s="1181"/>
      <c r="AB72" s="1174"/>
      <c r="AC72" s="1174"/>
      <c r="AD72" s="1174"/>
    </row>
    <row r="73" customFormat="false" ht="36" hidden="false" customHeight="true" outlineLevel="0" collapsed="false">
      <c r="A73" s="1191"/>
      <c r="B73" s="1194" t="n">
        <v>56</v>
      </c>
      <c r="C73" s="1189"/>
      <c r="D73" s="1202"/>
      <c r="E73" s="1189" t="s">
        <v>2291</v>
      </c>
      <c r="F73" s="1189"/>
      <c r="G73" s="1189"/>
      <c r="H73" s="1207"/>
      <c r="I73" s="1204" t="n">
        <f aca="false">INDEX(TEMPLATE_NUMBER_POINT_FHD,B73,MATCH(TEMPLATE_SPHERE,TEMPLATE_SPHERE_LIST_FOR_NOTE,0))</f>
        <v>0</v>
      </c>
      <c r="J73" s="1204" t="n">
        <f aca="false">INDEX(TEMPLATE_DATA_POINT_FHD,B73,MATCH(TEMPLATE_SPHERE,TEMPLATE_SPHERE_LIST_FOR_NOTE,0))</f>
        <v>0</v>
      </c>
      <c r="K73" s="1204" t="n">
        <f aca="false">INDEX(TEMPLATE_NOTE_POINT_FHD,B73,MATCH(TEMPLATE_SPHERE,TEMPLATE_SPHERE_LIST_FOR_NOTE,0))</f>
        <v>0</v>
      </c>
      <c r="L73" s="1192" t="str">
        <f aca="false">IF(I73=0,"",I73)</f>
        <v/>
      </c>
      <c r="M73" s="1192" t="str">
        <f aca="false">IF(J73=0,"",J73)</f>
        <v/>
      </c>
      <c r="N73" s="1192" t="str">
        <f aca="false">IF(K73=0,"",K73)</f>
        <v/>
      </c>
      <c r="O73" s="1205"/>
      <c r="P73" s="1205"/>
      <c r="Q73" s="1205" t="s">
        <v>164</v>
      </c>
      <c r="R73" s="1205"/>
      <c r="S73" s="1205"/>
      <c r="T73" s="1189"/>
      <c r="U73" s="1189"/>
      <c r="V73" s="1189" t="s">
        <v>2305</v>
      </c>
      <c r="W73" s="1189"/>
      <c r="X73" s="1189"/>
      <c r="Y73" s="1193"/>
      <c r="Z73" s="1174"/>
      <c r="AA73" s="1181"/>
      <c r="AB73" s="1174"/>
      <c r="AC73" s="1174"/>
      <c r="AD73" s="1174"/>
    </row>
    <row r="74" customFormat="false" ht="18" hidden="false" customHeight="true" outlineLevel="0" collapsed="false">
      <c r="A74" s="1191"/>
      <c r="B74" s="1194" t="n">
        <v>57</v>
      </c>
      <c r="C74" s="1189"/>
      <c r="D74" s="1202"/>
      <c r="E74" s="1189" t="s">
        <v>2300</v>
      </c>
      <c r="F74" s="1189"/>
      <c r="G74" s="1189"/>
      <c r="H74" s="1207"/>
      <c r="I74" s="1204" t="n">
        <f aca="false">INDEX(TEMPLATE_NUMBER_POINT_FHD,B74,MATCH(TEMPLATE_SPHERE,TEMPLATE_SPHERE_LIST_FOR_NOTE,0))</f>
        <v>0</v>
      </c>
      <c r="J74" s="1204" t="n">
        <f aca="false">INDEX(TEMPLATE_DATA_POINT_FHD,B74,MATCH(TEMPLATE_SPHERE,TEMPLATE_SPHERE_LIST_FOR_NOTE,0))</f>
        <v>0</v>
      </c>
      <c r="K74" s="1204" t="n">
        <f aca="false">INDEX(TEMPLATE_NOTE_POINT_FHD,B74,MATCH(TEMPLATE_SPHERE,TEMPLATE_SPHERE_LIST_FOR_NOTE,0))</f>
        <v>0</v>
      </c>
      <c r="L74" s="1192" t="str">
        <f aca="false">IF(I74=0,"",I74)</f>
        <v/>
      </c>
      <c r="M74" s="1192" t="str">
        <f aca="false">IF(J74=0,"",J74)</f>
        <v/>
      </c>
      <c r="N74" s="1192" t="str">
        <f aca="false">IF(K74=0,"",K74)</f>
        <v/>
      </c>
      <c r="O74" s="1205"/>
      <c r="P74" s="1205"/>
      <c r="Q74" s="1205" t="s">
        <v>165</v>
      </c>
      <c r="R74" s="1205"/>
      <c r="S74" s="1205"/>
      <c r="T74" s="1189"/>
      <c r="U74" s="1189"/>
      <c r="V74" s="1189" t="s">
        <v>2306</v>
      </c>
      <c r="W74" s="1189"/>
      <c r="X74" s="1189"/>
      <c r="Y74" s="1193"/>
      <c r="Z74" s="1174"/>
      <c r="AA74" s="1181"/>
      <c r="AB74" s="1174"/>
      <c r="AC74" s="1174"/>
      <c r="AD74" s="1174"/>
    </row>
    <row r="75" customFormat="false" ht="18" hidden="false" customHeight="true" outlineLevel="0" collapsed="false">
      <c r="A75" s="1191"/>
      <c r="B75" s="1194" t="n">
        <v>58</v>
      </c>
      <c r="C75" s="1189"/>
      <c r="D75" s="1202"/>
      <c r="E75" s="1189"/>
      <c r="F75" s="1189" t="s">
        <v>2285</v>
      </c>
      <c r="G75" s="1189"/>
      <c r="H75" s="1207"/>
      <c r="I75" s="1204" t="n">
        <f aca="false">INDEX(TEMPLATE_NUMBER_POINT_FHD,B75,MATCH(TEMPLATE_SPHERE,TEMPLATE_SPHERE_LIST_FOR_NOTE,0))</f>
        <v>0</v>
      </c>
      <c r="J75" s="1204" t="n">
        <f aca="false">INDEX(TEMPLATE_DATA_POINT_FHD,B75,MATCH(TEMPLATE_SPHERE,TEMPLATE_SPHERE_LIST_FOR_NOTE,0))</f>
        <v>0</v>
      </c>
      <c r="K75" s="1204" t="n">
        <f aca="false">INDEX(TEMPLATE_NOTE_POINT_FHD,B75,MATCH(TEMPLATE_SPHERE,TEMPLATE_SPHERE_LIST_FOR_NOTE,0))</f>
        <v>0</v>
      </c>
      <c r="L75" s="1192" t="str">
        <f aca="false">IF(I75=0,"",I75)</f>
        <v/>
      </c>
      <c r="M75" s="1192" t="str">
        <f aca="false">IF(J75=0,"",J75)</f>
        <v/>
      </c>
      <c r="N75" s="1192" t="str">
        <f aca="false">IF(K75=0,"",K75)</f>
        <v/>
      </c>
      <c r="O75" s="1205"/>
      <c r="P75" s="1205"/>
      <c r="Q75" s="1205"/>
      <c r="R75" s="1205" t="s">
        <v>92</v>
      </c>
      <c r="S75" s="1205"/>
      <c r="T75" s="1189"/>
      <c r="U75" s="1189"/>
      <c r="V75" s="1189"/>
      <c r="W75" s="1189" t="s">
        <v>2307</v>
      </c>
      <c r="X75" s="1189"/>
      <c r="Y75" s="1193"/>
      <c r="Z75" s="1174"/>
      <c r="AA75" s="1181"/>
      <c r="AB75" s="1174"/>
      <c r="AC75" s="1174"/>
      <c r="AD75" s="1174"/>
    </row>
    <row r="76" customFormat="false" ht="36" hidden="false" customHeight="true" outlineLevel="0" collapsed="false">
      <c r="A76" s="1191"/>
      <c r="B76" s="1194" t="n">
        <v>59</v>
      </c>
      <c r="C76" s="1189"/>
      <c r="D76" s="1202"/>
      <c r="E76" s="1189"/>
      <c r="F76" s="1189" t="s">
        <v>2287</v>
      </c>
      <c r="G76" s="1189"/>
      <c r="H76" s="1207"/>
      <c r="I76" s="1204" t="n">
        <f aca="false">INDEX(TEMPLATE_NUMBER_POINT_FHD,B76,MATCH(TEMPLATE_SPHERE,TEMPLATE_SPHERE_LIST_FOR_NOTE,0))</f>
        <v>0</v>
      </c>
      <c r="J76" s="1204" t="n">
        <f aca="false">INDEX(TEMPLATE_DATA_POINT_FHD,B76,MATCH(TEMPLATE_SPHERE,TEMPLATE_SPHERE_LIST_FOR_NOTE,0))</f>
        <v>0</v>
      </c>
      <c r="K76" s="1204" t="n">
        <f aca="false">INDEX(TEMPLATE_NOTE_POINT_FHD,B76,MATCH(TEMPLATE_SPHERE,TEMPLATE_SPHERE_LIST_FOR_NOTE,0))</f>
        <v>0</v>
      </c>
      <c r="L76" s="1192" t="str">
        <f aca="false">IF(I76=0,"",I76)</f>
        <v/>
      </c>
      <c r="M76" s="1192" t="str">
        <f aca="false">IF(J76=0,"",J76)</f>
        <v/>
      </c>
      <c r="N76" s="1192" t="str">
        <f aca="false">IF(K76=0,"",K76)</f>
        <v/>
      </c>
      <c r="O76" s="1205"/>
      <c r="P76" s="1205"/>
      <c r="Q76" s="1205"/>
      <c r="R76" s="1205" t="s">
        <v>122</v>
      </c>
      <c r="S76" s="1205"/>
      <c r="T76" s="1189"/>
      <c r="U76" s="1189"/>
      <c r="V76" s="1189"/>
      <c r="W76" s="1189" t="s">
        <v>2308</v>
      </c>
      <c r="X76" s="1189"/>
      <c r="Y76" s="1193"/>
      <c r="Z76" s="1174"/>
      <c r="AA76" s="1181"/>
      <c r="AB76" s="1174"/>
      <c r="AC76" s="1174"/>
      <c r="AD76" s="1174"/>
    </row>
    <row r="77" customFormat="false" ht="18" hidden="false" customHeight="true" outlineLevel="0" collapsed="false">
      <c r="A77" s="1191"/>
      <c r="B77" s="1194" t="n">
        <v>60</v>
      </c>
      <c r="C77" s="1189"/>
      <c r="D77" s="1202"/>
      <c r="E77" s="1189"/>
      <c r="F77" s="1189" t="s">
        <v>2289</v>
      </c>
      <c r="G77" s="1189"/>
      <c r="H77" s="1207"/>
      <c r="I77" s="1204" t="n">
        <f aca="false">INDEX(TEMPLATE_NUMBER_POINT_FHD,B77,MATCH(TEMPLATE_SPHERE,TEMPLATE_SPHERE_LIST_FOR_NOTE,0))</f>
        <v>0</v>
      </c>
      <c r="J77" s="1204" t="n">
        <f aca="false">INDEX(TEMPLATE_DATA_POINT_FHD,B77,MATCH(TEMPLATE_SPHERE,TEMPLATE_SPHERE_LIST_FOR_NOTE,0))</f>
        <v>0</v>
      </c>
      <c r="K77" s="1204" t="n">
        <f aca="false">INDEX(TEMPLATE_NOTE_POINT_FHD,B77,MATCH(TEMPLATE_SPHERE,TEMPLATE_SPHERE_LIST_FOR_NOTE,0))</f>
        <v>0</v>
      </c>
      <c r="L77" s="1192" t="str">
        <f aca="false">IF(I77=0,"",I77)</f>
        <v/>
      </c>
      <c r="M77" s="1192" t="str">
        <f aca="false">IF(J77=0,"",J77)</f>
        <v/>
      </c>
      <c r="N77" s="1192" t="str">
        <f aca="false">IF(K77=0,"",K77)</f>
        <v/>
      </c>
      <c r="O77" s="1205"/>
      <c r="P77" s="1205"/>
      <c r="Q77" s="1205"/>
      <c r="R77" s="1205" t="s">
        <v>163</v>
      </c>
      <c r="S77" s="1205"/>
      <c r="T77" s="1189"/>
      <c r="U77" s="1189"/>
      <c r="V77" s="1189"/>
      <c r="W77" s="1189" t="s">
        <v>2309</v>
      </c>
      <c r="X77" s="1189"/>
      <c r="Y77" s="1193"/>
      <c r="Z77" s="1174"/>
      <c r="AA77" s="1181"/>
      <c r="AB77" s="1174"/>
      <c r="AC77" s="1174"/>
      <c r="AD77" s="1174"/>
    </row>
    <row r="78" customFormat="false" ht="72" hidden="false" customHeight="true" outlineLevel="0" collapsed="false">
      <c r="A78" s="1191"/>
      <c r="B78" s="1194" t="n">
        <v>61</v>
      </c>
      <c r="C78" s="1189" t="s">
        <v>2285</v>
      </c>
      <c r="D78" s="1202"/>
      <c r="E78" s="1189"/>
      <c r="F78" s="1189"/>
      <c r="G78" s="1189"/>
      <c r="H78" s="1207"/>
      <c r="I78" s="1204" t="str">
        <f aca="false">INDEX(TEMPLATE_NUMBER_POINT_FHD,B78,MATCH(TEMPLATE_SPHERE,TEMPLATE_SPHERE_LIST_FOR_NOTE,0))</f>
        <v>7</v>
      </c>
      <c r="J78" s="1204" t="str">
        <f aca="false">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04" t="str">
        <f aca="false">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92" t="str">
        <f aca="false">IF(I78=0,"",I78)</f>
        <v>7</v>
      </c>
      <c r="M78" s="1192" t="str">
        <f aca="false">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92" t="str">
        <f aca="false">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05" t="s">
        <v>92</v>
      </c>
      <c r="P78" s="1205"/>
      <c r="Q78" s="1205"/>
      <c r="R78" s="1205"/>
      <c r="S78" s="1205"/>
      <c r="T78" s="1189" t="s">
        <v>665</v>
      </c>
      <c r="U78" s="1189"/>
      <c r="V78" s="1189"/>
      <c r="W78" s="1189"/>
      <c r="X78" s="1189"/>
      <c r="Y78" s="1193"/>
      <c r="Z78" s="1174" t="s">
        <v>2310</v>
      </c>
      <c r="AA78" s="1181"/>
      <c r="AB78" s="1174"/>
      <c r="AC78" s="1174"/>
      <c r="AD78" s="1174"/>
    </row>
    <row r="79" customFormat="false" ht="36" hidden="false" customHeight="true" outlineLevel="0" collapsed="false">
      <c r="A79" s="1191"/>
      <c r="B79" s="1194" t="n">
        <v>62</v>
      </c>
      <c r="C79" s="1189" t="s">
        <v>2287</v>
      </c>
      <c r="D79" s="1202"/>
      <c r="E79" s="1189"/>
      <c r="F79" s="1189"/>
      <c r="G79" s="1189"/>
      <c r="H79" s="1207"/>
      <c r="I79" s="1204" t="str">
        <f aca="false">INDEX(TEMPLATE_NUMBER_POINT_FHD,B79,MATCH(TEMPLATE_SPHERE,TEMPLATE_SPHERE_LIST_FOR_NOTE,0))</f>
        <v>8</v>
      </c>
      <c r="J79" s="1204" t="str">
        <f aca="false">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04" t="str">
        <f aca="false">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92" t="str">
        <f aca="false">IF(I79=0,"",I79)</f>
        <v>8</v>
      </c>
      <c r="M79" s="1192" t="str">
        <f aca="false">IF(J79=0,"",J79)</f>
        <v>Тепловая нагрузка по договорам, заключенным в рамках осуществления регулируемых видов деятельности</v>
      </c>
      <c r="N79" s="1192" t="str">
        <f aca="false">IF(K79=0,"",K79)</f>
        <v>Регулируемыми организациями указывается информация по договорам, заключенным в рамках осуществления регулируемых видов деятельности</v>
      </c>
      <c r="O79" s="1205" t="s">
        <v>122</v>
      </c>
      <c r="P79" s="1205"/>
      <c r="Q79" s="1205"/>
      <c r="R79" s="1205"/>
      <c r="S79" s="1205"/>
      <c r="T79" s="1189" t="s">
        <v>2311</v>
      </c>
      <c r="U79" s="1189"/>
      <c r="V79" s="1189"/>
      <c r="W79" s="1189"/>
      <c r="X79" s="1189"/>
      <c r="Y79" s="1193"/>
      <c r="Z79" s="1174" t="s">
        <v>2312</v>
      </c>
      <c r="AA79" s="1181"/>
      <c r="AB79" s="1174"/>
      <c r="AC79" s="1174"/>
      <c r="AD79" s="1174"/>
    </row>
    <row r="80" customFormat="false" ht="45" hidden="false" customHeight="true" outlineLevel="0" collapsed="false">
      <c r="A80" s="1191"/>
      <c r="B80" s="1194" t="n">
        <v>63</v>
      </c>
      <c r="C80" s="1189" t="s">
        <v>2289</v>
      </c>
      <c r="D80" s="1202"/>
      <c r="E80" s="1189"/>
      <c r="F80" s="1189"/>
      <c r="G80" s="1189"/>
      <c r="H80" s="1207"/>
      <c r="I80" s="1204" t="str">
        <f aca="false">INDEX(TEMPLATE_NUMBER_POINT_FHD,B80,MATCH(TEMPLATE_SPHERE,TEMPLATE_SPHERE_LIST_FOR_NOTE,0))</f>
        <v>9</v>
      </c>
      <c r="J80" s="1204" t="str">
        <f aca="false">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04" t="str">
        <f aca="false">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92" t="str">
        <f aca="false">IF(I80=0,"",I80)</f>
        <v>9</v>
      </c>
      <c r="M80" s="1192" t="str">
        <f aca="false">IF(J80=0,"",J80)</f>
        <v>Объем вырабатываемой регулируемой организацией тепловой энергии в рамках осуществления регулируемых видов деятельности</v>
      </c>
      <c r="N80" s="1192" t="str">
        <f aca="false">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05" t="s">
        <v>163</v>
      </c>
      <c r="P80" s="1205"/>
      <c r="Q80" s="1205"/>
      <c r="R80" s="1205"/>
      <c r="S80" s="1205"/>
      <c r="T80" s="1189" t="s">
        <v>2313</v>
      </c>
      <c r="U80" s="1189"/>
      <c r="V80" s="1189"/>
      <c r="W80" s="1189"/>
      <c r="X80" s="1189"/>
      <c r="Y80" s="1193"/>
      <c r="Z80" s="1174" t="s">
        <v>2314</v>
      </c>
      <c r="AA80" s="1181"/>
      <c r="AB80" s="1174"/>
      <c r="AC80" s="1174"/>
      <c r="AD80" s="1174"/>
    </row>
    <row r="81" customFormat="false" ht="36" hidden="false" customHeight="true" outlineLevel="0" collapsed="false">
      <c r="A81" s="1191"/>
      <c r="B81" s="1194" t="n">
        <v>64</v>
      </c>
      <c r="C81" s="1189" t="s">
        <v>2291</v>
      </c>
      <c r="D81" s="1202"/>
      <c r="E81" s="1189"/>
      <c r="F81" s="1189"/>
      <c r="G81" s="1189"/>
      <c r="H81" s="1207"/>
      <c r="I81" s="1204" t="str">
        <f aca="false">INDEX(TEMPLATE_NUMBER_POINT_FHD,B81,MATCH(TEMPLATE_SPHERE,TEMPLATE_SPHERE_LIST_FOR_NOTE,0))</f>
        <v>9.1</v>
      </c>
      <c r="J81" s="1204" t="str">
        <f aca="false">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04" t="str">
        <f aca="false">INDEX(TEMPLATE_NOTE_POINT_FHD,B81,MATCH(TEMPLATE_SPHERE,TEMPLATE_SPHERE_LIST_FOR_NOTE,0))</f>
        <v>Информация указывается только едиными теплоснабжающими организациями.</v>
      </c>
      <c r="L81" s="1192" t="str">
        <f aca="false">IF(I81=0,"",I81)</f>
        <v>9.1</v>
      </c>
      <c r="M81" s="1192" t="str">
        <f aca="false">IF(J81=0,"",J81)</f>
        <v>Объем приобретаемой регулируемой организацией тепловой энергии в рамках осуществления регулируемых видов деятельности</v>
      </c>
      <c r="N81" s="1192" t="str">
        <f aca="false">IF(K81=0,"",K81)</f>
        <v>Информация указывается только едиными теплоснабжающими организациями.</v>
      </c>
      <c r="O81" s="1205" t="s">
        <v>2197</v>
      </c>
      <c r="P81" s="1205"/>
      <c r="Q81" s="1205"/>
      <c r="R81" s="1205"/>
      <c r="S81" s="1205"/>
      <c r="T81" s="1189" t="s">
        <v>2315</v>
      </c>
      <c r="U81" s="1189"/>
      <c r="V81" s="1189"/>
      <c r="W81" s="1189"/>
      <c r="X81" s="1189"/>
      <c r="Y81" s="1193"/>
      <c r="Z81" s="1174" t="s">
        <v>2316</v>
      </c>
      <c r="AA81" s="1181"/>
      <c r="AB81" s="1174"/>
      <c r="AC81" s="1174"/>
      <c r="AD81" s="1174"/>
    </row>
    <row r="82" customFormat="false" ht="90" hidden="false" customHeight="true" outlineLevel="0" collapsed="false">
      <c r="A82" s="1191"/>
      <c r="B82" s="1194" t="n">
        <v>65</v>
      </c>
      <c r="C82" s="1189" t="s">
        <v>2300</v>
      </c>
      <c r="D82" s="1202"/>
      <c r="E82" s="1189"/>
      <c r="F82" s="1189"/>
      <c r="G82" s="1189"/>
      <c r="H82" s="1207"/>
      <c r="I82" s="1204" t="str">
        <f aca="false">INDEX(TEMPLATE_NUMBER_POINT_FHD,B82,MATCH(TEMPLATE_SPHERE,TEMPLATE_SPHERE_LIST_FOR_NOTE,0))</f>
        <v>10</v>
      </c>
      <c r="J82" s="1204" t="str">
        <f aca="false">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04" t="str">
        <f aca="false">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92" t="str">
        <f aca="false">IF(I82=0,"",I82)</f>
        <v>10</v>
      </c>
      <c r="M82" s="1192" t="str">
        <f aca="false">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92" t="str">
        <f aca="false">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05" t="s">
        <v>164</v>
      </c>
      <c r="P82" s="1205"/>
      <c r="Q82" s="1205"/>
      <c r="R82" s="1205"/>
      <c r="S82" s="1205"/>
      <c r="T82" s="1189" t="s">
        <v>2317</v>
      </c>
      <c r="U82" s="1189"/>
      <c r="V82" s="1189"/>
      <c r="W82" s="1189"/>
      <c r="X82" s="1189"/>
      <c r="Y82" s="1193"/>
      <c r="Z82" s="1174" t="s">
        <v>2318</v>
      </c>
      <c r="AA82" s="1181"/>
      <c r="AB82" s="1174"/>
      <c r="AC82" s="1174"/>
      <c r="AD82" s="1174"/>
    </row>
    <row r="83" customFormat="false" ht="9" hidden="false" customHeight="true" outlineLevel="0" collapsed="false">
      <c r="A83" s="1191"/>
      <c r="B83" s="1194" t="n">
        <v>66</v>
      </c>
      <c r="C83" s="1189"/>
      <c r="D83" s="1202"/>
      <c r="E83" s="1189"/>
      <c r="F83" s="1189"/>
      <c r="G83" s="1189"/>
      <c r="H83" s="1207"/>
      <c r="I83" s="1204" t="str">
        <f aca="false">INDEX(TEMPLATE_NUMBER_POINT_FHD,B83,MATCH(TEMPLATE_SPHERE,TEMPLATE_SPHERE_LIST_FOR_NOTE,0))</f>
        <v>10.1</v>
      </c>
      <c r="J83" s="1204" t="str">
        <f aca="false">INDEX(TEMPLATE_DATA_POINT_FHD,B83,MATCH(TEMPLATE_SPHERE,TEMPLATE_SPHERE_LIST_FOR_NOTE,0))</f>
        <v>По приборам учёта</v>
      </c>
      <c r="K83" s="1204" t="n">
        <f aca="false">INDEX(TEMPLATE_NOTE_POINT_FHD,B83,MATCH(TEMPLATE_SPHERE,TEMPLATE_SPHERE_LIST_FOR_NOTE,0))</f>
        <v>0</v>
      </c>
      <c r="L83" s="1192" t="str">
        <f aca="false">IF(I83=0,"",I83)</f>
        <v>10.1</v>
      </c>
      <c r="M83" s="1192" t="str">
        <f aca="false">IF(J83=0,"",J83)</f>
        <v>По приборам учёта</v>
      </c>
      <c r="N83" s="1192" t="str">
        <f aca="false">IF(K83=0,"",K83)</f>
        <v/>
      </c>
      <c r="O83" s="1205" t="s">
        <v>2206</v>
      </c>
      <c r="P83" s="1205"/>
      <c r="Q83" s="1205"/>
      <c r="R83" s="1205"/>
      <c r="S83" s="1205"/>
      <c r="T83" s="1189" t="s">
        <v>2319</v>
      </c>
      <c r="U83" s="1189"/>
      <c r="V83" s="1189"/>
      <c r="W83" s="1189"/>
      <c r="X83" s="1189"/>
      <c r="Y83" s="1193"/>
      <c r="Z83" s="1174"/>
      <c r="AA83" s="1181"/>
      <c r="AB83" s="1174"/>
      <c r="AC83" s="1174"/>
      <c r="AD83" s="1174"/>
    </row>
    <row r="84" customFormat="false" ht="54" hidden="false" customHeight="true" outlineLevel="0" collapsed="false">
      <c r="A84" s="1191"/>
      <c r="B84" s="1194" t="n">
        <v>67</v>
      </c>
      <c r="C84" s="1189"/>
      <c r="D84" s="1202"/>
      <c r="E84" s="1189"/>
      <c r="F84" s="1189"/>
      <c r="G84" s="1189"/>
      <c r="H84" s="1207"/>
      <c r="I84" s="1204" t="str">
        <f aca="false">INDEX(TEMPLATE_NUMBER_POINT_FHD,B84,MATCH(TEMPLATE_SPHERE,TEMPLATE_SPHERE_LIST_FOR_NOTE,0))</f>
        <v>10.1.1</v>
      </c>
      <c r="J84" s="1204" t="str">
        <f aca="false">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04" t="n">
        <f aca="false">INDEX(TEMPLATE_NOTE_POINT_FHD,B84,MATCH(TEMPLATE_SPHERE,TEMPLATE_SPHERE_LIST_FOR_NOTE,0))</f>
        <v>0</v>
      </c>
      <c r="L84" s="1192" t="str">
        <f aca="false">IF(I84=0,"",I84)</f>
        <v>10.1.1</v>
      </c>
      <c r="M84" s="1192" t="str">
        <f aca="false">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92" t="str">
        <f aca="false">IF(K84=0,"",K84)</f>
        <v/>
      </c>
      <c r="O84" s="1205" t="s">
        <v>2320</v>
      </c>
      <c r="P84" s="1205"/>
      <c r="Q84" s="1205"/>
      <c r="R84" s="1205"/>
      <c r="S84" s="1205"/>
      <c r="T84" s="1189" t="s">
        <v>2321</v>
      </c>
      <c r="U84" s="1189"/>
      <c r="V84" s="1189"/>
      <c r="W84" s="1189"/>
      <c r="X84" s="1189"/>
      <c r="Y84" s="1193"/>
      <c r="Z84" s="1174"/>
      <c r="AA84" s="1181"/>
      <c r="AB84" s="1174"/>
      <c r="AC84" s="1174"/>
      <c r="AD84" s="1174"/>
    </row>
    <row r="85" customFormat="false" ht="9" hidden="false" customHeight="true" outlineLevel="0" collapsed="false">
      <c r="A85" s="1191"/>
      <c r="B85" s="1194" t="n">
        <v>68</v>
      </c>
      <c r="C85" s="1189"/>
      <c r="D85" s="1202"/>
      <c r="E85" s="1189"/>
      <c r="F85" s="1189"/>
      <c r="G85" s="1189"/>
      <c r="H85" s="1207"/>
      <c r="I85" s="1204" t="str">
        <f aca="false">INDEX(TEMPLATE_NUMBER_POINT_FHD,B85,MATCH(TEMPLATE_SPHERE,TEMPLATE_SPHERE_LIST_FOR_NOTE,0))</f>
        <v>10.2</v>
      </c>
      <c r="J85" s="1204" t="str">
        <f aca="false">INDEX(TEMPLATE_DATA_POINT_FHD,B85,MATCH(TEMPLATE_SPHERE,TEMPLATE_SPHERE_LIST_FOR_NOTE,0))</f>
        <v>Расчётным путём</v>
      </c>
      <c r="K85" s="1204" t="n">
        <f aca="false">INDEX(TEMPLATE_NOTE_POINT_FHD,B85,MATCH(TEMPLATE_SPHERE,TEMPLATE_SPHERE_LIST_FOR_NOTE,0))</f>
        <v>0</v>
      </c>
      <c r="L85" s="1192" t="str">
        <f aca="false">IF(I85=0,"",I85)</f>
        <v>10.2</v>
      </c>
      <c r="M85" s="1192" t="str">
        <f aca="false">IF(J85=0,"",J85)</f>
        <v>Расчётным путём</v>
      </c>
      <c r="N85" s="1192" t="str">
        <f aca="false">IF(K85=0,"",K85)</f>
        <v/>
      </c>
      <c r="O85" s="1205" t="s">
        <v>2210</v>
      </c>
      <c r="P85" s="1205"/>
      <c r="Q85" s="1205"/>
      <c r="R85" s="1205"/>
      <c r="S85" s="1205"/>
      <c r="T85" s="1189" t="s">
        <v>2322</v>
      </c>
      <c r="U85" s="1189"/>
      <c r="V85" s="1189"/>
      <c r="W85" s="1189"/>
      <c r="X85" s="1189"/>
      <c r="Y85" s="1193"/>
      <c r="Z85" s="1174"/>
      <c r="AA85" s="1181"/>
      <c r="AB85" s="1174"/>
      <c r="AC85" s="1174"/>
      <c r="AD85" s="1174"/>
    </row>
    <row r="86" customFormat="false" ht="27" hidden="false" customHeight="true" outlineLevel="0" collapsed="false">
      <c r="A86" s="1191"/>
      <c r="B86" s="1194" t="n">
        <v>69</v>
      </c>
      <c r="C86" s="1189"/>
      <c r="D86" s="1202"/>
      <c r="E86" s="1189"/>
      <c r="F86" s="1189"/>
      <c r="G86" s="1189"/>
      <c r="H86" s="1207"/>
      <c r="I86" s="1204" t="str">
        <f aca="false">INDEX(TEMPLATE_NUMBER_POINT_FHD,B86,MATCH(TEMPLATE_SPHERE,TEMPLATE_SPHERE_LIST_FOR_NOTE,0))</f>
        <v>10.3</v>
      </c>
      <c r="J86" s="1204" t="str">
        <f aca="false">INDEX(TEMPLATE_DATA_POINT_FHD,B86,MATCH(TEMPLATE_SPHERE,TEMPLATE_SPHERE_LIST_FOR_NOTE,0))</f>
        <v>По нормативам потребления коммунальных услуг и нормативам потребления коммунальных ресурсов</v>
      </c>
      <c r="K86" s="1204" t="n">
        <f aca="false">INDEX(TEMPLATE_NOTE_POINT_FHD,B86,MATCH(TEMPLATE_SPHERE,TEMPLATE_SPHERE_LIST_FOR_NOTE,0))</f>
        <v>0</v>
      </c>
      <c r="L86" s="1192" t="str">
        <f aca="false">IF(I86=0,"",I86)</f>
        <v>10.3</v>
      </c>
      <c r="M86" s="1192" t="str">
        <f aca="false">IF(J86=0,"",J86)</f>
        <v>По нормативам потребления коммунальных услуг и нормативам потребления коммунальных ресурсов</v>
      </c>
      <c r="N86" s="1192" t="str">
        <f aca="false">IF(K86=0,"",K86)</f>
        <v/>
      </c>
      <c r="O86" s="1205" t="s">
        <v>2323</v>
      </c>
      <c r="P86" s="1205"/>
      <c r="Q86" s="1205"/>
      <c r="R86" s="1205"/>
      <c r="S86" s="1205"/>
      <c r="T86" s="1189" t="s">
        <v>2324</v>
      </c>
      <c r="U86" s="1189"/>
      <c r="V86" s="1189"/>
      <c r="W86" s="1189"/>
      <c r="X86" s="1189"/>
      <c r="Y86" s="1193"/>
      <c r="Z86" s="1174"/>
      <c r="AA86" s="1181"/>
      <c r="AB86" s="1174"/>
      <c r="AC86" s="1174"/>
      <c r="AD86" s="1174"/>
    </row>
    <row r="87" customFormat="false" ht="36" hidden="false" customHeight="true" outlineLevel="0" collapsed="false">
      <c r="A87" s="1191"/>
      <c r="B87" s="1194" t="n">
        <v>70</v>
      </c>
      <c r="C87" s="1189" t="s">
        <v>2325</v>
      </c>
      <c r="D87" s="1202"/>
      <c r="E87" s="1189"/>
      <c r="F87" s="1189"/>
      <c r="G87" s="1189"/>
      <c r="H87" s="1207"/>
      <c r="I87" s="1204" t="str">
        <f aca="false">INDEX(TEMPLATE_NUMBER_POINT_FHD,B87,MATCH(TEMPLATE_SPHERE,TEMPLATE_SPHERE_LIST_FOR_NOTE,0))</f>
        <v>11</v>
      </c>
      <c r="J87" s="1204" t="str">
        <f aca="false">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04" t="n">
        <f aca="false">INDEX(TEMPLATE_NOTE_POINT_FHD,B87,MATCH(TEMPLATE_SPHERE,TEMPLATE_SPHERE_LIST_FOR_NOTE,0))</f>
        <v>0</v>
      </c>
      <c r="L87" s="1192" t="str">
        <f aca="false">IF(I87=0,"",I87)</f>
        <v>11</v>
      </c>
      <c r="M87" s="1192" t="str">
        <f aca="false">IF(J87=0,"",J87)</f>
        <v>Нормативы технологических потерь при передаче тепловой энергии, теплоносителя по тепловым сетям, утвержденные уполномоченным органом</v>
      </c>
      <c r="N87" s="1192" t="str">
        <f aca="false">IF(K87=0,"",K87)</f>
        <v/>
      </c>
      <c r="O87" s="1205" t="s">
        <v>165</v>
      </c>
      <c r="P87" s="1205"/>
      <c r="Q87" s="1205"/>
      <c r="R87" s="1205"/>
      <c r="S87" s="1205"/>
      <c r="T87" s="1189" t="s">
        <v>2326</v>
      </c>
      <c r="U87" s="1189"/>
      <c r="V87" s="1189"/>
      <c r="W87" s="1189"/>
      <c r="X87" s="1189"/>
      <c r="Y87" s="1193"/>
      <c r="Z87" s="1174"/>
      <c r="AA87" s="1181"/>
      <c r="AB87" s="1174"/>
      <c r="AC87" s="1174"/>
      <c r="AD87" s="1174"/>
    </row>
    <row r="88" customFormat="false" ht="18" hidden="false" customHeight="true" outlineLevel="0" collapsed="false">
      <c r="A88" s="1191"/>
      <c r="B88" s="1194" t="n">
        <v>71</v>
      </c>
      <c r="C88" s="1189" t="s">
        <v>2327</v>
      </c>
      <c r="D88" s="1202"/>
      <c r="E88" s="1189"/>
      <c r="F88" s="1189"/>
      <c r="G88" s="1189"/>
      <c r="H88" s="1207"/>
      <c r="I88" s="1204" t="str">
        <f aca="false">INDEX(TEMPLATE_NUMBER_POINT_FHD,B88,MATCH(TEMPLATE_SPHERE,TEMPLATE_SPHERE_LIST_FOR_NOTE,0))</f>
        <v>12</v>
      </c>
      <c r="J88" s="1204" t="str">
        <f aca="false">INDEX(TEMPLATE_DATA_POINT_FHD,B88,MATCH(TEMPLATE_SPHERE,TEMPLATE_SPHERE_LIST_FOR_NOTE,0))</f>
        <v>Фактический объем потерь при передаче тепловой энергии</v>
      </c>
      <c r="K88" s="1204" t="n">
        <f aca="false">INDEX(TEMPLATE_NOTE_POINT_FHD,B88,MATCH(TEMPLATE_SPHERE,TEMPLATE_SPHERE_LIST_FOR_NOTE,0))</f>
        <v>0</v>
      </c>
      <c r="L88" s="1192" t="str">
        <f aca="false">IF(I88=0,"",I88)</f>
        <v>12</v>
      </c>
      <c r="M88" s="1192" t="str">
        <f aca="false">IF(J88=0,"",J88)</f>
        <v>Фактический объем потерь при передаче тепловой энергии</v>
      </c>
      <c r="N88" s="1192" t="str">
        <f aca="false">IF(K88=0,"",K88)</f>
        <v/>
      </c>
      <c r="O88" s="1205" t="s">
        <v>166</v>
      </c>
      <c r="P88" s="1205"/>
      <c r="Q88" s="1205"/>
      <c r="R88" s="1205"/>
      <c r="S88" s="1205"/>
      <c r="T88" s="1189" t="s">
        <v>697</v>
      </c>
      <c r="U88" s="1189"/>
      <c r="V88" s="1189"/>
      <c r="W88" s="1189"/>
      <c r="X88" s="1189"/>
      <c r="Y88" s="1193"/>
      <c r="Z88" s="1174"/>
      <c r="AA88" s="1181"/>
      <c r="AB88" s="1174"/>
      <c r="AC88" s="1174"/>
      <c r="AD88" s="1174"/>
    </row>
    <row r="89" customFormat="false" ht="18" hidden="false" customHeight="true" outlineLevel="0" collapsed="false">
      <c r="A89" s="1191"/>
      <c r="B89" s="1194" t="n">
        <v>72</v>
      </c>
      <c r="C89" s="1189" t="s">
        <v>2328</v>
      </c>
      <c r="D89" s="1202" t="s">
        <v>2325</v>
      </c>
      <c r="E89" s="1189" t="s">
        <v>2325</v>
      </c>
      <c r="F89" s="1189" t="s">
        <v>2291</v>
      </c>
      <c r="G89" s="1189"/>
      <c r="H89" s="1207"/>
      <c r="I89" s="1204" t="str">
        <f aca="false">INDEX(TEMPLATE_NUMBER_POINT_FHD,B89,MATCH(TEMPLATE_SPHERE,TEMPLATE_SPHERE_LIST_FOR_NOTE,0))</f>
        <v>13</v>
      </c>
      <c r="J89" s="1204" t="str">
        <f aca="false">INDEX(TEMPLATE_DATA_POINT_FHD,B89,MATCH(TEMPLATE_SPHERE,TEMPLATE_SPHERE_LIST_FOR_NOTE,0))</f>
        <v>Среднесписочная численность основного производственного персонала</v>
      </c>
      <c r="K89" s="1204" t="n">
        <f aca="false">INDEX(TEMPLATE_NOTE_POINT_FHD,B89,MATCH(TEMPLATE_SPHERE,TEMPLATE_SPHERE_LIST_FOR_NOTE,0))</f>
        <v>0</v>
      </c>
      <c r="L89" s="1192" t="str">
        <f aca="false">IF(I89=0,"",I89)</f>
        <v>13</v>
      </c>
      <c r="M89" s="1192" t="str">
        <f aca="false">IF(J89=0,"",J89)</f>
        <v>Среднесписочная численность основного производственного персонала</v>
      </c>
      <c r="N89" s="1192" t="str">
        <f aca="false">IF(K89=0,"",K89)</f>
        <v/>
      </c>
      <c r="O89" s="1205" t="s">
        <v>167</v>
      </c>
      <c r="P89" s="1205" t="s">
        <v>166</v>
      </c>
      <c r="Q89" s="1205" t="s">
        <v>166</v>
      </c>
      <c r="R89" s="1205" t="s">
        <v>164</v>
      </c>
      <c r="S89" s="1205"/>
      <c r="T89" s="1189" t="s">
        <v>705</v>
      </c>
      <c r="U89" s="1189" t="s">
        <v>705</v>
      </c>
      <c r="V89" s="1189" t="s">
        <v>705</v>
      </c>
      <c r="W89" s="1189" t="s">
        <v>705</v>
      </c>
      <c r="X89" s="1189"/>
      <c r="Y89" s="1193"/>
      <c r="Z89" s="1174"/>
      <c r="AA89" s="1181"/>
      <c r="AB89" s="1174"/>
      <c r="AC89" s="1174"/>
      <c r="AD89" s="1174"/>
    </row>
    <row r="90" customFormat="false" ht="27" hidden="false" customHeight="true" outlineLevel="0" collapsed="false">
      <c r="A90" s="1191"/>
      <c r="B90" s="1194" t="n">
        <v>73</v>
      </c>
      <c r="C90" s="1189" t="s">
        <v>2329</v>
      </c>
      <c r="D90" s="1202"/>
      <c r="E90" s="1189"/>
      <c r="F90" s="1189"/>
      <c r="G90" s="1189"/>
      <c r="H90" s="1207"/>
      <c r="I90" s="1204" t="str">
        <f aca="false">INDEX(TEMPLATE_NUMBER_POINT_FHD,B90,MATCH(TEMPLATE_SPHERE,TEMPLATE_SPHERE_LIST_FOR_NOTE,0))</f>
        <v>14</v>
      </c>
      <c r="J90" s="1204" t="str">
        <f aca="false">INDEX(TEMPLATE_DATA_POINT_FHD,B90,MATCH(TEMPLATE_SPHERE,TEMPLATE_SPHERE_LIST_FOR_NOTE,0))</f>
        <v>Среднесписочная численность административно-управленческого персонала</v>
      </c>
      <c r="K90" s="1204" t="n">
        <f aca="false">INDEX(TEMPLATE_NOTE_POINT_FHD,B90,MATCH(TEMPLATE_SPHERE,TEMPLATE_SPHERE_LIST_FOR_NOTE,0))</f>
        <v>0</v>
      </c>
      <c r="L90" s="1192" t="str">
        <f aca="false">IF(I90=0,"",I90)</f>
        <v>14</v>
      </c>
      <c r="M90" s="1192" t="str">
        <f aca="false">IF(J90=0,"",J90)</f>
        <v>Среднесписочная численность административно-управленческого персонала</v>
      </c>
      <c r="N90" s="1192" t="str">
        <f aca="false">IF(K90=0,"",K90)</f>
        <v/>
      </c>
      <c r="O90" s="1205" t="s">
        <v>168</v>
      </c>
      <c r="P90" s="1205"/>
      <c r="Q90" s="1205"/>
      <c r="R90" s="1205"/>
      <c r="S90" s="1205"/>
      <c r="T90" s="1189" t="s">
        <v>707</v>
      </c>
      <c r="U90" s="1189"/>
      <c r="V90" s="1189"/>
      <c r="W90" s="1189"/>
      <c r="X90" s="1189"/>
      <c r="Y90" s="1193"/>
      <c r="Z90" s="1174"/>
      <c r="AA90" s="1181"/>
      <c r="AB90" s="1174"/>
      <c r="AC90" s="1174"/>
      <c r="AD90" s="1174"/>
    </row>
    <row r="91" customFormat="false" ht="18" hidden="false" customHeight="true" outlineLevel="0" collapsed="false">
      <c r="A91" s="1191"/>
      <c r="B91" s="1194" t="n">
        <v>74</v>
      </c>
      <c r="C91" s="1189"/>
      <c r="D91" s="1202" t="s">
        <v>2327</v>
      </c>
      <c r="E91" s="1189" t="s">
        <v>2327</v>
      </c>
      <c r="F91" s="1189"/>
      <c r="G91" s="1189"/>
      <c r="H91" s="1207"/>
      <c r="I91" s="1204" t="n">
        <f aca="false">INDEX(TEMPLATE_NUMBER_POINT_FHD,B91,MATCH(TEMPLATE_SPHERE,TEMPLATE_SPHERE_LIST_FOR_NOTE,0))</f>
        <v>0</v>
      </c>
      <c r="J91" s="1204" t="n">
        <f aca="false">INDEX(TEMPLATE_DATA_POINT_FHD,B91,MATCH(TEMPLATE_SPHERE,TEMPLATE_SPHERE_LIST_FOR_NOTE,0))</f>
        <v>0</v>
      </c>
      <c r="K91" s="1204" t="n">
        <f aca="false">INDEX(TEMPLATE_NOTE_POINT_FHD,B91,MATCH(TEMPLATE_SPHERE,TEMPLATE_SPHERE_LIST_FOR_NOTE,0))</f>
        <v>0</v>
      </c>
      <c r="L91" s="1192" t="str">
        <f aca="false">IF(I91=0,"",I91)</f>
        <v/>
      </c>
      <c r="M91" s="1192" t="str">
        <f aca="false">IF(J91=0,"",J91)</f>
        <v/>
      </c>
      <c r="N91" s="1192" t="str">
        <f aca="false">IF(K91=0,"",K91)</f>
        <v/>
      </c>
      <c r="O91" s="1205"/>
      <c r="P91" s="1205" t="s">
        <v>167</v>
      </c>
      <c r="Q91" s="1205" t="s">
        <v>167</v>
      </c>
      <c r="R91" s="1205"/>
      <c r="S91" s="1205"/>
      <c r="T91" s="1189"/>
      <c r="U91" s="1189" t="s">
        <v>2330</v>
      </c>
      <c r="V91" s="1189" t="s">
        <v>2330</v>
      </c>
      <c r="W91" s="1189"/>
      <c r="X91" s="1189"/>
      <c r="Y91" s="1193"/>
      <c r="Z91" s="1174"/>
      <c r="AA91" s="1181"/>
      <c r="AB91" s="1174"/>
      <c r="AC91" s="1174"/>
      <c r="AD91" s="1174"/>
    </row>
    <row r="92" customFormat="false" ht="27" hidden="false" customHeight="true" outlineLevel="0" collapsed="false">
      <c r="A92" s="1191"/>
      <c r="B92" s="1194" t="n">
        <v>75</v>
      </c>
      <c r="C92" s="1189"/>
      <c r="D92" s="1202" t="s">
        <v>2328</v>
      </c>
      <c r="E92" s="1189"/>
      <c r="F92" s="1189"/>
      <c r="G92" s="1189"/>
      <c r="H92" s="1207"/>
      <c r="I92" s="1204" t="n">
        <f aca="false">INDEX(TEMPLATE_NUMBER_POINT_FHD,B92,MATCH(TEMPLATE_SPHERE,TEMPLATE_SPHERE_LIST_FOR_NOTE,0))</f>
        <v>0</v>
      </c>
      <c r="J92" s="1204" t="n">
        <f aca="false">INDEX(TEMPLATE_DATA_POINT_FHD,B92,MATCH(TEMPLATE_SPHERE,TEMPLATE_SPHERE_LIST_FOR_NOTE,0))</f>
        <v>0</v>
      </c>
      <c r="K92" s="1204" t="n">
        <f aca="false">INDEX(TEMPLATE_NOTE_POINT_FHD,B92,MATCH(TEMPLATE_SPHERE,TEMPLATE_SPHERE_LIST_FOR_NOTE,0))</f>
        <v>0</v>
      </c>
      <c r="L92" s="1192" t="str">
        <f aca="false">IF(I92=0,"",I92)</f>
        <v/>
      </c>
      <c r="M92" s="1192" t="str">
        <f aca="false">IF(J92=0,"",J92)</f>
        <v/>
      </c>
      <c r="N92" s="1192" t="str">
        <f aca="false">IF(K92=0,"",K92)</f>
        <v/>
      </c>
      <c r="O92" s="1205"/>
      <c r="P92" s="1205" t="s">
        <v>168</v>
      </c>
      <c r="Q92" s="1205"/>
      <c r="R92" s="1205"/>
      <c r="S92" s="1205"/>
      <c r="T92" s="1189"/>
      <c r="U92" s="1189" t="s">
        <v>2331</v>
      </c>
      <c r="V92" s="1189"/>
      <c r="W92" s="1189"/>
      <c r="X92" s="1189"/>
      <c r="Y92" s="1193"/>
      <c r="Z92" s="1174"/>
      <c r="AA92" s="1181" t="s">
        <v>2332</v>
      </c>
      <c r="AB92" s="1174"/>
      <c r="AC92" s="1174"/>
      <c r="AD92" s="1174"/>
    </row>
    <row r="93" customFormat="false" ht="27" hidden="false" customHeight="true" outlineLevel="0" collapsed="false">
      <c r="A93" s="1191"/>
      <c r="B93" s="1194" t="n">
        <v>76</v>
      </c>
      <c r="C93" s="1189"/>
      <c r="D93" s="1202"/>
      <c r="E93" s="1189"/>
      <c r="F93" s="1189"/>
      <c r="G93" s="1189"/>
      <c r="H93" s="1207"/>
      <c r="I93" s="1204" t="n">
        <f aca="false">INDEX(TEMPLATE_NUMBER_POINT_FHD,B93,MATCH(TEMPLATE_SPHERE,TEMPLATE_SPHERE_LIST_FOR_NOTE,0))</f>
        <v>0</v>
      </c>
      <c r="J93" s="1204" t="n">
        <f aca="false">INDEX(TEMPLATE_DATA_POINT_FHD,B93,MATCH(TEMPLATE_SPHERE,TEMPLATE_SPHERE_LIST_FOR_NOTE,0))</f>
        <v>0</v>
      </c>
      <c r="K93" s="1204" t="n">
        <f aca="false">INDEX(TEMPLATE_NOTE_POINT_FHD,B93,MATCH(TEMPLATE_SPHERE,TEMPLATE_SPHERE_LIST_FOR_NOTE,0))</f>
        <v>0</v>
      </c>
      <c r="L93" s="1192" t="str">
        <f aca="false">IF(I93=0,"",I93)</f>
        <v/>
      </c>
      <c r="M93" s="1192" t="str">
        <f aca="false">IF(J93=0,"",J93)</f>
        <v/>
      </c>
      <c r="N93" s="1192" t="str">
        <f aca="false">IF(K93=0,"",K93)</f>
        <v/>
      </c>
      <c r="O93" s="1205"/>
      <c r="P93" s="1205" t="s">
        <v>2238</v>
      </c>
      <c r="Q93" s="1205"/>
      <c r="R93" s="1205"/>
      <c r="S93" s="1205"/>
      <c r="T93" s="1189"/>
      <c r="U93" s="1189" t="s">
        <v>2333</v>
      </c>
      <c r="V93" s="1189"/>
      <c r="W93" s="1189"/>
      <c r="X93" s="1189"/>
      <c r="Y93" s="1193"/>
      <c r="Z93" s="1174"/>
      <c r="AA93" s="1181" t="s">
        <v>2334</v>
      </c>
      <c r="AB93" s="1174"/>
      <c r="AC93" s="1174"/>
      <c r="AD93" s="1174"/>
    </row>
    <row r="94" customFormat="false" ht="45" hidden="false" customHeight="true" outlineLevel="0" collapsed="false">
      <c r="A94" s="1191"/>
      <c r="B94" s="1194" t="n">
        <v>77</v>
      </c>
      <c r="C94" s="1189"/>
      <c r="D94" s="1202" t="s">
        <v>2329</v>
      </c>
      <c r="E94" s="1189"/>
      <c r="F94" s="1189"/>
      <c r="G94" s="1189"/>
      <c r="H94" s="1207"/>
      <c r="I94" s="1204" t="n">
        <f aca="false">INDEX(TEMPLATE_NUMBER_POINT_FHD,B94,MATCH(TEMPLATE_SPHERE,TEMPLATE_SPHERE_LIST_FOR_NOTE,0))</f>
        <v>0</v>
      </c>
      <c r="J94" s="1204" t="n">
        <f aca="false">INDEX(TEMPLATE_DATA_POINT_FHD,B94,MATCH(TEMPLATE_SPHERE,TEMPLATE_SPHERE_LIST_FOR_NOTE,0))</f>
        <v>0</v>
      </c>
      <c r="K94" s="1204" t="n">
        <f aca="false">INDEX(TEMPLATE_NOTE_POINT_FHD,B94,MATCH(TEMPLATE_SPHERE,TEMPLATE_SPHERE_LIST_FOR_NOTE,0))</f>
        <v>0</v>
      </c>
      <c r="L94" s="1192" t="str">
        <f aca="false">IF(I94=0,"",I94)</f>
        <v/>
      </c>
      <c r="M94" s="1192" t="str">
        <f aca="false">IF(J94=0,"",J94)</f>
        <v/>
      </c>
      <c r="N94" s="1192" t="str">
        <f aca="false">IF(K94=0,"",K94)</f>
        <v/>
      </c>
      <c r="O94" s="1205"/>
      <c r="P94" s="1205" t="s">
        <v>1094</v>
      </c>
      <c r="Q94" s="1205"/>
      <c r="R94" s="1205"/>
      <c r="S94" s="1205"/>
      <c r="T94" s="1189"/>
      <c r="U94" s="1189" t="s">
        <v>2335</v>
      </c>
      <c r="V94" s="1189"/>
      <c r="W94" s="1189"/>
      <c r="X94" s="1189"/>
      <c r="Y94" s="1193"/>
      <c r="Z94" s="1174"/>
      <c r="AA94" s="1181" t="s">
        <v>2336</v>
      </c>
      <c r="AB94" s="1174"/>
      <c r="AC94" s="1174"/>
      <c r="AD94" s="1174"/>
    </row>
    <row r="95" customFormat="false" ht="99" hidden="false" customHeight="true" outlineLevel="0" collapsed="false">
      <c r="A95" s="1191"/>
      <c r="B95" s="1194" t="n">
        <v>78</v>
      </c>
      <c r="C95" s="1189" t="s">
        <v>2337</v>
      </c>
      <c r="D95" s="1202"/>
      <c r="E95" s="1189"/>
      <c r="F95" s="1189"/>
      <c r="G95" s="1189"/>
      <c r="H95" s="1207"/>
      <c r="I95" s="1204" t="str">
        <f aca="false">INDEX(TEMPLATE_NUMBER_POINT_FHD,B95,MATCH(TEMPLATE_SPHERE,TEMPLATE_SPHERE_LIST_FOR_NOTE,0))</f>
        <v>15</v>
      </c>
      <c r="J95" s="1204" t="str">
        <f aca="false">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04" t="n">
        <f aca="false">INDEX(TEMPLATE_NOTE_POINT_FHD,B95,MATCH(TEMPLATE_SPHERE,TEMPLATE_SPHERE_LIST_FOR_NOTE,0))</f>
        <v>0</v>
      </c>
      <c r="L95" s="1192" t="str">
        <f aca="false">IF(I95=0,"",I95)</f>
        <v>15</v>
      </c>
      <c r="M95" s="1192" t="str">
        <f aca="false">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92" t="str">
        <f aca="false">IF(K95=0,"",K95)</f>
        <v/>
      </c>
      <c r="O95" s="1205" t="s">
        <v>1094</v>
      </c>
      <c r="P95" s="1205"/>
      <c r="Q95" s="1205"/>
      <c r="R95" s="1205"/>
      <c r="S95" s="1205"/>
      <c r="T95" s="1189" t="s">
        <v>2338</v>
      </c>
      <c r="U95" s="1189"/>
      <c r="V95" s="1189"/>
      <c r="W95" s="1189"/>
      <c r="X95" s="1189"/>
      <c r="Y95" s="1193"/>
      <c r="Z95" s="1174"/>
      <c r="AA95" s="1181"/>
      <c r="AB95" s="1174"/>
      <c r="AC95" s="1174"/>
      <c r="AD95" s="1174"/>
    </row>
    <row r="96" customFormat="false" ht="99" hidden="false" customHeight="true" outlineLevel="0" collapsed="false">
      <c r="A96" s="1191"/>
      <c r="B96" s="1194" t="n">
        <v>79</v>
      </c>
      <c r="C96" s="1189" t="s">
        <v>1319</v>
      </c>
      <c r="D96" s="1202"/>
      <c r="E96" s="1189"/>
      <c r="F96" s="1189"/>
      <c r="G96" s="1189"/>
      <c r="H96" s="1207"/>
      <c r="I96" s="1204" t="str">
        <f aca="false">INDEX(TEMPLATE_NUMBER_POINT_FHD,B96,MATCH(TEMPLATE_SPHERE,TEMPLATE_SPHERE_LIST_FOR_NOTE,0))</f>
        <v>16</v>
      </c>
      <c r="J96" s="1204" t="str">
        <f aca="false">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04" t="str">
        <f aca="false">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92" t="str">
        <f aca="false">IF(I96=0,"",I96)</f>
        <v>16</v>
      </c>
      <c r="M96" s="1192" t="str">
        <f aca="false">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92" t="str">
        <f aca="false">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05" t="s">
        <v>1100</v>
      </c>
      <c r="P96" s="1205"/>
      <c r="Q96" s="1205"/>
      <c r="R96" s="1205"/>
      <c r="S96" s="1205"/>
      <c r="T96" s="1189" t="s">
        <v>2339</v>
      </c>
      <c r="U96" s="1189"/>
      <c r="V96" s="1189"/>
      <c r="W96" s="1189"/>
      <c r="X96" s="1189"/>
      <c r="Y96" s="1193"/>
      <c r="Z96" s="1174" t="s">
        <v>2340</v>
      </c>
      <c r="AA96" s="1181"/>
      <c r="AB96" s="1174"/>
      <c r="AC96" s="1174"/>
      <c r="AD96" s="1174"/>
    </row>
    <row r="97" customFormat="false" ht="63" hidden="false" customHeight="true" outlineLevel="0" collapsed="false">
      <c r="A97" s="1191"/>
      <c r="B97" s="1194" t="n">
        <v>80</v>
      </c>
      <c r="C97" s="1189" t="s">
        <v>2341</v>
      </c>
      <c r="D97" s="1202"/>
      <c r="E97" s="1189"/>
      <c r="F97" s="1189"/>
      <c r="G97" s="1189"/>
      <c r="H97" s="1207"/>
      <c r="I97" s="1204" t="str">
        <f aca="false">INDEX(TEMPLATE_NUMBER_POINT_FHD,B97,MATCH(TEMPLATE_SPHERE,TEMPLATE_SPHERE_LIST_FOR_NOTE,0))</f>
        <v>17</v>
      </c>
      <c r="J97" s="1204" t="str">
        <f aca="false">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04" t="str">
        <f aca="false">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92" t="str">
        <f aca="false">IF(I97=0,"",I97)</f>
        <v>17</v>
      </c>
      <c r="M97" s="1192" t="str">
        <f aca="false">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92" t="str">
        <f aca="false">IF(K97=0,"",K97)</f>
        <v>Регулируемыми организациями указывается информация с по договорам, заключенным в рамках осуществления регулируемой деятельности.</v>
      </c>
      <c r="O97" s="1205" t="s">
        <v>1102</v>
      </c>
      <c r="P97" s="1205"/>
      <c r="Q97" s="1205"/>
      <c r="R97" s="1205"/>
      <c r="S97" s="1205"/>
      <c r="T97" s="1189" t="s">
        <v>2342</v>
      </c>
      <c r="U97" s="1189"/>
      <c r="V97" s="1189"/>
      <c r="W97" s="1189"/>
      <c r="X97" s="1189"/>
      <c r="Y97" s="1193"/>
      <c r="Z97" s="1174" t="s">
        <v>2343</v>
      </c>
      <c r="AA97" s="1181"/>
      <c r="AB97" s="1174"/>
      <c r="AC97" s="1174"/>
      <c r="AD97" s="1174"/>
    </row>
    <row r="98" customFormat="false" ht="63" hidden="false" customHeight="true" outlineLevel="0" collapsed="false">
      <c r="A98" s="1191"/>
      <c r="B98" s="1194" t="n">
        <v>81</v>
      </c>
      <c r="C98" s="1189" t="s">
        <v>2344</v>
      </c>
      <c r="D98" s="1202"/>
      <c r="E98" s="1189"/>
      <c r="F98" s="1189"/>
      <c r="G98" s="1189"/>
      <c r="H98" s="1207"/>
      <c r="I98" s="1204" t="str">
        <f aca="false">INDEX(TEMPLATE_NUMBER_POINT_FHD,B98,MATCH(TEMPLATE_SPHERE,TEMPLATE_SPHERE_LIST_FOR_NOTE,0))</f>
        <v>18</v>
      </c>
      <c r="J98" s="1204" t="str">
        <f aca="false">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04" t="str">
        <f aca="false">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92" t="str">
        <f aca="false">IF(I98=0,"",I98)</f>
        <v>18</v>
      </c>
      <c r="M98" s="1192" t="str">
        <f aca="false">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92" t="str">
        <f aca="false">IF(K98=0,"",K98)</f>
        <v>Регулируемыми организациями указывается информация с по договорам, заключенным в рамках осуществления регулируемой деятельности.</v>
      </c>
      <c r="O98" s="1205" t="s">
        <v>1111</v>
      </c>
      <c r="P98" s="1205"/>
      <c r="Q98" s="1205"/>
      <c r="R98" s="1205"/>
      <c r="S98" s="1205"/>
      <c r="T98" s="1189" t="s">
        <v>2345</v>
      </c>
      <c r="U98" s="1189"/>
      <c r="V98" s="1189"/>
      <c r="W98" s="1189"/>
      <c r="X98" s="1189"/>
      <c r="Y98" s="1193"/>
      <c r="Z98" s="1174" t="s">
        <v>2343</v>
      </c>
      <c r="AA98" s="1181"/>
      <c r="AB98" s="1174"/>
      <c r="AC98" s="1174"/>
      <c r="AD98" s="1174"/>
    </row>
    <row r="99" customFormat="false" ht="90" hidden="false" customHeight="true" outlineLevel="0" collapsed="false">
      <c r="A99" s="1191"/>
      <c r="B99" s="1194" t="n">
        <v>82</v>
      </c>
      <c r="C99" s="1189" t="s">
        <v>2346</v>
      </c>
      <c r="D99" s="1202"/>
      <c r="E99" s="1189"/>
      <c r="F99" s="1189"/>
      <c r="G99" s="1189"/>
      <c r="H99" s="1207"/>
      <c r="I99" s="1204" t="str">
        <f aca="false">INDEX(TEMPLATE_NUMBER_POINT_FHD,B99,MATCH(TEMPLATE_SPHERE,TEMPLATE_SPHERE_LIST_FOR_NOTE,0))</f>
        <v>19</v>
      </c>
      <c r="J99" s="1204" t="str">
        <f aca="false">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04" t="str">
        <f aca="false">INDEX(TEMPLATE_NOTE_POINT_FHD,B99,MATCH(TEMPLATE_SPHERE,TEMPLATE_SPHERE_LIST_FOR_NOTE,0))</f>
        <v>Указывается ссылка на документ, предварительно загруженный в хранилище файлов ФГИС ЕИАС.</v>
      </c>
      <c r="L99" s="1192" t="str">
        <f aca="false">IF(I99=0,"",I99)</f>
        <v>19</v>
      </c>
      <c r="M99" s="1192" t="str">
        <f aca="false">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92" t="str">
        <f aca="false">IF(K99=0,"",K99)</f>
        <v>Указывается ссылка на документ, предварительно загруженный в хранилище файлов ФГИС ЕИАС.</v>
      </c>
      <c r="O99" s="1205" t="s">
        <v>1114</v>
      </c>
      <c r="P99" s="1205"/>
      <c r="Q99" s="1205"/>
      <c r="R99" s="1205"/>
      <c r="S99" s="1205"/>
      <c r="T99" s="1189" t="s">
        <v>2347</v>
      </c>
      <c r="U99" s="1189"/>
      <c r="V99" s="1189"/>
      <c r="W99" s="1189"/>
      <c r="X99" s="1189"/>
      <c r="Y99" s="1193"/>
      <c r="Z99" s="1174" t="s">
        <v>662</v>
      </c>
      <c r="AA99" s="1181"/>
      <c r="AB99" s="1174"/>
      <c r="AC99" s="1174"/>
      <c r="AD99" s="1174"/>
    </row>
    <row r="100" customFormat="false" ht="27" hidden="false" customHeight="true" outlineLevel="0" collapsed="false">
      <c r="A100" s="1191"/>
      <c r="B100" s="1194" t="n">
        <v>83</v>
      </c>
      <c r="C100" s="1189"/>
      <c r="D100" s="1202"/>
      <c r="E100" s="1189"/>
      <c r="F100" s="1189"/>
      <c r="G100" s="1189"/>
      <c r="H100" s="1207"/>
      <c r="I100" s="1204" t="str">
        <f aca="false">INDEX(TEMPLATE_NUMBER_POINT_FHD,B100,MATCH(TEMPLATE_SPHERE,TEMPLATE_SPHERE_LIST_FOR_NOTE,0))</f>
        <v>19.1</v>
      </c>
      <c r="J100" s="1204" t="str">
        <f aca="false">INDEX(TEMPLATE_DATA_POINT_FHD,B100,MATCH(TEMPLATE_SPHERE,TEMPLATE_SPHERE_LIST_FOR_NOTE,0))</f>
        <v>Информация о показателях физического износа объектов теплоснабжения</v>
      </c>
      <c r="K100" s="1204" t="str">
        <f aca="false">INDEX(TEMPLATE_NOTE_POINT_FHD,B100,MATCH(TEMPLATE_SPHERE,TEMPLATE_SPHERE_LIST_FOR_NOTE,0))</f>
        <v>Указывается ссылка на документ, предварительно загруженный в хранилище файлов ФГИС ЕИАС.</v>
      </c>
      <c r="L100" s="1192" t="str">
        <f aca="false">IF(I100=0,"",I100)</f>
        <v>19.1</v>
      </c>
      <c r="M100" s="1192" t="str">
        <f aca="false">IF(J100=0,"",J100)</f>
        <v>Информация о показателях физического износа объектов теплоснабжения</v>
      </c>
      <c r="N100" s="1192" t="str">
        <f aca="false">IF(K100=0,"",K100)</f>
        <v>Указывается ссылка на документ, предварительно загруженный в хранилище файлов ФГИС ЕИАС.</v>
      </c>
      <c r="O100" s="1205" t="s">
        <v>2348</v>
      </c>
      <c r="P100" s="1205"/>
      <c r="Q100" s="1205"/>
      <c r="R100" s="1205"/>
      <c r="S100" s="1205"/>
      <c r="T100" s="1189" t="s">
        <v>2349</v>
      </c>
      <c r="U100" s="1189"/>
      <c r="V100" s="1189"/>
      <c r="W100" s="1189"/>
      <c r="X100" s="1189"/>
      <c r="Y100" s="1193"/>
      <c r="Z100" s="1174" t="s">
        <v>662</v>
      </c>
      <c r="AA100" s="1181"/>
      <c r="AB100" s="1174"/>
      <c r="AC100" s="1174"/>
      <c r="AD100" s="1174"/>
    </row>
    <row r="101" customFormat="false" ht="27" hidden="false" customHeight="true" outlineLevel="0" collapsed="false">
      <c r="A101" s="1191"/>
      <c r="B101" s="1194" t="n">
        <v>84</v>
      </c>
      <c r="C101" s="1189"/>
      <c r="D101" s="1202"/>
      <c r="E101" s="1189"/>
      <c r="F101" s="1189"/>
      <c r="G101" s="1189"/>
      <c r="H101" s="1207"/>
      <c r="I101" s="1204" t="str">
        <f aca="false">INDEX(TEMPLATE_NUMBER_POINT_FHD,B101,MATCH(TEMPLATE_SPHERE,TEMPLATE_SPHERE_LIST_FOR_NOTE,0))</f>
        <v>19.2</v>
      </c>
      <c r="J101" s="1204" t="str">
        <f aca="false">INDEX(TEMPLATE_DATA_POINT_FHD,B101,MATCH(TEMPLATE_SPHERE,TEMPLATE_SPHERE_LIST_FOR_NOTE,0))</f>
        <v>Информация о показателях энергетической эффективности объектов теплоснабжения</v>
      </c>
      <c r="K101" s="1204" t="str">
        <f aca="false">INDEX(TEMPLATE_NOTE_POINT_FHD,B101,MATCH(TEMPLATE_SPHERE,TEMPLATE_SPHERE_LIST_FOR_NOTE,0))</f>
        <v>Указывается ссылка на документ, предварительно загруженный в хранилище файлов ФГИС ЕИАС.</v>
      </c>
      <c r="L101" s="1192" t="str">
        <f aca="false">IF(I101=0,"",I101)</f>
        <v>19.2</v>
      </c>
      <c r="M101" s="1192" t="str">
        <f aca="false">IF(J101=0,"",J101)</f>
        <v>Информация о показателях энергетической эффективности объектов теплоснабжения</v>
      </c>
      <c r="N101" s="1192" t="str">
        <f aca="false">IF(K101=0,"",K101)</f>
        <v>Указывается ссылка на документ, предварительно загруженный в хранилище файлов ФГИС ЕИАС.</v>
      </c>
      <c r="O101" s="1205" t="s">
        <v>2350</v>
      </c>
      <c r="P101" s="1205"/>
      <c r="Q101" s="1205"/>
      <c r="R101" s="1205"/>
      <c r="S101" s="1205"/>
      <c r="T101" s="1189" t="s">
        <v>2351</v>
      </c>
      <c r="U101" s="1189"/>
      <c r="V101" s="1189"/>
      <c r="W101" s="1189"/>
      <c r="X101" s="1189"/>
      <c r="Y101" s="1193"/>
      <c r="Z101" s="1174" t="s">
        <v>662</v>
      </c>
      <c r="AA101" s="1181"/>
      <c r="AB101" s="1174"/>
      <c r="AC101" s="1174"/>
      <c r="AD101" s="1174"/>
    </row>
    <row r="102" customFormat="false" ht="9" hidden="false" customHeight="true" outlineLevel="0" collapsed="false">
      <c r="A102" s="1191"/>
      <c r="B102" s="1191"/>
      <c r="C102" s="1189"/>
      <c r="D102" s="1189"/>
      <c r="E102" s="1189"/>
      <c r="F102" s="1189"/>
      <c r="G102" s="1189"/>
      <c r="H102" s="1207"/>
      <c r="I102" s="1207"/>
      <c r="J102" s="1207"/>
      <c r="K102" s="1207"/>
      <c r="L102" s="1207"/>
      <c r="M102" s="1189"/>
      <c r="N102" s="1212"/>
      <c r="O102" s="1205"/>
      <c r="P102" s="1205"/>
      <c r="Q102" s="1205"/>
      <c r="R102" s="1205"/>
      <c r="S102" s="1189"/>
      <c r="T102" s="1189"/>
      <c r="U102" s="1189"/>
      <c r="V102" s="1189"/>
      <c r="W102" s="1189"/>
      <c r="X102" s="1189"/>
      <c r="Y102" s="1193"/>
      <c r="Z102" s="1174"/>
      <c r="AA102" s="1181"/>
      <c r="AB102" s="1174"/>
      <c r="AC102" s="1174"/>
      <c r="AD102" s="1174"/>
    </row>
    <row r="103" customFormat="false" ht="9" hidden="false" customHeight="true" outlineLevel="0" collapsed="false">
      <c r="A103" s="1191"/>
      <c r="B103" s="1191"/>
      <c r="C103" s="1189"/>
      <c r="D103" s="1189"/>
      <c r="E103" s="1189"/>
      <c r="F103" s="1189"/>
      <c r="G103" s="1189"/>
      <c r="H103" s="1207"/>
      <c r="I103" s="1207"/>
      <c r="J103" s="1207"/>
      <c r="K103" s="1207"/>
      <c r="L103" s="1207"/>
      <c r="M103" s="1189"/>
      <c r="N103" s="1212"/>
      <c r="O103" s="1205"/>
      <c r="P103" s="1205"/>
      <c r="Q103" s="1205"/>
      <c r="R103" s="1205"/>
      <c r="S103" s="1189"/>
      <c r="T103" s="1189"/>
      <c r="U103" s="1189"/>
      <c r="V103" s="1189"/>
      <c r="W103" s="1189"/>
      <c r="X103" s="1189"/>
      <c r="Y103" s="1193"/>
      <c r="Z103" s="1174"/>
      <c r="AA103" s="1181"/>
      <c r="AB103" s="1174"/>
      <c r="AC103" s="1174"/>
      <c r="AD103" s="1174"/>
    </row>
    <row r="104" customFormat="false" ht="9" hidden="false" customHeight="true" outlineLevel="0" collapsed="false">
      <c r="A104" s="1191"/>
      <c r="B104" s="1191"/>
      <c r="C104" s="1189"/>
      <c r="D104" s="1189"/>
      <c r="E104" s="1189"/>
      <c r="F104" s="1189"/>
      <c r="G104" s="1189"/>
      <c r="H104" s="1207"/>
      <c r="I104" s="1207"/>
      <c r="J104" s="1207"/>
      <c r="K104" s="1207"/>
      <c r="L104" s="1207"/>
      <c r="M104" s="1189"/>
      <c r="N104" s="1212"/>
      <c r="O104" s="1205"/>
      <c r="P104" s="1205"/>
      <c r="Q104" s="1205"/>
      <c r="R104" s="1205"/>
      <c r="S104" s="1189"/>
      <c r="T104" s="1189"/>
      <c r="U104" s="1189"/>
      <c r="V104" s="1189"/>
      <c r="W104" s="1189"/>
      <c r="X104" s="1189"/>
      <c r="Y104" s="1193"/>
      <c r="Z104" s="1174"/>
      <c r="AA104" s="1181"/>
      <c r="AB104" s="1174"/>
      <c r="AC104" s="1174"/>
      <c r="AD104" s="1174"/>
    </row>
    <row r="105" customFormat="false" ht="9" hidden="false" customHeight="true" outlineLevel="0" collapsed="false">
      <c r="A105" s="1191"/>
      <c r="B105" s="1191"/>
      <c r="C105" s="1189"/>
      <c r="D105" s="1189"/>
      <c r="E105" s="1189"/>
      <c r="F105" s="1189"/>
      <c r="G105" s="1189"/>
      <c r="H105" s="1207"/>
      <c r="I105" s="1207"/>
      <c r="J105" s="1207"/>
      <c r="K105" s="1207"/>
      <c r="L105" s="1207"/>
      <c r="M105" s="1189"/>
      <c r="N105" s="1212"/>
      <c r="O105" s="1205"/>
      <c r="P105" s="1205"/>
      <c r="Q105" s="1205"/>
      <c r="R105" s="1205"/>
      <c r="S105" s="1189"/>
      <c r="T105" s="1189"/>
      <c r="U105" s="1189"/>
      <c r="V105" s="1189"/>
      <c r="W105" s="1189"/>
      <c r="X105" s="1189"/>
      <c r="Y105" s="1193"/>
      <c r="Z105" s="1174"/>
      <c r="AA105" s="1181"/>
      <c r="AB105" s="1174"/>
      <c r="AC105" s="1174"/>
      <c r="AD105" s="1174"/>
    </row>
    <row r="106" customFormat="false" ht="9" hidden="false" customHeight="true" outlineLevel="0" collapsed="false">
      <c r="A106" s="1191"/>
      <c r="B106" s="1191"/>
      <c r="C106" s="1189"/>
      <c r="D106" s="1189"/>
      <c r="E106" s="1189"/>
      <c r="F106" s="1189"/>
      <c r="G106" s="1189"/>
      <c r="H106" s="1207"/>
      <c r="I106" s="1207"/>
      <c r="J106" s="1207"/>
      <c r="K106" s="1207"/>
      <c r="L106" s="1207"/>
      <c r="M106" s="1189"/>
      <c r="N106" s="1212"/>
      <c r="O106" s="1205"/>
      <c r="P106" s="1205"/>
      <c r="Q106" s="1205"/>
      <c r="R106" s="1205"/>
      <c r="S106" s="1189"/>
      <c r="T106" s="1189"/>
      <c r="U106" s="1189"/>
      <c r="V106" s="1189"/>
      <c r="W106" s="1189"/>
      <c r="X106" s="1189"/>
      <c r="Y106" s="1193"/>
      <c r="Z106" s="1174"/>
      <c r="AA106" s="1181"/>
      <c r="AB106" s="1174"/>
      <c r="AC106" s="1174"/>
      <c r="AD106" s="1174"/>
    </row>
    <row r="107" customFormat="false" ht="9" hidden="false" customHeight="true" outlineLevel="0" collapsed="false">
      <c r="A107" s="1191"/>
      <c r="B107" s="1191"/>
      <c r="C107" s="1189"/>
      <c r="D107" s="1189"/>
      <c r="E107" s="1189"/>
      <c r="F107" s="1189"/>
      <c r="G107" s="1189"/>
      <c r="H107" s="1207"/>
      <c r="I107" s="1207"/>
      <c r="J107" s="1207"/>
      <c r="K107" s="1207"/>
      <c r="L107" s="1207"/>
      <c r="M107" s="1189"/>
      <c r="N107" s="1212"/>
      <c r="O107" s="1205"/>
      <c r="P107" s="1205"/>
      <c r="Q107" s="1205"/>
      <c r="R107" s="1205"/>
      <c r="S107" s="1189"/>
      <c r="T107" s="1189"/>
      <c r="U107" s="1189"/>
      <c r="V107" s="1189"/>
      <c r="W107" s="1189"/>
      <c r="X107" s="1189"/>
      <c r="Y107" s="1193"/>
      <c r="Z107" s="1174"/>
      <c r="AA107" s="1181"/>
      <c r="AB107" s="1174"/>
      <c r="AC107" s="1174"/>
      <c r="AD107" s="1174"/>
    </row>
    <row r="108" customFormat="false" ht="9" hidden="false" customHeight="true" outlineLevel="0" collapsed="false">
      <c r="A108" s="1191"/>
      <c r="B108" s="1191"/>
      <c r="C108" s="1189"/>
      <c r="D108" s="1189"/>
      <c r="E108" s="1189"/>
      <c r="F108" s="1189"/>
      <c r="G108" s="1189"/>
      <c r="H108" s="1207"/>
      <c r="I108" s="1207"/>
      <c r="J108" s="1207"/>
      <c r="K108" s="1207"/>
      <c r="L108" s="1207"/>
      <c r="M108" s="1189"/>
      <c r="N108" s="1212"/>
      <c r="O108" s="1205"/>
      <c r="P108" s="1205"/>
      <c r="Q108" s="1205"/>
      <c r="R108" s="1205"/>
      <c r="S108" s="1189"/>
      <c r="T108" s="1189"/>
      <c r="U108" s="1189"/>
      <c r="V108" s="1189"/>
      <c r="W108" s="1189"/>
      <c r="X108" s="1189"/>
      <c r="Y108" s="1193"/>
      <c r="Z108" s="1174"/>
      <c r="AA108" s="1181"/>
      <c r="AB108" s="1174"/>
      <c r="AC108" s="1174"/>
      <c r="AD108" s="1174"/>
    </row>
    <row r="109" customFormat="false" ht="9" hidden="false" customHeight="true" outlineLevel="0" collapsed="false">
      <c r="A109" s="1191"/>
      <c r="B109" s="1191"/>
      <c r="C109" s="1189"/>
      <c r="D109" s="1189"/>
      <c r="E109" s="1189"/>
      <c r="F109" s="1189"/>
      <c r="G109" s="1189"/>
      <c r="H109" s="1207"/>
      <c r="I109" s="1207"/>
      <c r="J109" s="1207"/>
      <c r="K109" s="1207"/>
      <c r="L109" s="1207"/>
      <c r="M109" s="1189"/>
      <c r="N109" s="1212"/>
      <c r="O109" s="1205"/>
      <c r="P109" s="1205"/>
      <c r="Q109" s="1205"/>
      <c r="R109" s="1205"/>
      <c r="S109" s="1189"/>
      <c r="T109" s="1189"/>
      <c r="U109" s="1189"/>
      <c r="V109" s="1189"/>
      <c r="W109" s="1189"/>
      <c r="X109" s="1189"/>
      <c r="Y109" s="1193"/>
      <c r="Z109" s="1174"/>
      <c r="AA109" s="1181"/>
      <c r="AB109" s="1174"/>
      <c r="AC109" s="1174"/>
      <c r="AD109" s="1174"/>
    </row>
    <row r="110" customFormat="false" ht="9" hidden="false" customHeight="true" outlineLevel="0" collapsed="false">
      <c r="A110" s="1191"/>
      <c r="B110" s="1191"/>
      <c r="C110" s="1189"/>
      <c r="D110" s="1189"/>
      <c r="E110" s="1189"/>
      <c r="F110" s="1189"/>
      <c r="G110" s="1189"/>
      <c r="H110" s="1207"/>
      <c r="I110" s="1207"/>
      <c r="J110" s="1207"/>
      <c r="K110" s="1207"/>
      <c r="L110" s="1207"/>
      <c r="M110" s="1189"/>
      <c r="N110" s="1212"/>
      <c r="O110" s="1205"/>
      <c r="P110" s="1205"/>
      <c r="Q110" s="1205"/>
      <c r="R110" s="1205"/>
      <c r="S110" s="1189"/>
      <c r="T110" s="1189"/>
      <c r="U110" s="1189"/>
      <c r="V110" s="1189"/>
      <c r="W110" s="1189"/>
      <c r="X110" s="1189"/>
      <c r="Y110" s="1193"/>
      <c r="Z110" s="1174"/>
      <c r="AA110" s="1181"/>
      <c r="AB110" s="1174"/>
      <c r="AC110" s="1174"/>
      <c r="AD110" s="1174"/>
    </row>
    <row r="111" customFormat="false" ht="9" hidden="false" customHeight="true" outlineLevel="0" collapsed="false">
      <c r="A111" s="1191"/>
      <c r="B111" s="1191"/>
      <c r="C111" s="1189"/>
      <c r="D111" s="1189"/>
      <c r="E111" s="1189"/>
      <c r="F111" s="1189"/>
      <c r="G111" s="1189"/>
      <c r="H111" s="1207"/>
      <c r="I111" s="1207"/>
      <c r="J111" s="1207"/>
      <c r="K111" s="1207"/>
      <c r="L111" s="1207"/>
      <c r="M111" s="1189"/>
      <c r="N111" s="1212"/>
      <c r="O111" s="1205"/>
      <c r="P111" s="1205"/>
      <c r="Q111" s="1205"/>
      <c r="R111" s="1205"/>
      <c r="S111" s="1189"/>
      <c r="T111" s="1189"/>
      <c r="U111" s="1189"/>
      <c r="V111" s="1189"/>
      <c r="W111" s="1189"/>
      <c r="X111" s="1189"/>
      <c r="Y111" s="1193"/>
      <c r="Z111" s="1174"/>
      <c r="AA111" s="1181"/>
      <c r="AB111" s="1174"/>
      <c r="AC111" s="1174"/>
      <c r="AD111" s="1174"/>
    </row>
    <row r="112" customFormat="false" ht="9" hidden="false" customHeight="true" outlineLevel="0" collapsed="false">
      <c r="A112" s="1191"/>
      <c r="B112" s="1191"/>
      <c r="C112" s="1189"/>
      <c r="D112" s="1189"/>
      <c r="E112" s="1189"/>
      <c r="F112" s="1189"/>
      <c r="G112" s="1189"/>
      <c r="H112" s="1207"/>
      <c r="I112" s="1207"/>
      <c r="J112" s="1207"/>
      <c r="K112" s="1207"/>
      <c r="L112" s="1207"/>
      <c r="M112" s="1189"/>
      <c r="N112" s="1212"/>
      <c r="O112" s="1205"/>
      <c r="P112" s="1205"/>
      <c r="Q112" s="1205"/>
      <c r="R112" s="1205"/>
      <c r="S112" s="1189"/>
      <c r="T112" s="1189"/>
      <c r="U112" s="1189"/>
      <c r="V112" s="1189"/>
      <c r="W112" s="1189"/>
      <c r="X112" s="1189"/>
      <c r="Y112" s="1193"/>
      <c r="Z112" s="1174"/>
      <c r="AA112" s="1181"/>
      <c r="AB112" s="1174"/>
      <c r="AC112" s="1174"/>
      <c r="AD112" s="1174"/>
    </row>
    <row r="113" customFormat="false" ht="9" hidden="false" customHeight="true" outlineLevel="0" collapsed="false">
      <c r="A113" s="1191"/>
      <c r="B113" s="1191"/>
      <c r="C113" s="1189"/>
      <c r="D113" s="1189"/>
      <c r="E113" s="1189"/>
      <c r="F113" s="1189"/>
      <c r="G113" s="1189"/>
      <c r="H113" s="1207"/>
      <c r="I113" s="1207"/>
      <c r="J113" s="1207"/>
      <c r="K113" s="1207"/>
      <c r="L113" s="1207"/>
      <c r="M113" s="1189"/>
      <c r="N113" s="1212"/>
      <c r="O113" s="1205"/>
      <c r="P113" s="1205"/>
      <c r="Q113" s="1205"/>
      <c r="R113" s="1205"/>
      <c r="S113" s="1189"/>
      <c r="T113" s="1189"/>
      <c r="U113" s="1189"/>
      <c r="V113" s="1189"/>
      <c r="W113" s="1189"/>
      <c r="X113" s="1189"/>
      <c r="Y113" s="1193"/>
      <c r="Z113" s="1174"/>
      <c r="AA113" s="1181"/>
      <c r="AB113" s="1174"/>
      <c r="AC113" s="1174"/>
      <c r="AD113" s="1174"/>
    </row>
    <row r="114" customFormat="false" ht="9" hidden="false" customHeight="true" outlineLevel="0" collapsed="false">
      <c r="A114" s="1191"/>
      <c r="B114" s="1191"/>
      <c r="C114" s="1189"/>
      <c r="D114" s="1189"/>
      <c r="E114" s="1189"/>
      <c r="F114" s="1189"/>
      <c r="G114" s="1189"/>
      <c r="H114" s="1207"/>
      <c r="I114" s="1207"/>
      <c r="J114" s="1207"/>
      <c r="K114" s="1207"/>
      <c r="L114" s="1207"/>
      <c r="M114" s="1189"/>
      <c r="N114" s="1212"/>
      <c r="O114" s="1205"/>
      <c r="P114" s="1205"/>
      <c r="Q114" s="1205"/>
      <c r="R114" s="1205"/>
      <c r="S114" s="1189"/>
      <c r="T114" s="1189"/>
      <c r="U114" s="1189"/>
      <c r="V114" s="1189"/>
      <c r="W114" s="1189"/>
      <c r="X114" s="1189"/>
      <c r="Y114" s="1193"/>
      <c r="Z114" s="1174"/>
      <c r="AA114" s="1181"/>
      <c r="AB114" s="1174"/>
      <c r="AC114" s="1174"/>
      <c r="AD114" s="1174"/>
    </row>
    <row r="115" customFormat="false" ht="9" hidden="false" customHeight="true" outlineLevel="0" collapsed="false">
      <c r="A115" s="1191"/>
      <c r="B115" s="1191"/>
      <c r="C115" s="1189"/>
      <c r="D115" s="1189"/>
      <c r="E115" s="1189"/>
      <c r="F115" s="1189"/>
      <c r="G115" s="1189"/>
      <c r="H115" s="1207"/>
      <c r="I115" s="1207"/>
      <c r="J115" s="1207"/>
      <c r="K115" s="1207"/>
      <c r="L115" s="1207"/>
      <c r="M115" s="1189"/>
      <c r="N115" s="1212"/>
      <c r="O115" s="1205"/>
      <c r="P115" s="1205"/>
      <c r="Q115" s="1205"/>
      <c r="R115" s="1205"/>
      <c r="S115" s="1189"/>
      <c r="T115" s="1189"/>
      <c r="U115" s="1189"/>
      <c r="V115" s="1189"/>
      <c r="W115" s="1189"/>
      <c r="X115" s="1189"/>
      <c r="Y115" s="1193"/>
      <c r="Z115" s="1174"/>
      <c r="AA115" s="1181"/>
      <c r="AB115" s="1174"/>
      <c r="AC115" s="1174"/>
      <c r="AD115" s="1174"/>
    </row>
    <row r="116" customFormat="false" ht="9" hidden="false" customHeight="true" outlineLevel="0" collapsed="false">
      <c r="A116" s="1191"/>
      <c r="B116" s="1191"/>
      <c r="C116" s="1189"/>
      <c r="D116" s="1189"/>
      <c r="E116" s="1189"/>
      <c r="F116" s="1189"/>
      <c r="G116" s="1189"/>
      <c r="H116" s="1207"/>
      <c r="I116" s="1207"/>
      <c r="J116" s="1207"/>
      <c r="K116" s="1207"/>
      <c r="L116" s="1207"/>
      <c r="M116" s="1189"/>
      <c r="N116" s="1212"/>
      <c r="O116" s="1205"/>
      <c r="P116" s="1205"/>
      <c r="Q116" s="1205"/>
      <c r="R116" s="1205"/>
      <c r="S116" s="1189"/>
      <c r="T116" s="1189"/>
      <c r="U116" s="1189"/>
      <c r="V116" s="1189"/>
      <c r="W116" s="1189"/>
      <c r="X116" s="1189"/>
      <c r="Y116" s="1193"/>
      <c r="Z116" s="1174"/>
      <c r="AA116" s="1181"/>
      <c r="AB116" s="1174"/>
      <c r="AC116" s="1174"/>
      <c r="AD116" s="1174"/>
    </row>
    <row r="117" customFormat="false" ht="9" hidden="false" customHeight="true" outlineLevel="0" collapsed="false">
      <c r="A117" s="1191"/>
      <c r="B117" s="1191"/>
      <c r="C117" s="1189"/>
      <c r="D117" s="1189"/>
      <c r="E117" s="1189"/>
      <c r="F117" s="1189"/>
      <c r="G117" s="1189"/>
      <c r="H117" s="1207"/>
      <c r="I117" s="1207"/>
      <c r="J117" s="1207"/>
      <c r="K117" s="1207"/>
      <c r="L117" s="1207"/>
      <c r="M117" s="1189"/>
      <c r="N117" s="1212"/>
      <c r="O117" s="1205"/>
      <c r="P117" s="1205"/>
      <c r="Q117" s="1205"/>
      <c r="R117" s="1205"/>
      <c r="S117" s="1189"/>
      <c r="T117" s="1189"/>
      <c r="U117" s="1189"/>
      <c r="V117" s="1189"/>
      <c r="W117" s="1189"/>
      <c r="X117" s="1189"/>
      <c r="Y117" s="1193"/>
      <c r="Z117" s="1174"/>
      <c r="AA117" s="1181"/>
      <c r="AB117" s="1174"/>
      <c r="AC117" s="1174"/>
      <c r="AD117" s="1174"/>
    </row>
    <row r="118" customFormat="false" ht="9" hidden="false" customHeight="true" outlineLevel="0" collapsed="false">
      <c r="A118" s="1191"/>
      <c r="B118" s="1191"/>
      <c r="C118" s="1189"/>
      <c r="D118" s="1189"/>
      <c r="E118" s="1189"/>
      <c r="F118" s="1189"/>
      <c r="G118" s="1189"/>
      <c r="H118" s="1207"/>
      <c r="I118" s="1207"/>
      <c r="J118" s="1207"/>
      <c r="K118" s="1207"/>
      <c r="L118" s="1207"/>
      <c r="M118" s="1189"/>
      <c r="N118" s="1212"/>
      <c r="O118" s="1205"/>
      <c r="P118" s="1205"/>
      <c r="Q118" s="1205"/>
      <c r="R118" s="1205"/>
      <c r="S118" s="1189"/>
      <c r="T118" s="1189"/>
      <c r="U118" s="1189"/>
      <c r="V118" s="1189"/>
      <c r="W118" s="1189"/>
      <c r="X118" s="1189"/>
      <c r="Y118" s="1193"/>
      <c r="Z118" s="1174"/>
      <c r="AA118" s="1181"/>
      <c r="AB118" s="1174"/>
      <c r="AC118" s="1174"/>
      <c r="AD118" s="1174"/>
    </row>
    <row r="119" customFormat="false" ht="9" hidden="false" customHeight="true" outlineLevel="0" collapsed="false">
      <c r="A119" s="1191"/>
      <c r="B119" s="1191"/>
      <c r="C119" s="1189"/>
      <c r="D119" s="1189"/>
      <c r="E119" s="1189"/>
      <c r="F119" s="1189"/>
      <c r="G119" s="1189"/>
      <c r="H119" s="1207"/>
      <c r="I119" s="1207"/>
      <c r="J119" s="1207"/>
      <c r="K119" s="1207"/>
      <c r="L119" s="1207"/>
      <c r="M119" s="1189"/>
      <c r="N119" s="1212"/>
      <c r="O119" s="1205"/>
      <c r="P119" s="1205"/>
      <c r="Q119" s="1205"/>
      <c r="R119" s="1205"/>
      <c r="S119" s="1189"/>
      <c r="T119" s="1189"/>
      <c r="U119" s="1189"/>
      <c r="V119" s="1189"/>
      <c r="W119" s="1189"/>
      <c r="X119" s="1189"/>
      <c r="Y119" s="1193"/>
      <c r="Z119" s="1174"/>
      <c r="AA119" s="1181"/>
      <c r="AB119" s="1174"/>
      <c r="AC119" s="1174"/>
      <c r="AD119" s="1174"/>
    </row>
    <row r="120" customFormat="false" ht="9" hidden="false" customHeight="true" outlineLevel="0" collapsed="false">
      <c r="A120" s="1191"/>
      <c r="B120" s="1191"/>
      <c r="C120" s="1189"/>
      <c r="D120" s="1189"/>
      <c r="E120" s="1189"/>
      <c r="F120" s="1189"/>
      <c r="G120" s="1189"/>
      <c r="H120" s="1207"/>
      <c r="I120" s="1207"/>
      <c r="J120" s="1207"/>
      <c r="K120" s="1207"/>
      <c r="L120" s="1207"/>
      <c r="M120" s="1189"/>
      <c r="N120" s="1212"/>
      <c r="O120" s="1205"/>
      <c r="P120" s="1205"/>
      <c r="Q120" s="1205"/>
      <c r="R120" s="1205"/>
      <c r="S120" s="1189"/>
      <c r="T120" s="1189"/>
      <c r="U120" s="1189"/>
      <c r="V120" s="1189"/>
      <c r="W120" s="1189"/>
      <c r="X120" s="1189"/>
      <c r="Y120" s="1193"/>
      <c r="Z120" s="1174"/>
      <c r="AA120" s="1181"/>
      <c r="AB120" s="1174"/>
      <c r="AC120" s="1174"/>
      <c r="AD120" s="1174"/>
    </row>
    <row r="121" customFormat="false" ht="9" hidden="false" customHeight="true" outlineLevel="0" collapsed="false">
      <c r="A121" s="1191"/>
      <c r="B121" s="1191"/>
      <c r="C121" s="1189"/>
      <c r="D121" s="1189"/>
      <c r="E121" s="1189"/>
      <c r="F121" s="1189"/>
      <c r="G121" s="1189"/>
      <c r="H121" s="1207"/>
      <c r="I121" s="1207"/>
      <c r="J121" s="1207"/>
      <c r="K121" s="1207"/>
      <c r="L121" s="1207"/>
      <c r="M121" s="1189"/>
      <c r="N121" s="1212"/>
      <c r="O121" s="1205"/>
      <c r="P121" s="1205"/>
      <c r="Q121" s="1205"/>
      <c r="R121" s="1205"/>
      <c r="S121" s="1189"/>
      <c r="T121" s="1189"/>
      <c r="U121" s="1189"/>
      <c r="V121" s="1189"/>
      <c r="W121" s="1189"/>
      <c r="X121" s="1189"/>
      <c r="Y121" s="1193"/>
      <c r="Z121" s="1174"/>
      <c r="AA121" s="1181"/>
      <c r="AB121" s="1174"/>
      <c r="AC121" s="1174"/>
      <c r="AD121" s="1174"/>
    </row>
    <row r="122" customFormat="false" ht="9" hidden="false" customHeight="true" outlineLevel="0" collapsed="false">
      <c r="A122" s="1191"/>
      <c r="B122" s="1191"/>
      <c r="C122" s="1189"/>
      <c r="D122" s="1189"/>
      <c r="E122" s="1189"/>
      <c r="F122" s="1189"/>
      <c r="G122" s="1189"/>
      <c r="H122" s="1207"/>
      <c r="I122" s="1207"/>
      <c r="J122" s="1207"/>
      <c r="K122" s="1207"/>
      <c r="L122" s="1207"/>
      <c r="M122" s="1189"/>
      <c r="N122" s="1212"/>
      <c r="O122" s="1205"/>
      <c r="P122" s="1205"/>
      <c r="Q122" s="1205"/>
      <c r="R122" s="1205"/>
      <c r="S122" s="1189"/>
      <c r="T122" s="1189"/>
      <c r="U122" s="1189"/>
      <c r="V122" s="1189"/>
      <c r="W122" s="1189"/>
      <c r="X122" s="1189"/>
      <c r="Y122" s="1193"/>
      <c r="Z122" s="1174"/>
      <c r="AA122" s="1181"/>
      <c r="AB122" s="1174"/>
      <c r="AC122" s="1174"/>
      <c r="AD122" s="1174"/>
    </row>
    <row r="123" customFormat="false" ht="9" hidden="false" customHeight="true" outlineLevel="0" collapsed="false">
      <c r="A123" s="1191"/>
      <c r="B123" s="1191"/>
      <c r="C123" s="1189"/>
      <c r="D123" s="1189"/>
      <c r="E123" s="1189"/>
      <c r="F123" s="1189"/>
      <c r="G123" s="1189"/>
      <c r="H123" s="1207"/>
      <c r="I123" s="1207"/>
      <c r="J123" s="1207"/>
      <c r="K123" s="1207"/>
      <c r="L123" s="1207"/>
      <c r="M123" s="1189"/>
      <c r="N123" s="1212"/>
      <c r="O123" s="1205"/>
      <c r="P123" s="1205"/>
      <c r="Q123" s="1205"/>
      <c r="R123" s="1205"/>
      <c r="S123" s="1189"/>
      <c r="T123" s="1189"/>
      <c r="U123" s="1189"/>
      <c r="V123" s="1189"/>
      <c r="W123" s="1189"/>
      <c r="X123" s="1189"/>
      <c r="Y123" s="1193"/>
      <c r="Z123" s="1174"/>
      <c r="AA123" s="1181"/>
      <c r="AB123" s="1174"/>
      <c r="AC123" s="1174"/>
      <c r="AD123" s="1174"/>
    </row>
    <row r="124" customFormat="false" ht="9" hidden="false" customHeight="true" outlineLevel="0" collapsed="false">
      <c r="A124" s="1191"/>
      <c r="B124" s="1191"/>
      <c r="C124" s="1189"/>
      <c r="D124" s="1189"/>
      <c r="E124" s="1189"/>
      <c r="F124" s="1189"/>
      <c r="G124" s="1189"/>
      <c r="H124" s="1207"/>
      <c r="I124" s="1207"/>
      <c r="J124" s="1207"/>
      <c r="K124" s="1207"/>
      <c r="L124" s="1207"/>
      <c r="M124" s="1189"/>
      <c r="N124" s="1212"/>
      <c r="O124" s="1205"/>
      <c r="P124" s="1205"/>
      <c r="Q124" s="1205"/>
      <c r="R124" s="1205"/>
      <c r="S124" s="1189"/>
      <c r="T124" s="1189"/>
      <c r="U124" s="1189"/>
      <c r="V124" s="1189"/>
      <c r="W124" s="1189"/>
      <c r="X124" s="1189"/>
      <c r="Y124" s="1193"/>
      <c r="Z124" s="1174"/>
      <c r="AA124" s="1181"/>
      <c r="AB124" s="1174"/>
      <c r="AC124" s="1174"/>
      <c r="AD124" s="1174"/>
    </row>
    <row r="125" customFormat="false" ht="9" hidden="false" customHeight="true" outlineLevel="0" collapsed="false">
      <c r="A125" s="1191"/>
      <c r="B125" s="1191"/>
      <c r="C125" s="1189"/>
      <c r="D125" s="1189"/>
      <c r="E125" s="1189"/>
      <c r="F125" s="1189"/>
      <c r="G125" s="1189"/>
      <c r="H125" s="1207"/>
      <c r="I125" s="1207"/>
      <c r="J125" s="1207"/>
      <c r="K125" s="1207"/>
      <c r="L125" s="1207"/>
      <c r="M125" s="1189"/>
      <c r="N125" s="1212"/>
      <c r="O125" s="1205"/>
      <c r="P125" s="1205"/>
      <c r="Q125" s="1205"/>
      <c r="R125" s="1205"/>
      <c r="S125" s="1189"/>
      <c r="T125" s="1189"/>
      <c r="U125" s="1189"/>
      <c r="V125" s="1189"/>
      <c r="W125" s="1189"/>
      <c r="X125" s="1189"/>
      <c r="Y125" s="1193"/>
      <c r="Z125" s="1174"/>
      <c r="AA125" s="1181"/>
      <c r="AB125" s="1174"/>
      <c r="AC125" s="1174"/>
      <c r="AD125" s="1174"/>
    </row>
    <row r="126" customFormat="false" ht="9" hidden="false" customHeight="true" outlineLevel="0" collapsed="false">
      <c r="A126" s="1191"/>
      <c r="B126" s="1191"/>
      <c r="C126" s="1189"/>
      <c r="D126" s="1189"/>
      <c r="E126" s="1189"/>
      <c r="F126" s="1189"/>
      <c r="G126" s="1189"/>
      <c r="H126" s="1207"/>
      <c r="I126" s="1207"/>
      <c r="J126" s="1207"/>
      <c r="K126" s="1207"/>
      <c r="L126" s="1207"/>
      <c r="M126" s="1189"/>
      <c r="N126" s="1212"/>
      <c r="O126" s="1205"/>
      <c r="P126" s="1205"/>
      <c r="Q126" s="1205"/>
      <c r="R126" s="1205"/>
      <c r="S126" s="1189"/>
      <c r="T126" s="1189"/>
      <c r="U126" s="1189"/>
      <c r="V126" s="1189"/>
      <c r="W126" s="1189"/>
      <c r="X126" s="1189"/>
      <c r="Y126" s="1193"/>
      <c r="Z126" s="1174"/>
      <c r="AA126" s="1181"/>
      <c r="AB126" s="1174"/>
      <c r="AC126" s="1174"/>
      <c r="AD126" s="1174"/>
    </row>
    <row r="127" customFormat="false" ht="9" hidden="false" customHeight="true" outlineLevel="0" collapsed="false">
      <c r="A127" s="1191"/>
      <c r="B127" s="1191"/>
      <c r="C127" s="1189"/>
      <c r="D127" s="1189"/>
      <c r="E127" s="1189"/>
      <c r="F127" s="1189"/>
      <c r="G127" s="1189"/>
      <c r="H127" s="1207"/>
      <c r="I127" s="1207"/>
      <c r="J127" s="1207"/>
      <c r="K127" s="1207"/>
      <c r="L127" s="1207"/>
      <c r="M127" s="1189"/>
      <c r="N127" s="1212"/>
      <c r="O127" s="1205"/>
      <c r="P127" s="1205"/>
      <c r="Q127" s="1205"/>
      <c r="R127" s="1205"/>
      <c r="S127" s="1189"/>
      <c r="T127" s="1189"/>
      <c r="U127" s="1189"/>
      <c r="V127" s="1189"/>
      <c r="W127" s="1189"/>
      <c r="X127" s="1189"/>
      <c r="Y127" s="1193"/>
      <c r="Z127" s="1174"/>
      <c r="AA127" s="1181"/>
      <c r="AB127" s="1174"/>
      <c r="AC127" s="1174"/>
      <c r="AD127" s="1174"/>
    </row>
    <row r="128" customFormat="false" ht="9" hidden="false" customHeight="true" outlineLevel="0" collapsed="false">
      <c r="A128" s="1191"/>
      <c r="B128" s="1191"/>
      <c r="C128" s="1189"/>
      <c r="D128" s="1189"/>
      <c r="E128" s="1189"/>
      <c r="F128" s="1189"/>
      <c r="G128" s="1189"/>
      <c r="H128" s="1207"/>
      <c r="I128" s="1207"/>
      <c r="J128" s="1207"/>
      <c r="K128" s="1207"/>
      <c r="L128" s="1207"/>
      <c r="M128" s="1189"/>
      <c r="N128" s="1212"/>
      <c r="O128" s="1205"/>
      <c r="P128" s="1205"/>
      <c r="Q128" s="1205"/>
      <c r="R128" s="1205"/>
      <c r="S128" s="1189"/>
      <c r="T128" s="1189"/>
      <c r="U128" s="1189"/>
      <c r="V128" s="1189"/>
      <c r="W128" s="1189"/>
      <c r="X128" s="1189"/>
      <c r="Y128" s="1193"/>
      <c r="Z128" s="1174"/>
      <c r="AA128" s="1181"/>
      <c r="AB128" s="1174"/>
      <c r="AC128" s="1174"/>
      <c r="AD128" s="1174"/>
    </row>
    <row r="129" customFormat="false" ht="9" hidden="false" customHeight="true" outlineLevel="0" collapsed="false">
      <c r="A129" s="1191"/>
      <c r="B129" s="1191"/>
      <c r="C129" s="1189"/>
      <c r="D129" s="1189"/>
      <c r="E129" s="1189"/>
      <c r="F129" s="1189"/>
      <c r="G129" s="1189"/>
      <c r="H129" s="1207"/>
      <c r="I129" s="1207"/>
      <c r="J129" s="1207"/>
      <c r="K129" s="1207"/>
      <c r="L129" s="1207"/>
      <c r="M129" s="1189"/>
      <c r="N129" s="1212"/>
      <c r="O129" s="1205"/>
      <c r="P129" s="1205"/>
      <c r="Q129" s="1205"/>
      <c r="R129" s="1205"/>
      <c r="S129" s="1189"/>
      <c r="T129" s="1189"/>
      <c r="U129" s="1189"/>
      <c r="V129" s="1189"/>
      <c r="W129" s="1189"/>
      <c r="X129" s="1189"/>
      <c r="Y129" s="1193"/>
      <c r="Z129" s="1174"/>
      <c r="AA129" s="1181"/>
      <c r="AB129" s="1174"/>
      <c r="AC129" s="1174"/>
      <c r="AD129" s="1174"/>
    </row>
    <row r="130" customFormat="false" ht="9" hidden="false" customHeight="true" outlineLevel="0" collapsed="false">
      <c r="A130" s="1191"/>
      <c r="B130" s="1191"/>
      <c r="C130" s="1189"/>
      <c r="D130" s="1189"/>
      <c r="E130" s="1189"/>
      <c r="F130" s="1189"/>
      <c r="G130" s="1189"/>
      <c r="H130" s="1207"/>
      <c r="I130" s="1207"/>
      <c r="J130" s="1207"/>
      <c r="K130" s="1207"/>
      <c r="L130" s="1207"/>
      <c r="M130" s="1189"/>
      <c r="N130" s="1212"/>
      <c r="O130" s="1213"/>
      <c r="P130" s="1213"/>
      <c r="Q130" s="1213"/>
      <c r="R130" s="1213"/>
      <c r="S130" s="1189"/>
      <c r="T130" s="1189"/>
      <c r="U130" s="1189"/>
      <c r="V130" s="1189"/>
      <c r="W130" s="1189"/>
      <c r="X130" s="1189"/>
      <c r="Y130" s="1193"/>
      <c r="Z130" s="1174"/>
      <c r="AA130" s="1181"/>
      <c r="AB130" s="1174"/>
      <c r="AC130" s="1174"/>
      <c r="AD130" s="1174"/>
    </row>
    <row r="131" customFormat="false" ht="9" hidden="false" customHeight="true" outlineLevel="0" collapsed="false">
      <c r="A131" s="1191"/>
      <c r="B131" s="1191"/>
      <c r="C131" s="1189"/>
      <c r="D131" s="1189"/>
      <c r="E131" s="1189"/>
      <c r="F131" s="1189"/>
      <c r="G131" s="1189"/>
      <c r="H131" s="1207"/>
      <c r="I131" s="1207"/>
      <c r="J131" s="1207"/>
      <c r="K131" s="1207"/>
      <c r="L131" s="1207"/>
      <c r="M131" s="1189"/>
      <c r="N131" s="1212"/>
      <c r="O131" s="1214"/>
      <c r="P131" s="1214"/>
      <c r="Q131" s="1214"/>
      <c r="R131" s="1214"/>
      <c r="S131" s="1189"/>
      <c r="T131" s="1189"/>
      <c r="U131" s="1189"/>
      <c r="V131" s="1189"/>
      <c r="W131" s="1189"/>
      <c r="X131" s="1189"/>
      <c r="Y131" s="1193"/>
      <c r="Z131" s="1174"/>
      <c r="AA131" s="1181"/>
      <c r="AB131" s="1174"/>
      <c r="AC131" s="1174"/>
      <c r="AD131" s="1174"/>
    </row>
    <row r="132" customFormat="false" ht="9" hidden="false" customHeight="true" outlineLevel="0" collapsed="false">
      <c r="A132" s="1191"/>
      <c r="B132" s="1191"/>
      <c r="C132" s="1189"/>
      <c r="D132" s="1189"/>
      <c r="E132" s="1189"/>
      <c r="F132" s="1189"/>
      <c r="G132" s="1189"/>
      <c r="H132" s="1207"/>
      <c r="I132" s="1207"/>
      <c r="J132" s="1207"/>
      <c r="K132" s="1207"/>
      <c r="L132" s="1207"/>
      <c r="M132" s="1189"/>
      <c r="N132" s="1212"/>
      <c r="O132" s="1213"/>
      <c r="P132" s="1213"/>
      <c r="Q132" s="1213"/>
      <c r="R132" s="1213"/>
      <c r="S132" s="1189"/>
      <c r="T132" s="1189"/>
      <c r="U132" s="1189"/>
      <c r="V132" s="1189"/>
      <c r="W132" s="1189"/>
      <c r="X132" s="1189"/>
      <c r="Y132" s="1193"/>
      <c r="Z132" s="1174"/>
      <c r="AA132" s="1181"/>
      <c r="AB132" s="1174"/>
      <c r="AC132" s="1174"/>
      <c r="AD132" s="1174"/>
    </row>
    <row r="133" customFormat="false" ht="9" hidden="false" customHeight="true" outlineLevel="0" collapsed="false">
      <c r="A133" s="1191"/>
      <c r="B133" s="1191"/>
      <c r="C133" s="1189"/>
      <c r="D133" s="1189"/>
      <c r="E133" s="1189"/>
      <c r="F133" s="1189"/>
      <c r="G133" s="1189"/>
      <c r="H133" s="1207"/>
      <c r="I133" s="1207"/>
      <c r="J133" s="1207"/>
      <c r="K133" s="1207"/>
      <c r="L133" s="1207"/>
      <c r="M133" s="1189"/>
      <c r="N133" s="1212"/>
      <c r="O133" s="1214"/>
      <c r="P133" s="1214"/>
      <c r="Q133" s="1214"/>
      <c r="R133" s="1214"/>
      <c r="S133" s="1189"/>
      <c r="T133" s="1189"/>
      <c r="U133" s="1189"/>
      <c r="V133" s="1189"/>
      <c r="W133" s="1189"/>
      <c r="X133" s="1189"/>
      <c r="Y133" s="1193"/>
      <c r="Z133" s="1174"/>
      <c r="AA133" s="1181"/>
      <c r="AB133" s="1174"/>
      <c r="AC133" s="1174"/>
      <c r="AD133" s="1174"/>
    </row>
    <row r="134" customFormat="false" ht="9" hidden="false" customHeight="true" outlineLevel="0" collapsed="false">
      <c r="A134" s="1191"/>
      <c r="B134" s="1191"/>
      <c r="C134" s="1189"/>
      <c r="D134" s="1189"/>
      <c r="E134" s="1189"/>
      <c r="F134" s="1189"/>
      <c r="G134" s="1189"/>
      <c r="H134" s="1207"/>
      <c r="I134" s="1207"/>
      <c r="J134" s="1207"/>
      <c r="K134" s="1207"/>
      <c r="L134" s="1207"/>
      <c r="M134" s="1189"/>
      <c r="N134" s="1212"/>
      <c r="O134" s="1205"/>
      <c r="P134" s="1205"/>
      <c r="Q134" s="1205"/>
      <c r="R134" s="1205"/>
      <c r="S134" s="1189"/>
      <c r="T134" s="1189"/>
      <c r="U134" s="1189"/>
      <c r="V134" s="1189"/>
      <c r="W134" s="1189"/>
      <c r="X134" s="1189"/>
      <c r="Y134" s="1193"/>
      <c r="Z134" s="1174"/>
      <c r="AA134" s="1181"/>
      <c r="AB134" s="1174"/>
      <c r="AC134" s="1174"/>
      <c r="AD134" s="1174"/>
    </row>
    <row r="135" customFormat="false" ht="9" hidden="false" customHeight="true" outlineLevel="0" collapsed="false">
      <c r="A135" s="1191"/>
      <c r="B135" s="1191"/>
      <c r="C135" s="1189"/>
      <c r="D135" s="1189"/>
      <c r="E135" s="1189"/>
      <c r="F135" s="1189"/>
      <c r="G135" s="1189"/>
      <c r="H135" s="1207"/>
      <c r="I135" s="1207"/>
      <c r="J135" s="1207"/>
      <c r="K135" s="1207"/>
      <c r="L135" s="1207"/>
      <c r="M135" s="1189"/>
      <c r="N135" s="1212"/>
      <c r="O135" s="1205"/>
      <c r="P135" s="1205"/>
      <c r="Q135" s="1205"/>
      <c r="R135" s="1205"/>
      <c r="S135" s="1189"/>
      <c r="T135" s="1189"/>
      <c r="U135" s="1189"/>
      <c r="V135" s="1189"/>
      <c r="W135" s="1189"/>
      <c r="X135" s="1189"/>
      <c r="Y135" s="1193"/>
      <c r="Z135" s="1174"/>
      <c r="AA135" s="1181"/>
      <c r="AB135" s="1174"/>
      <c r="AC135" s="1174"/>
      <c r="AD135" s="1174"/>
    </row>
    <row r="136" customFormat="false" ht="9" hidden="false" customHeight="true" outlineLevel="0" collapsed="false">
      <c r="A136" s="1191"/>
      <c r="B136" s="1191"/>
      <c r="C136" s="1189"/>
      <c r="D136" s="1189"/>
      <c r="E136" s="1189"/>
      <c r="F136" s="1189"/>
      <c r="G136" s="1189"/>
      <c r="H136" s="1207"/>
      <c r="I136" s="1207"/>
      <c r="J136" s="1207"/>
      <c r="K136" s="1207"/>
      <c r="L136" s="1207"/>
      <c r="M136" s="1189"/>
      <c r="N136" s="1212"/>
      <c r="O136" s="1205"/>
      <c r="P136" s="1205"/>
      <c r="Q136" s="1205"/>
      <c r="R136" s="1205"/>
      <c r="S136" s="1189"/>
      <c r="T136" s="1189"/>
      <c r="U136" s="1189"/>
      <c r="V136" s="1189"/>
      <c r="W136" s="1189"/>
      <c r="X136" s="1189"/>
      <c r="Y136" s="1193"/>
      <c r="Z136" s="1174"/>
      <c r="AA136" s="1181"/>
      <c r="AB136" s="1174"/>
      <c r="AC136" s="1174"/>
      <c r="AD136" s="1174"/>
    </row>
    <row r="137" customFormat="false" ht="9" hidden="false" customHeight="true" outlineLevel="0" collapsed="false">
      <c r="A137" s="1191"/>
      <c r="B137" s="1191"/>
      <c r="C137" s="1189"/>
      <c r="D137" s="1189"/>
      <c r="E137" s="1189"/>
      <c r="F137" s="1189"/>
      <c r="G137" s="1189"/>
      <c r="H137" s="1207"/>
      <c r="I137" s="1207"/>
      <c r="J137" s="1207"/>
      <c r="K137" s="1207"/>
      <c r="L137" s="1207"/>
      <c r="M137" s="1189"/>
      <c r="N137" s="1212"/>
      <c r="O137" s="1215"/>
      <c r="P137" s="1215"/>
      <c r="Q137" s="1215"/>
      <c r="R137" s="1215"/>
      <c r="S137" s="1189"/>
      <c r="T137" s="1189"/>
      <c r="U137" s="1189"/>
      <c r="V137" s="1189"/>
      <c r="W137" s="1189"/>
      <c r="X137" s="1189"/>
      <c r="Y137" s="1193"/>
      <c r="Z137" s="1174"/>
      <c r="AA137" s="1181"/>
      <c r="AB137" s="1174"/>
      <c r="AC137" s="1174"/>
      <c r="AD137" s="1174"/>
    </row>
    <row r="138" customFormat="false" ht="9" hidden="false" customHeight="true" outlineLevel="0" collapsed="false">
      <c r="A138" s="1191"/>
      <c r="B138" s="1191"/>
      <c r="C138" s="1189"/>
      <c r="D138" s="1189"/>
      <c r="E138" s="1189"/>
      <c r="F138" s="1189"/>
      <c r="G138" s="1189"/>
      <c r="H138" s="1207"/>
      <c r="I138" s="1207"/>
      <c r="J138" s="1207"/>
      <c r="K138" s="1207"/>
      <c r="L138" s="1207"/>
      <c r="M138" s="1189"/>
      <c r="N138" s="1212"/>
      <c r="O138" s="1208"/>
      <c r="P138" s="1208"/>
      <c r="Q138" s="1208"/>
      <c r="R138" s="1208"/>
      <c r="S138" s="1189"/>
      <c r="T138" s="1189"/>
      <c r="U138" s="1189"/>
      <c r="V138" s="1189"/>
      <c r="W138" s="1189"/>
      <c r="X138" s="1189"/>
      <c r="Y138" s="1193"/>
      <c r="Z138" s="1174"/>
      <c r="AA138" s="1181"/>
      <c r="AB138" s="1174"/>
      <c r="AC138" s="1174"/>
      <c r="AD138" s="1174"/>
    </row>
    <row r="139" customFormat="false" ht="9" hidden="false" customHeight="true" outlineLevel="0" collapsed="false">
      <c r="A139" s="1191"/>
      <c r="B139" s="1191"/>
      <c r="C139" s="1189"/>
      <c r="D139" s="1189"/>
      <c r="E139" s="1189"/>
      <c r="F139" s="1189"/>
      <c r="G139" s="1189"/>
      <c r="H139" s="1207"/>
      <c r="I139" s="1207"/>
      <c r="J139" s="1207"/>
      <c r="K139" s="1207"/>
      <c r="L139" s="1207"/>
      <c r="M139" s="1189"/>
      <c r="N139" s="1212"/>
      <c r="O139" s="1189"/>
      <c r="P139" s="1189"/>
      <c r="Q139" s="1189"/>
      <c r="R139" s="1189"/>
      <c r="S139" s="1189"/>
      <c r="T139" s="1189"/>
      <c r="U139" s="1189"/>
      <c r="V139" s="1189"/>
      <c r="W139" s="1189"/>
      <c r="X139" s="1189"/>
      <c r="Y139" s="1193"/>
      <c r="Z139" s="1174"/>
      <c r="AA139" s="1181"/>
      <c r="AB139" s="1174"/>
      <c r="AC139" s="1174"/>
      <c r="AD139" s="1174"/>
    </row>
    <row r="140" customFormat="false" ht="9" hidden="false" customHeight="true" outlineLevel="0" collapsed="false">
      <c r="A140" s="1191"/>
      <c r="B140" s="1191"/>
      <c r="C140" s="1189"/>
      <c r="D140" s="1189"/>
      <c r="E140" s="1189"/>
      <c r="F140" s="1189"/>
      <c r="G140" s="1189"/>
      <c r="H140" s="1207"/>
      <c r="I140" s="1207"/>
      <c r="J140" s="1207"/>
      <c r="K140" s="1207"/>
      <c r="L140" s="1207"/>
      <c r="M140" s="1189"/>
      <c r="N140" s="1212"/>
      <c r="O140" s="1189"/>
      <c r="P140" s="1189"/>
      <c r="Q140" s="1189"/>
      <c r="R140" s="1189"/>
      <c r="S140" s="1189"/>
      <c r="T140" s="1189"/>
      <c r="U140" s="1189"/>
      <c r="V140" s="1189"/>
      <c r="W140" s="1189"/>
      <c r="X140" s="1189"/>
      <c r="Y140" s="1193"/>
      <c r="Z140" s="1174"/>
      <c r="AA140" s="1181"/>
      <c r="AB140" s="1174"/>
      <c r="AC140" s="1174"/>
      <c r="AD140" s="1174"/>
    </row>
    <row r="141" customFormat="false" ht="9" hidden="false" customHeight="true" outlineLevel="0" collapsed="false">
      <c r="A141" s="1191"/>
      <c r="B141" s="1191"/>
      <c r="C141" s="1189"/>
      <c r="D141" s="1189"/>
      <c r="E141" s="1189"/>
      <c r="F141" s="1189"/>
      <c r="G141" s="1189"/>
      <c r="H141" s="1207"/>
      <c r="I141" s="1207"/>
      <c r="J141" s="1207"/>
      <c r="K141" s="1207"/>
      <c r="L141" s="1207"/>
      <c r="M141" s="1189"/>
      <c r="N141" s="1212"/>
      <c r="O141" s="1189"/>
      <c r="P141" s="1189"/>
      <c r="Q141" s="1189"/>
      <c r="R141" s="1189"/>
      <c r="S141" s="1189"/>
      <c r="T141" s="1189"/>
      <c r="U141" s="1189"/>
      <c r="V141" s="1189"/>
      <c r="W141" s="1189"/>
      <c r="X141" s="1189"/>
      <c r="Y141" s="1193"/>
      <c r="Z141" s="1174"/>
      <c r="AA141" s="1181"/>
      <c r="AB141" s="1174"/>
      <c r="AC141" s="1174"/>
      <c r="AD141" s="1174"/>
    </row>
    <row r="142" customFormat="false" ht="9" hidden="false" customHeight="true" outlineLevel="0" collapsed="false">
      <c r="A142" s="1191"/>
      <c r="B142" s="1191"/>
      <c r="C142" s="1189"/>
      <c r="D142" s="1189"/>
      <c r="E142" s="1189"/>
      <c r="F142" s="1189"/>
      <c r="G142" s="1189"/>
      <c r="H142" s="1207"/>
      <c r="I142" s="1207"/>
      <c r="J142" s="1207"/>
      <c r="K142" s="1207"/>
      <c r="L142" s="1207"/>
      <c r="M142" s="1189"/>
      <c r="N142" s="1212"/>
      <c r="O142" s="1189"/>
      <c r="P142" s="1189"/>
      <c r="Q142" s="1189"/>
      <c r="R142" s="1189"/>
      <c r="S142" s="1189"/>
      <c r="T142" s="1189"/>
      <c r="U142" s="1189"/>
      <c r="V142" s="1189"/>
      <c r="W142" s="1189"/>
      <c r="X142" s="1189"/>
      <c r="Y142" s="1193"/>
      <c r="Z142" s="1174"/>
      <c r="AA142" s="1181"/>
      <c r="AB142" s="1174"/>
      <c r="AC142" s="1174"/>
      <c r="AD142" s="1174"/>
    </row>
    <row r="143" customFormat="false" ht="9" hidden="false" customHeight="true" outlineLevel="0" collapsed="false">
      <c r="A143" s="1191"/>
      <c r="B143" s="1191"/>
      <c r="C143" s="1189"/>
      <c r="D143" s="1189"/>
      <c r="E143" s="1189"/>
      <c r="F143" s="1189"/>
      <c r="G143" s="1189"/>
      <c r="H143" s="1207"/>
      <c r="I143" s="1207"/>
      <c r="J143" s="1207"/>
      <c r="K143" s="1207"/>
      <c r="L143" s="1207"/>
      <c r="M143" s="1189"/>
      <c r="N143" s="1212"/>
      <c r="O143" s="1189"/>
      <c r="P143" s="1189"/>
      <c r="Q143" s="1189"/>
      <c r="R143" s="1189"/>
      <c r="S143" s="1189"/>
      <c r="T143" s="1189"/>
      <c r="U143" s="1189"/>
      <c r="V143" s="1189"/>
      <c r="W143" s="1189"/>
      <c r="X143" s="1189"/>
      <c r="Y143" s="1193"/>
      <c r="Z143" s="1174"/>
      <c r="AA143" s="1181"/>
      <c r="AB143" s="1174"/>
      <c r="AC143" s="1174"/>
      <c r="AD143" s="1174"/>
    </row>
    <row r="144" customFormat="false" ht="9" hidden="false" customHeight="true" outlineLevel="0" collapsed="false">
      <c r="A144" s="1191"/>
      <c r="B144" s="1191"/>
      <c r="C144" s="1189"/>
      <c r="D144" s="1189"/>
      <c r="E144" s="1189"/>
      <c r="F144" s="1189"/>
      <c r="G144" s="1189"/>
      <c r="H144" s="1207"/>
      <c r="I144" s="1207"/>
      <c r="J144" s="1207"/>
      <c r="K144" s="1207"/>
      <c r="L144" s="1207"/>
      <c r="M144" s="1189"/>
      <c r="N144" s="1212"/>
      <c r="O144" s="1189"/>
      <c r="P144" s="1189"/>
      <c r="Q144" s="1189"/>
      <c r="R144" s="1189"/>
      <c r="S144" s="1189"/>
      <c r="T144" s="1189"/>
      <c r="U144" s="1189"/>
      <c r="V144" s="1189"/>
      <c r="W144" s="1189"/>
      <c r="X144" s="1189"/>
      <c r="Y144" s="1193"/>
      <c r="Z144" s="1174"/>
      <c r="AA144" s="1181"/>
      <c r="AB144" s="1174"/>
      <c r="AC144" s="1174"/>
      <c r="AD144" s="1174"/>
    </row>
    <row r="145" customFormat="false" ht="9" hidden="false" customHeight="true" outlineLevel="0" collapsed="false">
      <c r="A145" s="1191"/>
      <c r="B145" s="1191"/>
      <c r="C145" s="1189"/>
      <c r="D145" s="1189"/>
      <c r="E145" s="1189"/>
      <c r="F145" s="1189"/>
      <c r="G145" s="1189"/>
      <c r="H145" s="1207"/>
      <c r="I145" s="1207"/>
      <c r="J145" s="1207"/>
      <c r="K145" s="1207"/>
      <c r="L145" s="1207"/>
      <c r="M145" s="1189"/>
      <c r="N145" s="1212"/>
      <c r="O145" s="1189"/>
      <c r="P145" s="1189"/>
      <c r="Q145" s="1189"/>
      <c r="R145" s="1189"/>
      <c r="S145" s="1189"/>
      <c r="T145" s="1189"/>
      <c r="U145" s="1189"/>
      <c r="V145" s="1189"/>
      <c r="W145" s="1189"/>
      <c r="X145" s="1189"/>
      <c r="Y145" s="1193"/>
      <c r="Z145" s="1174"/>
      <c r="AA145" s="1181"/>
      <c r="AB145" s="1174"/>
      <c r="AC145" s="1174"/>
      <c r="AD145" s="1174"/>
    </row>
    <row r="146" customFormat="false" ht="9" hidden="false" customHeight="true" outlineLevel="0" collapsed="false">
      <c r="A146" s="1191"/>
      <c r="B146" s="1191"/>
      <c r="C146" s="1189"/>
      <c r="D146" s="1189"/>
      <c r="E146" s="1189"/>
      <c r="F146" s="1189"/>
      <c r="G146" s="1189"/>
      <c r="H146" s="1207"/>
      <c r="I146" s="1207"/>
      <c r="J146" s="1207"/>
      <c r="K146" s="1207"/>
      <c r="L146" s="1207"/>
      <c r="M146" s="1189"/>
      <c r="N146" s="1212"/>
      <c r="O146" s="1189"/>
      <c r="P146" s="1189"/>
      <c r="Q146" s="1189"/>
      <c r="R146" s="1189"/>
      <c r="S146" s="1189"/>
      <c r="T146" s="1189"/>
      <c r="U146" s="1189"/>
      <c r="V146" s="1189"/>
      <c r="W146" s="1189"/>
      <c r="X146" s="1189"/>
      <c r="Y146" s="1193"/>
      <c r="Z146" s="1174"/>
      <c r="AA146" s="1181"/>
      <c r="AB146" s="1174"/>
      <c r="AC146" s="1174"/>
      <c r="AD146" s="1174"/>
    </row>
    <row r="147" customFormat="false" ht="9" hidden="false" customHeight="true" outlineLevel="0" collapsed="false">
      <c r="A147" s="1191"/>
      <c r="B147" s="1191"/>
      <c r="C147" s="1191"/>
      <c r="D147" s="1191"/>
      <c r="E147" s="1191"/>
      <c r="F147" s="1191"/>
      <c r="G147" s="1191"/>
      <c r="H147" s="1191"/>
      <c r="I147" s="1191"/>
      <c r="J147" s="1191"/>
      <c r="K147" s="1191"/>
      <c r="L147" s="1191"/>
      <c r="M147" s="1191"/>
      <c r="N147" s="1191"/>
      <c r="O147" s="1191"/>
      <c r="P147" s="1191"/>
      <c r="Q147" s="1191"/>
      <c r="R147" s="1191"/>
      <c r="S147" s="1191"/>
      <c r="T147" s="1191"/>
      <c r="U147" s="1191"/>
      <c r="V147" s="1191"/>
      <c r="W147" s="1191"/>
      <c r="X147" s="1191"/>
      <c r="Y147" s="1191"/>
      <c r="Z147" s="1191"/>
      <c r="AA147" s="1191"/>
      <c r="AB147" s="1191"/>
      <c r="AC147" s="1191"/>
      <c r="AD147" s="1191"/>
    </row>
    <row r="148" customFormat="false" ht="90" hidden="false" customHeight="true" outlineLevel="0" collapsed="false">
      <c r="A148" s="1191" t="s">
        <v>1795</v>
      </c>
      <c r="B148" s="1191"/>
      <c r="C148" s="1189" t="s">
        <v>2352</v>
      </c>
      <c r="D148" s="1189" t="s">
        <v>1134</v>
      </c>
      <c r="E148" s="1189" t="s">
        <v>1797</v>
      </c>
      <c r="F148" s="1189" t="s">
        <v>2353</v>
      </c>
      <c r="G148" s="1189"/>
      <c r="H148" s="1189"/>
      <c r="I148" s="1216"/>
      <c r="J148" s="1216"/>
      <c r="K148" s="1216"/>
      <c r="L148" s="1216"/>
      <c r="M148" s="1217" t="str">
        <f aca="false">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99"/>
      <c r="O148" s="1189"/>
      <c r="P148" s="1192"/>
      <c r="Q148" s="1192"/>
      <c r="R148" s="1192"/>
      <c r="S148" s="1189"/>
      <c r="T148" s="1189" t="s">
        <v>2354</v>
      </c>
      <c r="U148" s="1192" t="str">
        <f aca="fals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92"/>
      <c r="W148" s="1192"/>
      <c r="X148" s="1189" t="s">
        <v>2355</v>
      </c>
      <c r="Y148" s="1193"/>
      <c r="Z148" s="1174"/>
      <c r="AA148" s="1181"/>
      <c r="AB148" s="1174"/>
      <c r="AC148" s="1174"/>
      <c r="AD148" s="1174"/>
    </row>
    <row r="149" customFormat="false" ht="9" hidden="false" customHeight="true" outlineLevel="0" collapsed="false">
      <c r="A149" s="1191"/>
      <c r="B149" s="1191"/>
      <c r="C149" s="1191"/>
      <c r="D149" s="1191"/>
      <c r="E149" s="1191"/>
      <c r="F149" s="1191"/>
      <c r="G149" s="1191"/>
      <c r="H149" s="1191"/>
      <c r="I149" s="1191"/>
      <c r="J149" s="1191"/>
      <c r="K149" s="1191"/>
      <c r="L149" s="1191"/>
      <c r="M149" s="1191"/>
      <c r="N149" s="1191"/>
      <c r="O149" s="1191"/>
      <c r="P149" s="1191"/>
      <c r="Q149" s="1191"/>
      <c r="R149" s="1191"/>
      <c r="S149" s="1191"/>
      <c r="T149" s="1191"/>
      <c r="U149" s="1191"/>
      <c r="V149" s="1191"/>
      <c r="W149" s="1191"/>
      <c r="X149" s="1191"/>
      <c r="Y149" s="1191"/>
      <c r="Z149" s="1191"/>
      <c r="AA149" s="1191"/>
      <c r="AB149" s="1191"/>
      <c r="AC149" s="1191"/>
      <c r="AD149" s="1191"/>
    </row>
    <row r="150" customFormat="false" ht="9" hidden="false" customHeight="true" outlineLevel="0" collapsed="false">
      <c r="A150" s="1191" t="s">
        <v>1799</v>
      </c>
      <c r="B150" s="1191"/>
      <c r="C150" s="1189"/>
      <c r="D150" s="1189"/>
      <c r="E150" s="1189"/>
      <c r="F150" s="1189"/>
      <c r="G150" s="1189"/>
      <c r="H150" s="1189"/>
      <c r="I150" s="1189"/>
      <c r="J150" s="1189"/>
      <c r="K150" s="1189"/>
      <c r="L150" s="1189"/>
      <c r="M150" s="1189"/>
      <c r="N150" s="1189"/>
      <c r="O150" s="1189"/>
      <c r="P150" s="1189"/>
      <c r="Q150" s="1189"/>
      <c r="R150" s="1189"/>
      <c r="S150" s="1189"/>
      <c r="T150" s="1189"/>
      <c r="U150" s="1189"/>
      <c r="V150" s="1189"/>
      <c r="W150" s="1189"/>
      <c r="X150" s="1189"/>
      <c r="Y150" s="1193"/>
      <c r="Z150" s="1174"/>
      <c r="AA150" s="1181"/>
      <c r="AB150" s="1174"/>
      <c r="AC150" s="1174"/>
      <c r="AD150" s="1174"/>
    </row>
    <row r="151" customFormat="false" ht="9" hidden="false" customHeight="true" outlineLevel="0" collapsed="false">
      <c r="A151" s="1191"/>
      <c r="B151" s="1191"/>
      <c r="C151" s="1191"/>
      <c r="D151" s="1191"/>
      <c r="E151" s="1191"/>
      <c r="F151" s="1191"/>
      <c r="G151" s="1191"/>
      <c r="H151" s="1191"/>
      <c r="I151" s="1191"/>
      <c r="J151" s="1191"/>
      <c r="K151" s="1191"/>
      <c r="L151" s="1191"/>
      <c r="M151" s="1191"/>
      <c r="N151" s="1191"/>
      <c r="O151" s="1191"/>
      <c r="P151" s="1191"/>
      <c r="Q151" s="1191"/>
      <c r="R151" s="1191"/>
      <c r="S151" s="1191"/>
      <c r="T151" s="1191"/>
      <c r="U151" s="1191"/>
      <c r="V151" s="1191"/>
      <c r="W151" s="1191"/>
      <c r="X151" s="1191"/>
      <c r="Y151" s="1191"/>
      <c r="Z151" s="1191"/>
      <c r="AA151" s="1191"/>
      <c r="AB151" s="1191"/>
      <c r="AC151" s="1191"/>
      <c r="AD151" s="1191"/>
    </row>
    <row r="152" customFormat="false" ht="9" hidden="false" customHeight="true" outlineLevel="0" collapsed="false">
      <c r="A152" s="1191" t="s">
        <v>1802</v>
      </c>
      <c r="B152" s="1191"/>
      <c r="C152" s="1189"/>
      <c r="D152" s="1189"/>
      <c r="E152" s="1189"/>
      <c r="F152" s="1189"/>
      <c r="G152" s="1189"/>
      <c r="H152" s="1189"/>
      <c r="I152" s="1189"/>
      <c r="J152" s="1189"/>
      <c r="K152" s="1189"/>
      <c r="L152" s="1189"/>
      <c r="M152" s="1189"/>
      <c r="N152" s="1189"/>
      <c r="O152" s="1189"/>
      <c r="P152" s="1189"/>
      <c r="Q152" s="1189"/>
      <c r="R152" s="1189"/>
      <c r="S152" s="1189"/>
      <c r="T152" s="1189"/>
      <c r="U152" s="1189"/>
      <c r="V152" s="1189"/>
      <c r="W152" s="1189"/>
      <c r="X152" s="1189"/>
      <c r="Y152" s="1193"/>
      <c r="Z152" s="1174"/>
      <c r="AA152" s="1181"/>
      <c r="AB152" s="1174"/>
      <c r="AC152" s="1174"/>
      <c r="AD152" s="1174"/>
    </row>
    <row r="153" customFormat="false" ht="9" hidden="false" customHeight="true" outlineLevel="0" collapsed="false">
      <c r="A153" s="1191"/>
      <c r="B153" s="1191"/>
      <c r="C153" s="1191"/>
      <c r="D153" s="1191"/>
      <c r="E153" s="1191"/>
      <c r="F153" s="1191"/>
      <c r="G153" s="1191"/>
      <c r="H153" s="1191"/>
      <c r="I153" s="1191"/>
      <c r="J153" s="1191"/>
      <c r="K153" s="1191"/>
      <c r="L153" s="1191"/>
      <c r="M153" s="1191"/>
      <c r="N153" s="1191"/>
      <c r="O153" s="1191"/>
      <c r="P153" s="1191"/>
      <c r="Q153" s="1191"/>
      <c r="R153" s="1191"/>
      <c r="S153" s="1191"/>
      <c r="T153" s="1191"/>
      <c r="U153" s="1191"/>
      <c r="V153" s="1191"/>
      <c r="W153" s="1191"/>
      <c r="X153" s="1191"/>
      <c r="Y153" s="1191"/>
      <c r="Z153" s="1191"/>
      <c r="AA153" s="1191"/>
      <c r="AB153" s="1191"/>
      <c r="AC153" s="1191"/>
      <c r="AD153" s="1191"/>
    </row>
    <row r="154" customFormat="false" ht="9" hidden="false" customHeight="true" outlineLevel="0" collapsed="false">
      <c r="A154" s="1191" t="s">
        <v>1807</v>
      </c>
      <c r="B154" s="1191"/>
      <c r="C154" s="1189"/>
      <c r="D154" s="1189"/>
      <c r="E154" s="1189"/>
      <c r="F154" s="1189"/>
      <c r="G154" s="1189"/>
      <c r="H154" s="1189"/>
      <c r="I154" s="1189"/>
      <c r="J154" s="1189"/>
      <c r="K154" s="1189"/>
      <c r="L154" s="1189"/>
      <c r="M154" s="1189"/>
      <c r="N154" s="1189"/>
      <c r="O154" s="1189"/>
      <c r="P154" s="1189"/>
      <c r="Q154" s="1189"/>
      <c r="R154" s="1189"/>
      <c r="S154" s="1189"/>
      <c r="T154" s="1189"/>
      <c r="U154" s="1189"/>
      <c r="V154" s="1189"/>
      <c r="W154" s="1189"/>
      <c r="X154" s="1189"/>
      <c r="Y154" s="1193"/>
      <c r="Z154" s="1174"/>
      <c r="AA154" s="1181"/>
      <c r="AB154" s="1174"/>
      <c r="AC154" s="1174"/>
      <c r="AD154" s="1174"/>
    </row>
  </sheetData>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D4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2.28"/>
    <col collapsed="false" customWidth="true" hidden="true" outlineLevel="0" max="8" min="6" style="51" width="12.28"/>
    <col collapsed="false" customWidth="true" hidden="false" outlineLevel="0" max="9" min="9" style="50" width="3"/>
    <col collapsed="false" customWidth="true" hidden="false" outlineLevel="0" max="11" min="10" style="411" width="3"/>
    <col collapsed="false" customWidth="true" hidden="false" outlineLevel="0" max="12" min="12" style="75" width="12"/>
    <col collapsed="false" customWidth="true" hidden="false" outlineLevel="0" max="13" min="13" style="42" width="31"/>
    <col collapsed="false" customWidth="true" hidden="false" outlineLevel="0" max="14" min="14" style="42" width="1"/>
    <col collapsed="false" customWidth="true" hidden="false" outlineLevel="0" max="18" min="15" style="42" width="24"/>
    <col collapsed="false" customWidth="true" hidden="false" outlineLevel="0" max="19" min="19" style="42" width="11"/>
    <col collapsed="false" customWidth="true" hidden="false" outlineLevel="0" max="20" min="20" style="42" width="3.71"/>
    <col collapsed="false" customWidth="true" hidden="false" outlineLevel="0" max="21" min="21" style="42" width="11"/>
    <col collapsed="false" customWidth="true" hidden="false" outlineLevel="0" max="22" min="22" style="42" width="8.57"/>
    <col collapsed="false" customWidth="true" hidden="false" outlineLevel="0" max="23" min="23" style="42" width="4"/>
    <col collapsed="false" customWidth="true" hidden="false" outlineLevel="0" max="24" min="24" style="42" width="115"/>
    <col collapsed="false" customWidth="true" hidden="false" outlineLevel="0" max="29" min="25" style="47" width="10"/>
    <col collapsed="false" customWidth="false" hidden="true" outlineLevel="0" max="30" min="30" style="42" width="10.57"/>
  </cols>
  <sheetData>
    <row r="1" customFormat="false" ht="22.5" hidden="true" customHeight="true" outlineLevel="0" collapsed="false">
      <c r="AD1" s="42" t="s">
        <v>14</v>
      </c>
    </row>
    <row r="2" customFormat="false" ht="14.25" hidden="true" customHeight="true" outlineLevel="0" collapsed="false">
      <c r="AD2" s="42" t="n">
        <v>0</v>
      </c>
    </row>
    <row r="3" customFormat="false" ht="14.25" hidden="true" customHeight="true" outlineLevel="0" collapsed="false">
      <c r="AD3" s="42" t="n">
        <v>0</v>
      </c>
    </row>
    <row r="4" customFormat="false" ht="14.25" hidden="false" customHeight="true" outlineLevel="0" collapsed="false">
      <c r="J4" s="464"/>
      <c r="K4" s="464"/>
      <c r="L4" s="465"/>
      <c r="M4" s="80"/>
      <c r="N4" s="80"/>
      <c r="AD4" s="42" t="n">
        <v>14</v>
      </c>
    </row>
    <row r="5" customFormat="false" ht="66.75" hidden="false" customHeight="true" outlineLevel="0" collapsed="false">
      <c r="J5" s="464"/>
      <c r="K5" s="464"/>
      <c r="L5" s="1218" t="s">
        <v>2356</v>
      </c>
      <c r="M5" s="1218"/>
      <c r="N5" s="1218"/>
      <c r="O5" s="1218"/>
      <c r="P5" s="1218"/>
      <c r="Q5" s="1218"/>
      <c r="R5" s="1218"/>
      <c r="S5" s="1218"/>
      <c r="T5" s="1218"/>
      <c r="U5" s="1218"/>
      <c r="V5" s="222"/>
      <c r="AD5" s="42" t="n">
        <v>64</v>
      </c>
    </row>
    <row r="6" customFormat="false" ht="14.25" hidden="false" customHeight="true" outlineLevel="0" collapsed="false">
      <c r="J6" s="464"/>
      <c r="K6" s="464"/>
      <c r="L6" s="1219" t="str">
        <f aca="false">IF(org=0,"Не определено",org)</f>
        <v>ООО "Газпром теплоэнерго Ярославль"</v>
      </c>
      <c r="M6" s="1219"/>
      <c r="N6" s="1219"/>
      <c r="O6" s="1219"/>
      <c r="P6" s="1219"/>
      <c r="Q6" s="1219"/>
      <c r="R6" s="1219"/>
      <c r="S6" s="1219"/>
      <c r="T6" s="1219"/>
      <c r="U6" s="1219"/>
      <c r="V6" s="222"/>
      <c r="AD6" s="42" t="n">
        <v>14</v>
      </c>
    </row>
    <row r="7" customFormat="false" ht="14.25" hidden="false" customHeight="true" outlineLevel="0" collapsed="false">
      <c r="J7" s="464"/>
      <c r="K7" s="464"/>
      <c r="L7" s="465"/>
      <c r="M7" s="80"/>
      <c r="N7" s="80"/>
      <c r="O7" s="466"/>
      <c r="P7" s="466"/>
      <c r="Q7" s="466"/>
      <c r="R7" s="466"/>
      <c r="S7" s="466"/>
      <c r="T7" s="466"/>
      <c r="U7" s="466"/>
      <c r="V7" s="466"/>
      <c r="AD7" s="42" t="n">
        <v>14</v>
      </c>
    </row>
    <row r="8" s="175" customFormat="true" ht="48" hidden="false" customHeight="true" outlineLevel="0" collapsed="false">
      <c r="A8" s="140"/>
      <c r="B8" s="140"/>
      <c r="C8" s="140"/>
      <c r="D8" s="140"/>
      <c r="E8" s="140"/>
      <c r="F8" s="140"/>
      <c r="G8" s="140"/>
      <c r="H8" s="140"/>
      <c r="L8" s="979"/>
      <c r="M8" s="467" t="s">
        <v>40</v>
      </c>
      <c r="N8" s="964"/>
      <c r="O8" s="469" t="str">
        <f aca="false">IF(TITLE_NAME_OR_PR_CHANGE="",IF(TITLE_NAME_OR_PR="","",TITLE_NAME_OR_PR),TITLE_NAME_OR_PR_CHANGE)</f>
        <v/>
      </c>
      <c r="P8" s="469"/>
      <c r="Q8" s="469"/>
      <c r="R8" s="469"/>
      <c r="S8" s="469"/>
      <c r="T8" s="469"/>
      <c r="U8" s="469"/>
      <c r="V8" s="42"/>
      <c r="W8" s="42"/>
      <c r="X8" s="470"/>
      <c r="Y8" s="118"/>
      <c r="Z8" s="118"/>
      <c r="AA8" s="118"/>
      <c r="AB8" s="118"/>
      <c r="AC8" s="118"/>
      <c r="AD8" s="175" t="n">
        <v>46</v>
      </c>
    </row>
    <row r="9" s="175" customFormat="true" ht="24" hidden="false" customHeight="true" outlineLevel="0" collapsed="false">
      <c r="A9" s="140"/>
      <c r="B9" s="140"/>
      <c r="C9" s="140"/>
      <c r="D9" s="140"/>
      <c r="E9" s="140"/>
      <c r="F9" s="140"/>
      <c r="G9" s="140"/>
      <c r="H9" s="140"/>
      <c r="L9" s="979"/>
      <c r="M9" s="467" t="s">
        <v>436</v>
      </c>
      <c r="N9" s="964"/>
      <c r="O9" s="469" t="str">
        <f aca="false">IF(TITLE_DATE_CHANGE_PERIOD="",IF(TITLE_DATE_PR="","",TITLE_DATE_PR),TITLE_DATE_CHANGE_PERIOD)</f>
        <v/>
      </c>
      <c r="P9" s="469"/>
      <c r="Q9" s="469"/>
      <c r="R9" s="469"/>
      <c r="S9" s="469"/>
      <c r="T9" s="469"/>
      <c r="U9" s="469"/>
      <c r="V9" s="42"/>
      <c r="W9" s="42"/>
      <c r="X9" s="470"/>
      <c r="Y9" s="118"/>
      <c r="Z9" s="118"/>
      <c r="AA9" s="118"/>
      <c r="AB9" s="118"/>
      <c r="AC9" s="118"/>
      <c r="AD9" s="175" t="n">
        <v>23</v>
      </c>
    </row>
    <row r="10" s="175" customFormat="true" ht="24" hidden="false" customHeight="true" outlineLevel="0" collapsed="false">
      <c r="A10" s="140"/>
      <c r="B10" s="140"/>
      <c r="C10" s="140"/>
      <c r="D10" s="140"/>
      <c r="E10" s="140"/>
      <c r="F10" s="140"/>
      <c r="G10" s="140"/>
      <c r="H10" s="140"/>
      <c r="L10" s="75"/>
      <c r="M10" s="467" t="s">
        <v>437</v>
      </c>
      <c r="N10" s="964"/>
      <c r="O10" s="469" t="str">
        <f aca="false">IF(TITLE_NUMBER_PR_CHANGE="",IF(TITLE_NUMBER_PR="","",TITLE_NUMBER_PR),TITLE_NUMBER_PR_CHANGE)</f>
        <v/>
      </c>
      <c r="P10" s="469"/>
      <c r="Q10" s="469"/>
      <c r="R10" s="469"/>
      <c r="S10" s="469"/>
      <c r="T10" s="469"/>
      <c r="U10" s="469"/>
      <c r="V10" s="42"/>
      <c r="W10" s="42"/>
      <c r="X10" s="470"/>
      <c r="Y10" s="118"/>
      <c r="Z10" s="118"/>
      <c r="AA10" s="118"/>
      <c r="AB10" s="118"/>
      <c r="AC10" s="118"/>
      <c r="AD10" s="175" t="n">
        <v>23</v>
      </c>
    </row>
    <row r="11" s="175" customFormat="true" ht="24" hidden="false" customHeight="true" outlineLevel="0" collapsed="false">
      <c r="A11" s="140"/>
      <c r="B11" s="140"/>
      <c r="C11" s="140"/>
      <c r="D11" s="140"/>
      <c r="E11" s="140"/>
      <c r="F11" s="140"/>
      <c r="G11" s="140"/>
      <c r="H11" s="140"/>
      <c r="L11" s="75"/>
      <c r="M11" s="467" t="s">
        <v>41</v>
      </c>
      <c r="N11" s="964"/>
      <c r="O11" s="469" t="str">
        <f aca="false">IF(TITLE_IST_PUB_CHANGE="",IF(TITLE_IST_PUB="","",TITLE_IST_PUB),TITLE_IST_PUB_CHANGE)</f>
        <v/>
      </c>
      <c r="P11" s="469"/>
      <c r="Q11" s="469"/>
      <c r="R11" s="469"/>
      <c r="S11" s="469"/>
      <c r="T11" s="469"/>
      <c r="U11" s="469"/>
      <c r="V11" s="42"/>
      <c r="W11" s="42"/>
      <c r="X11" s="470"/>
      <c r="Y11" s="118"/>
      <c r="Z11" s="118"/>
      <c r="AA11" s="118"/>
      <c r="AB11" s="118"/>
      <c r="AC11" s="118"/>
      <c r="AD11" s="175" t="n">
        <v>23</v>
      </c>
    </row>
    <row r="12" s="175" customFormat="true" ht="11.25" hidden="true" customHeight="true" outlineLevel="0" collapsed="false">
      <c r="A12" s="140"/>
      <c r="B12" s="140"/>
      <c r="C12" s="140"/>
      <c r="D12" s="140"/>
      <c r="E12" s="140"/>
      <c r="F12" s="140"/>
      <c r="G12" s="140"/>
      <c r="H12" s="140"/>
      <c r="L12" s="128"/>
      <c r="M12" s="128"/>
      <c r="N12" s="128"/>
      <c r="O12" s="42"/>
      <c r="P12" s="42"/>
      <c r="Q12" s="42"/>
      <c r="R12" s="42"/>
      <c r="S12" s="42"/>
      <c r="T12" s="42"/>
      <c r="U12" s="42"/>
      <c r="V12" s="47" t="s">
        <v>440</v>
      </c>
      <c r="Y12" s="118"/>
      <c r="Z12" s="118"/>
      <c r="AA12" s="118"/>
      <c r="AB12" s="118"/>
      <c r="AC12" s="118"/>
      <c r="AD12" s="175" t="n">
        <v>0</v>
      </c>
    </row>
    <row r="13" customFormat="false" ht="14.25" hidden="false" customHeight="true" outlineLevel="0" collapsed="false">
      <c r="J13" s="464"/>
      <c r="K13" s="464"/>
      <c r="L13" s="465"/>
      <c r="M13" s="80"/>
      <c r="N13" s="472"/>
      <c r="O13" s="473"/>
      <c r="P13" s="473"/>
      <c r="Q13" s="473"/>
      <c r="R13" s="473"/>
      <c r="S13" s="473"/>
      <c r="T13" s="473"/>
      <c r="U13" s="473"/>
      <c r="V13" s="473"/>
      <c r="AD13" s="42" t="n">
        <v>14</v>
      </c>
    </row>
    <row r="14" customFormat="false" ht="14.25" hidden="false" customHeight="true" outlineLevel="0" collapsed="false">
      <c r="J14" s="464"/>
      <c r="K14" s="464"/>
      <c r="L14" s="134" t="s">
        <v>313</v>
      </c>
      <c r="M14" s="134"/>
      <c r="N14" s="134"/>
      <c r="O14" s="134"/>
      <c r="P14" s="134"/>
      <c r="Q14" s="134"/>
      <c r="R14" s="134"/>
      <c r="S14" s="134"/>
      <c r="T14" s="134"/>
      <c r="U14" s="134"/>
      <c r="V14" s="134"/>
      <c r="W14" s="134"/>
      <c r="X14" s="134" t="s">
        <v>314</v>
      </c>
      <c r="AD14" s="42" t="n">
        <v>14</v>
      </c>
    </row>
    <row r="15" customFormat="false" ht="14.25" hidden="false" customHeight="true" outlineLevel="0" collapsed="false">
      <c r="J15" s="464"/>
      <c r="K15" s="464"/>
      <c r="L15" s="474" t="s">
        <v>87</v>
      </c>
      <c r="M15" s="391" t="s">
        <v>441</v>
      </c>
      <c r="N15" s="475"/>
      <c r="O15" s="296" t="s">
        <v>2357</v>
      </c>
      <c r="P15" s="296"/>
      <c r="Q15" s="296"/>
      <c r="R15" s="296"/>
      <c r="S15" s="296"/>
      <c r="T15" s="296"/>
      <c r="U15" s="296"/>
      <c r="V15" s="391" t="s">
        <v>443</v>
      </c>
      <c r="W15" s="476" t="s">
        <v>1316</v>
      </c>
      <c r="X15" s="134"/>
      <c r="AD15" s="42" t="n">
        <v>14</v>
      </c>
    </row>
    <row r="16" customFormat="false" ht="35.25" hidden="false" customHeight="true" outlineLevel="0" collapsed="false">
      <c r="J16" s="464"/>
      <c r="K16" s="464"/>
      <c r="L16" s="474"/>
      <c r="M16" s="391"/>
      <c r="N16" s="477"/>
      <c r="O16" s="134" t="s">
        <v>446</v>
      </c>
      <c r="P16" s="134" t="s">
        <v>447</v>
      </c>
      <c r="Q16" s="134" t="s">
        <v>448</v>
      </c>
      <c r="R16" s="134"/>
      <c r="S16" s="134" t="s">
        <v>462</v>
      </c>
      <c r="T16" s="134"/>
      <c r="U16" s="134"/>
      <c r="V16" s="391"/>
      <c r="W16" s="476"/>
      <c r="X16" s="134"/>
      <c r="AD16" s="42" t="n">
        <v>34</v>
      </c>
    </row>
    <row r="17" customFormat="false" ht="35.25" hidden="false" customHeight="true" outlineLevel="0" collapsed="false">
      <c r="A17" s="140" t="s">
        <v>149</v>
      </c>
      <c r="B17" s="140" t="s">
        <v>150</v>
      </c>
      <c r="C17" s="140" t="s">
        <v>151</v>
      </c>
      <c r="D17" s="140" t="s">
        <v>152</v>
      </c>
      <c r="E17" s="140"/>
      <c r="J17" s="464"/>
      <c r="K17" s="464"/>
      <c r="L17" s="474"/>
      <c r="M17" s="391"/>
      <c r="N17" s="478"/>
      <c r="O17" s="134"/>
      <c r="P17" s="134"/>
      <c r="Q17" s="185" t="s">
        <v>457</v>
      </c>
      <c r="R17" s="185" t="s">
        <v>458</v>
      </c>
      <c r="S17" s="185" t="s">
        <v>459</v>
      </c>
      <c r="T17" s="185" t="s">
        <v>460</v>
      </c>
      <c r="U17" s="185"/>
      <c r="V17" s="391"/>
      <c r="W17" s="476"/>
      <c r="X17" s="134"/>
      <c r="AD17" s="42" t="n">
        <v>34</v>
      </c>
    </row>
    <row r="18" s="120" customFormat="true" ht="11.25" hidden="false" customHeight="true" outlineLevel="0" collapsed="false">
      <c r="A18" s="140"/>
      <c r="B18" s="140"/>
      <c r="C18" s="140"/>
      <c r="D18" s="140"/>
      <c r="E18" s="140"/>
      <c r="F18" s="51"/>
      <c r="G18" s="51"/>
      <c r="H18" s="51"/>
      <c r="I18" s="479"/>
      <c r="J18" s="480"/>
      <c r="K18" s="481" t="n">
        <v>1</v>
      </c>
      <c r="L18" s="482" t="s">
        <v>120</v>
      </c>
      <c r="M18" s="483" t="s">
        <v>102</v>
      </c>
      <c r="N18" s="484" t="str">
        <f aca="true">OFFSET(N18,0,-1)</f>
        <v>2</v>
      </c>
      <c r="O18" s="485" t="n">
        <f aca="true">OFFSET(O18,0,-1)+1</f>
        <v>3</v>
      </c>
      <c r="P18" s="485"/>
      <c r="Q18" s="485" t="n">
        <f aca="true">OFFSET(Q18,0,-1)+1</f>
        <v>1</v>
      </c>
      <c r="R18" s="485" t="n">
        <f aca="true">OFFSET(R18,0,-1)+1</f>
        <v>2</v>
      </c>
      <c r="S18" s="485" t="n">
        <f aca="true">OFFSET(S18,0,-1)+1</f>
        <v>3</v>
      </c>
      <c r="T18" s="485" t="n">
        <f aca="true">OFFSET(T18,0,-1)+1</f>
        <v>4</v>
      </c>
      <c r="U18" s="485"/>
      <c r="V18" s="485" t="n">
        <f aca="true">OFFSET(V18,0,-2)+1</f>
        <v>5</v>
      </c>
      <c r="W18" s="484" t="n">
        <f aca="true">OFFSET(W18,0,-1)</f>
        <v>5</v>
      </c>
      <c r="X18" s="485" t="n">
        <f aca="true">OFFSET(X18,0,-1)+1</f>
        <v>6</v>
      </c>
      <c r="Y18" s="47"/>
      <c r="Z18" s="47"/>
      <c r="AA18" s="47"/>
      <c r="AB18" s="47"/>
      <c r="AC18" s="47"/>
      <c r="AD18" s="120" t="n">
        <v>11</v>
      </c>
    </row>
    <row r="19" customFormat="false" ht="21" hidden="false" customHeight="true" outlineLevel="0" collapsed="false">
      <c r="A19" s="412" t="s">
        <v>183</v>
      </c>
      <c r="B19" s="412" t="s">
        <v>184</v>
      </c>
      <c r="C19" s="412" t="s">
        <v>185</v>
      </c>
      <c r="D19" s="412" t="s">
        <v>186</v>
      </c>
      <c r="E19" s="412"/>
      <c r="F19" s="40"/>
      <c r="G19" s="40"/>
      <c r="H19" s="40"/>
      <c r="J19" s="132"/>
      <c r="K19" s="415"/>
      <c r="L19" s="416" t="n">
        <f aca="false">INDEX(PT_DIFFERENTIATION_NUM_NTAR,MATCH(A19,PT_DIFFERENTIATION_NTAR_ID,0))</f>
        <v>0</v>
      </c>
      <c r="M19" s="417" t="s">
        <v>138</v>
      </c>
      <c r="N19" s="418"/>
      <c r="O19" s="1220" t="str">
        <f aca="false">INDEX(PT_DIFFERENTIATION_NTAR,MATCH(A19,PT_DIFFERENTIATION_NTAR_ID,0))</f>
        <v/>
      </c>
      <c r="P19" s="1220"/>
      <c r="Q19" s="1220"/>
      <c r="R19" s="1220"/>
      <c r="S19" s="1220"/>
      <c r="T19" s="1220"/>
      <c r="U19" s="1220"/>
      <c r="V19" s="1220"/>
      <c r="W19" s="1220"/>
      <c r="X19" s="421" t="s">
        <v>409</v>
      </c>
      <c r="Z19" s="118"/>
      <c r="AA19" s="118" t="str">
        <f aca="false">IF(M19="","",M19)</f>
        <v>Наименование тарифа</v>
      </c>
      <c r="AB19" s="118"/>
      <c r="AC19" s="118"/>
      <c r="AD19" s="42" t="n">
        <v>20</v>
      </c>
    </row>
    <row r="20" customFormat="false" ht="21" hidden="false" customHeight="true" outlineLevel="0" collapsed="false">
      <c r="A20" s="412" t="s">
        <v>183</v>
      </c>
      <c r="B20" s="412" t="s">
        <v>184</v>
      </c>
      <c r="C20" s="412" t="s">
        <v>185</v>
      </c>
      <c r="D20" s="412" t="s">
        <v>186</v>
      </c>
      <c r="E20" s="412"/>
      <c r="F20" s="40"/>
      <c r="G20" s="40"/>
      <c r="H20" s="40"/>
      <c r="I20" s="43"/>
      <c r="J20" s="422"/>
      <c r="K20" s="423"/>
      <c r="L20" s="416" t="str">
        <f aca="false">INDEX(PT_DIFFERENTIATION_NUM_TER,MATCH(B19,PT_DIFFERENTIATION_TER_ID,0))</f>
        <v>.</v>
      </c>
      <c r="M20" s="424" t="s">
        <v>410</v>
      </c>
      <c r="N20" s="418"/>
      <c r="O20" s="1220" t="str">
        <f aca="false">INDEX(PT_DIFFERENTIATION_TER,MATCH(B19,PT_DIFFERENTIATION_TER_ID,0))</f>
        <v/>
      </c>
      <c r="P20" s="1220"/>
      <c r="Q20" s="1220"/>
      <c r="R20" s="1220"/>
      <c r="S20" s="1220"/>
      <c r="T20" s="1220"/>
      <c r="U20" s="1220"/>
      <c r="V20" s="1220"/>
      <c r="W20" s="1220"/>
      <c r="X20" s="421" t="s">
        <v>411</v>
      </c>
      <c r="Z20" s="118"/>
      <c r="AA20" s="118" t="str">
        <f aca="false">IF(M20="","",M20)</f>
        <v>Территория действия тарифа</v>
      </c>
      <c r="AB20" s="118"/>
      <c r="AC20" s="118"/>
      <c r="AD20" s="42" t="n">
        <v>20</v>
      </c>
    </row>
    <row r="21" customFormat="false" ht="24" hidden="false" customHeight="true" outlineLevel="0" collapsed="false">
      <c r="A21" s="412" t="s">
        <v>183</v>
      </c>
      <c r="B21" s="412" t="s">
        <v>184</v>
      </c>
      <c r="C21" s="412" t="s">
        <v>185</v>
      </c>
      <c r="D21" s="412" t="s">
        <v>186</v>
      </c>
      <c r="E21" s="412"/>
      <c r="F21" s="40"/>
      <c r="G21" s="40"/>
      <c r="H21" s="40"/>
      <c r="I21" s="425"/>
      <c r="J21" s="422"/>
      <c r="K21" s="423"/>
      <c r="L21" s="416" t="str">
        <f aca="false">INDEX(PT_DIFFERENTIATION_NUM_CS,MATCH(C19,PT_DIFFERENTIATION_CS_ID,0))</f>
        <v>..</v>
      </c>
      <c r="M21" s="426" t="s">
        <v>412</v>
      </c>
      <c r="N21" s="418"/>
      <c r="O21" s="1220" t="str">
        <f aca="false">INDEX(PT_DIFFERENTIATION_CS,MATCH(C19,PT_DIFFERENTIATION_CS_ID,0))</f>
        <v/>
      </c>
      <c r="P21" s="1220"/>
      <c r="Q21" s="1220"/>
      <c r="R21" s="1220"/>
      <c r="S21" s="1220"/>
      <c r="T21" s="1220"/>
      <c r="U21" s="1220"/>
      <c r="V21" s="1220"/>
      <c r="W21" s="1220"/>
      <c r="X21" s="421" t="s">
        <v>413</v>
      </c>
      <c r="Z21" s="118"/>
      <c r="AA21" s="118" t="str">
        <f aca="false">IF(M21="","",M21)</f>
        <v>Наименование системы теплоснабжения</v>
      </c>
      <c r="AB21" s="118"/>
      <c r="AC21" s="118"/>
      <c r="AD21" s="42" t="n">
        <v>23</v>
      </c>
    </row>
    <row r="22" customFormat="false" ht="21" hidden="false" customHeight="true" outlineLevel="0" collapsed="false">
      <c r="A22" s="412" t="s">
        <v>183</v>
      </c>
      <c r="B22" s="412" t="s">
        <v>184</v>
      </c>
      <c r="C22" s="412" t="s">
        <v>185</v>
      </c>
      <c r="D22" s="412" t="s">
        <v>186</v>
      </c>
      <c r="E22" s="412"/>
      <c r="F22" s="40"/>
      <c r="G22" s="40"/>
      <c r="H22" s="40"/>
      <c r="I22" s="425"/>
      <c r="J22" s="422"/>
      <c r="K22" s="423"/>
      <c r="L22" s="416" t="str">
        <f aca="false">INDEX(PT_DIFFERENTIATION_NUM_IST_TE,MATCH(D19,PT_DIFFERENTIATION_IST_TE_ID,0))</f>
        <v>...</v>
      </c>
      <c r="M22" s="427" t="s">
        <v>414</v>
      </c>
      <c r="N22" s="418"/>
      <c r="O22" s="1220" t="str">
        <f aca="false">INDEX(PT_DIFFERENTIATION_IST_TE,MATCH(D19,PT_DIFFERENTIATION_IST_TE_ID,0))</f>
        <v/>
      </c>
      <c r="P22" s="1220"/>
      <c r="Q22" s="1220"/>
      <c r="R22" s="1220"/>
      <c r="S22" s="1220"/>
      <c r="T22" s="1220"/>
      <c r="U22" s="1220"/>
      <c r="V22" s="1220"/>
      <c r="W22" s="1220"/>
      <c r="X22" s="421" t="s">
        <v>415</v>
      </c>
      <c r="Z22" s="118"/>
      <c r="AA22" s="118" t="str">
        <f aca="false">IF(M22="","",M22)</f>
        <v>Источник тепловой энергии</v>
      </c>
      <c r="AB22" s="118"/>
      <c r="AC22" s="118"/>
      <c r="AD22" s="42" t="n">
        <v>20</v>
      </c>
    </row>
    <row r="23" customFormat="false" ht="96.75" hidden="false" customHeight="true" outlineLevel="0" collapsed="false">
      <c r="A23" s="412" t="s">
        <v>183</v>
      </c>
      <c r="B23" s="412" t="s">
        <v>184</v>
      </c>
      <c r="C23" s="412" t="s">
        <v>185</v>
      </c>
      <c r="D23" s="412" t="s">
        <v>186</v>
      </c>
      <c r="E23" s="412"/>
      <c r="F23" s="1221" t="str">
        <f aca="false">L22&amp;".1"</f>
        <v>....1</v>
      </c>
      <c r="I23" s="121" t="n">
        <v>1</v>
      </c>
      <c r="J23" s="121"/>
      <c r="K23" s="429"/>
      <c r="L23" s="416" t="str">
        <f aca="false">$F$23</f>
        <v>....1</v>
      </c>
      <c r="M23" s="430" t="s">
        <v>417</v>
      </c>
      <c r="N23" s="418"/>
      <c r="O23" s="431"/>
      <c r="P23" s="431"/>
      <c r="Q23" s="431"/>
      <c r="R23" s="431"/>
      <c r="S23" s="431"/>
      <c r="T23" s="431"/>
      <c r="U23" s="431"/>
      <c r="V23" s="431"/>
      <c r="W23" s="431"/>
      <c r="X23" s="421" t="s">
        <v>418</v>
      </c>
      <c r="Z23" s="118"/>
      <c r="AA23" s="118" t="str">
        <f aca="false">IF(M23="","",M23)</f>
        <v>Схема подключения теплопотребляющей установки к коллектору источника тепловой энергии</v>
      </c>
      <c r="AB23" s="118"/>
      <c r="AC23" s="118"/>
      <c r="AD23" s="42" t="n">
        <v>92</v>
      </c>
    </row>
    <row r="24" customFormat="false" ht="86.25" hidden="false" customHeight="true" outlineLevel="0" collapsed="false">
      <c r="A24" s="412" t="s">
        <v>183</v>
      </c>
      <c r="B24" s="412" t="s">
        <v>184</v>
      </c>
      <c r="C24" s="412" t="s">
        <v>185</v>
      </c>
      <c r="D24" s="412" t="s">
        <v>186</v>
      </c>
      <c r="E24" s="412"/>
      <c r="F24" s="1221"/>
      <c r="G24" s="1221" t="str">
        <f aca="false">F23&amp;".1"</f>
        <v>....1.1</v>
      </c>
      <c r="I24" s="121"/>
      <c r="J24" s="121" t="n">
        <v>1</v>
      </c>
      <c r="K24" s="432"/>
      <c r="L24" s="416" t="str">
        <f aca="false">$G$24</f>
        <v>....1.1</v>
      </c>
      <c r="M24" s="433" t="s">
        <v>420</v>
      </c>
      <c r="N24" s="418"/>
      <c r="O24" s="431"/>
      <c r="P24" s="431"/>
      <c r="Q24" s="431"/>
      <c r="R24" s="431"/>
      <c r="S24" s="431"/>
      <c r="T24" s="431"/>
      <c r="U24" s="431"/>
      <c r="V24" s="431"/>
      <c r="W24" s="431"/>
      <c r="X24" s="421" t="s">
        <v>421</v>
      </c>
      <c r="Z24" s="118"/>
      <c r="AA24" s="118" t="str">
        <f aca="false">IF(M24="","",M24)</f>
        <v>Группа потребителей</v>
      </c>
      <c r="AB24" s="118"/>
      <c r="AC24" s="118"/>
      <c r="AD24" s="42" t="n">
        <v>82</v>
      </c>
    </row>
    <row r="25" customFormat="false" ht="11.25" hidden="false" customHeight="true" outlineLevel="0" collapsed="false">
      <c r="A25" s="412" t="s">
        <v>183</v>
      </c>
      <c r="B25" s="412" t="s">
        <v>184</v>
      </c>
      <c r="C25" s="412" t="s">
        <v>185</v>
      </c>
      <c r="D25" s="412" t="s">
        <v>186</v>
      </c>
      <c r="E25" s="412"/>
      <c r="F25" s="1221"/>
      <c r="G25" s="1221"/>
      <c r="H25" s="1221" t="str">
        <f aca="false">G24&amp;".1"</f>
        <v>....1.1.1</v>
      </c>
      <c r="I25" s="121"/>
      <c r="J25" s="121"/>
      <c r="K25" s="432" t="n">
        <v>1</v>
      </c>
      <c r="L25" s="416" t="str">
        <f aca="false">$H$25</f>
        <v>....1.1.1</v>
      </c>
      <c r="M25" s="434"/>
      <c r="N25" s="418"/>
      <c r="O25" s="435"/>
      <c r="P25" s="436"/>
      <c r="Q25" s="435"/>
      <c r="R25" s="437"/>
      <c r="S25" s="438"/>
      <c r="T25" s="204" t="s">
        <v>61</v>
      </c>
      <c r="U25" s="438"/>
      <c r="V25" s="204" t="s">
        <v>19</v>
      </c>
      <c r="W25" s="436"/>
      <c r="X25" s="439" t="s">
        <v>423</v>
      </c>
      <c r="Y25" s="47" t="e">
        <f aca="false">strcheckdate(O26:W26)</f>
        <v>#NAME?</v>
      </c>
      <c r="Z25" s="118"/>
      <c r="AA25" s="118" t="str">
        <f aca="false">IF(M25="","",M25)</f>
        <v/>
      </c>
      <c r="AB25" s="118"/>
      <c r="AC25" s="118"/>
      <c r="AD25" s="42" t="n">
        <v>11</v>
      </c>
    </row>
    <row r="26" customFormat="false" ht="11.25" hidden="false" customHeight="true" outlineLevel="0" collapsed="false">
      <c r="A26" s="412" t="s">
        <v>183</v>
      </c>
      <c r="B26" s="412" t="s">
        <v>184</v>
      </c>
      <c r="C26" s="412" t="s">
        <v>185</v>
      </c>
      <c r="D26" s="412" t="s">
        <v>186</v>
      </c>
      <c r="E26" s="412"/>
      <c r="F26" s="1221"/>
      <c r="G26" s="1221"/>
      <c r="H26" s="1221"/>
      <c r="I26" s="121"/>
      <c r="J26" s="121"/>
      <c r="K26" s="432"/>
      <c r="L26" s="393"/>
      <c r="M26" s="418"/>
      <c r="N26" s="418"/>
      <c r="O26" s="436"/>
      <c r="P26" s="436"/>
      <c r="Q26" s="436"/>
      <c r="R26" s="440" t="str">
        <f aca="false">S25&amp;"-"&amp;U25</f>
        <v>-</v>
      </c>
      <c r="S26" s="438"/>
      <c r="T26" s="204"/>
      <c r="U26" s="438"/>
      <c r="V26" s="204"/>
      <c r="W26" s="436"/>
      <c r="X26" s="439"/>
      <c r="Z26" s="118"/>
      <c r="AA26" s="118" t="str">
        <f aca="false">IF(M26="","",M26)</f>
        <v/>
      </c>
      <c r="AB26" s="118"/>
      <c r="AC26" s="118"/>
      <c r="AD26" s="42" t="n">
        <v>11</v>
      </c>
    </row>
    <row r="27" customFormat="false" ht="15.75" hidden="false" customHeight="true" outlineLevel="0" collapsed="false">
      <c r="A27" s="412" t="s">
        <v>183</v>
      </c>
      <c r="B27" s="412" t="s">
        <v>184</v>
      </c>
      <c r="C27" s="412" t="s">
        <v>185</v>
      </c>
      <c r="D27" s="412" t="s">
        <v>186</v>
      </c>
      <c r="E27" s="412"/>
      <c r="F27" s="1221"/>
      <c r="G27" s="1221"/>
      <c r="I27" s="121"/>
      <c r="J27" s="121"/>
      <c r="K27" s="429"/>
      <c r="L27" s="441"/>
      <c r="M27" s="442" t="s">
        <v>424</v>
      </c>
      <c r="N27" s="194"/>
      <c r="O27" s="194"/>
      <c r="P27" s="194"/>
      <c r="Q27" s="194"/>
      <c r="R27" s="194"/>
      <c r="S27" s="194"/>
      <c r="T27" s="194"/>
      <c r="U27" s="194"/>
      <c r="V27" s="194"/>
      <c r="W27" s="443"/>
      <c r="X27" s="439"/>
      <c r="Z27" s="118"/>
      <c r="AA27" s="118" t="str">
        <f aca="false">IF(M27="","",M27)</f>
        <v>Добавить вид теплоносителя (параметры теплоносителя)</v>
      </c>
      <c r="AB27" s="118"/>
      <c r="AC27" s="118"/>
      <c r="AD27" s="42" t="n">
        <v>15</v>
      </c>
    </row>
    <row r="28" customFormat="false" ht="15.75" hidden="false" customHeight="true" outlineLevel="0" collapsed="false">
      <c r="A28" s="412" t="s">
        <v>183</v>
      </c>
      <c r="B28" s="412" t="s">
        <v>184</v>
      </c>
      <c r="C28" s="412" t="s">
        <v>185</v>
      </c>
      <c r="D28" s="412" t="s">
        <v>186</v>
      </c>
      <c r="E28" s="412"/>
      <c r="F28" s="1221"/>
      <c r="I28" s="121"/>
      <c r="J28" s="121"/>
      <c r="K28" s="429"/>
      <c r="L28" s="441"/>
      <c r="M28" s="444" t="s">
        <v>425</v>
      </c>
      <c r="N28" s="194"/>
      <c r="O28" s="194"/>
      <c r="P28" s="194"/>
      <c r="Q28" s="194"/>
      <c r="R28" s="194"/>
      <c r="S28" s="194"/>
      <c r="T28" s="194"/>
      <c r="U28" s="194"/>
      <c r="V28" s="445"/>
      <c r="W28" s="194"/>
      <c r="X28" s="446"/>
      <c r="Z28" s="118"/>
      <c r="AA28" s="118" t="str">
        <f aca="false">IF(M28="","",M28)</f>
        <v>Добавить группу потребителей</v>
      </c>
      <c r="AB28" s="118"/>
      <c r="AC28" s="118"/>
      <c r="AD28" s="42" t="n">
        <v>15</v>
      </c>
    </row>
    <row r="29" customFormat="false" ht="14.25" hidden="false" customHeight="true" outlineLevel="0" collapsed="false">
      <c r="A29" s="412" t="s">
        <v>183</v>
      </c>
      <c r="B29" s="412" t="s">
        <v>184</v>
      </c>
      <c r="C29" s="412" t="s">
        <v>185</v>
      </c>
      <c r="D29" s="412" t="s">
        <v>186</v>
      </c>
      <c r="E29" s="412"/>
      <c r="F29" s="40"/>
      <c r="G29" s="40"/>
      <c r="H29" s="45"/>
      <c r="I29" s="132"/>
      <c r="J29" s="447"/>
      <c r="K29" s="415"/>
      <c r="L29" s="441"/>
      <c r="M29" s="448" t="s">
        <v>426</v>
      </c>
      <c r="N29" s="194"/>
      <c r="O29" s="194"/>
      <c r="P29" s="194"/>
      <c r="Q29" s="194"/>
      <c r="R29" s="194"/>
      <c r="S29" s="194"/>
      <c r="T29" s="194"/>
      <c r="U29" s="194"/>
      <c r="V29" s="445"/>
      <c r="W29" s="194"/>
      <c r="X29" s="446"/>
      <c r="Z29" s="118"/>
      <c r="AA29" s="118" t="str">
        <f aca="false">IF(M29="","",M29)</f>
        <v>Добавить схему подключения</v>
      </c>
      <c r="AB29" s="118"/>
      <c r="AC29" s="118"/>
      <c r="AD29" s="42" t="n">
        <v>14</v>
      </c>
    </row>
    <row r="30" customFormat="false" ht="14.25" hidden="false" customHeight="true" outlineLevel="0" collapsed="false">
      <c r="A30" s="412" t="s">
        <v>183</v>
      </c>
      <c r="B30" s="412" t="s">
        <v>184</v>
      </c>
      <c r="C30" s="412" t="s">
        <v>185</v>
      </c>
      <c r="D30" s="412"/>
      <c r="E30" s="412" t="s">
        <v>614</v>
      </c>
      <c r="F30" s="40"/>
      <c r="G30" s="40"/>
      <c r="H30" s="45"/>
      <c r="I30" s="132"/>
      <c r="J30" s="447"/>
      <c r="K30" s="415"/>
      <c r="L30" s="1222"/>
      <c r="M30" s="1223"/>
      <c r="N30" s="1224"/>
      <c r="O30" s="1224"/>
      <c r="P30" s="1224"/>
      <c r="Q30" s="1224"/>
      <c r="R30" s="1224"/>
      <c r="S30" s="1224"/>
      <c r="T30" s="1224"/>
      <c r="U30" s="1224"/>
      <c r="V30" s="1225"/>
      <c r="W30" s="1224"/>
      <c r="X30" s="1226"/>
      <c r="Z30" s="118"/>
      <c r="AA30" s="118" t="str">
        <f aca="false">IF(M30="","",M30)</f>
        <v/>
      </c>
      <c r="AB30" s="118"/>
      <c r="AC30" s="118"/>
      <c r="AD30" s="42" t="n">
        <v>14</v>
      </c>
    </row>
    <row r="31" customFormat="false" ht="14.25" hidden="false" customHeight="true" outlineLevel="0" collapsed="false">
      <c r="A31" s="412" t="s">
        <v>183</v>
      </c>
      <c r="B31" s="412" t="s">
        <v>184</v>
      </c>
      <c r="C31" s="412"/>
      <c r="D31" s="412"/>
      <c r="E31" s="412" t="s">
        <v>2358</v>
      </c>
      <c r="F31" s="558"/>
      <c r="G31" s="558"/>
      <c r="H31" s="45"/>
      <c r="I31" s="54"/>
      <c r="J31" s="447"/>
      <c r="K31" s="1131"/>
      <c r="L31" s="1222"/>
      <c r="M31" s="1227"/>
      <c r="N31" s="1224"/>
      <c r="O31" s="1224"/>
      <c r="P31" s="1224"/>
      <c r="Q31" s="1224"/>
      <c r="R31" s="1224"/>
      <c r="S31" s="1224"/>
      <c r="T31" s="1224"/>
      <c r="U31" s="1224"/>
      <c r="V31" s="1225"/>
      <c r="W31" s="1224"/>
      <c r="X31" s="1226"/>
      <c r="Z31" s="118"/>
      <c r="AA31" s="118" t="str">
        <f aca="false">IF(M31="","",M31)</f>
        <v/>
      </c>
      <c r="AB31" s="118"/>
      <c r="AC31" s="118"/>
      <c r="AD31" s="42" t="n">
        <v>14</v>
      </c>
    </row>
    <row r="32" customFormat="false" ht="14.25" hidden="false" customHeight="true" outlineLevel="0" collapsed="false">
      <c r="A32" s="412" t="s">
        <v>2359</v>
      </c>
      <c r="B32" s="412"/>
      <c r="C32" s="412"/>
      <c r="D32" s="412"/>
      <c r="E32" s="412" t="s">
        <v>115</v>
      </c>
      <c r="F32" s="558"/>
      <c r="G32" s="558"/>
      <c r="H32" s="45"/>
      <c r="I32" s="132"/>
      <c r="J32" s="447"/>
      <c r="K32" s="415"/>
      <c r="L32" s="1222"/>
      <c r="M32" s="1228"/>
      <c r="N32" s="1224"/>
      <c r="O32" s="1224"/>
      <c r="P32" s="1224"/>
      <c r="Q32" s="1224"/>
      <c r="R32" s="1224"/>
      <c r="S32" s="1224"/>
      <c r="T32" s="1224"/>
      <c r="U32" s="1224"/>
      <c r="V32" s="1225"/>
      <c r="W32" s="1224"/>
      <c r="X32" s="1226"/>
      <c r="Z32" s="118"/>
      <c r="AA32" s="118" t="str">
        <f aca="false">IF(M32="","",M32)</f>
        <v/>
      </c>
      <c r="AB32" s="118"/>
      <c r="AC32" s="118"/>
      <c r="AD32" s="42" t="n">
        <v>14</v>
      </c>
    </row>
    <row r="33" s="53" customFormat="true" ht="11.25" hidden="false" customHeight="true" outlineLevel="0" collapsed="false">
      <c r="A33" s="412"/>
      <c r="B33" s="412"/>
      <c r="C33" s="412"/>
      <c r="D33" s="412"/>
      <c r="E33" s="412" t="s">
        <v>461</v>
      </c>
      <c r="F33" s="558"/>
      <c r="G33" s="1229"/>
      <c r="H33" s="45"/>
      <c r="L33" s="1230"/>
      <c r="M33" s="1231"/>
      <c r="N33" s="1224"/>
      <c r="O33" s="1224"/>
      <c r="P33" s="1224"/>
      <c r="Q33" s="1224"/>
      <c r="R33" s="1224"/>
      <c r="S33" s="1224"/>
      <c r="T33" s="1224"/>
      <c r="U33" s="1224"/>
      <c r="V33" s="1225"/>
      <c r="W33" s="1224"/>
      <c r="X33" s="1226"/>
      <c r="Y33" s="156"/>
      <c r="Z33" s="156"/>
      <c r="AA33" s="156"/>
      <c r="AB33" s="156"/>
      <c r="AC33" s="156"/>
      <c r="AD33" s="53" t="n">
        <v>11</v>
      </c>
    </row>
    <row r="34" customFormat="false" ht="11.25" hidden="false" customHeight="true" outlineLevel="0" collapsed="false">
      <c r="F34" s="45"/>
      <c r="G34" s="45"/>
      <c r="H34" s="45"/>
      <c r="I34" s="42"/>
      <c r="J34" s="42"/>
      <c r="K34" s="42"/>
      <c r="Y34" s="42"/>
      <c r="Z34" s="42"/>
      <c r="AA34" s="42"/>
      <c r="AB34" s="42"/>
      <c r="AC34" s="42"/>
      <c r="AD34" s="42" t="n">
        <v>11</v>
      </c>
    </row>
    <row r="35" customFormat="false" ht="28.5" hidden="false" customHeight="true" outlineLevel="0" collapsed="false">
      <c r="H35" s="45"/>
      <c r="L35" s="488" t="s">
        <v>834</v>
      </c>
      <c r="M35" s="488" t="s">
        <v>2360</v>
      </c>
      <c r="N35" s="488"/>
      <c r="O35" s="488"/>
      <c r="P35" s="488"/>
      <c r="Q35" s="488"/>
      <c r="R35" s="488"/>
      <c r="S35" s="488"/>
      <c r="T35" s="488"/>
      <c r="U35" s="488"/>
      <c r="V35" s="488"/>
      <c r="W35" s="488"/>
      <c r="X35" s="488"/>
      <c r="AD35" s="42" t="n">
        <v>27</v>
      </c>
    </row>
    <row r="36" customFormat="false" ht="108.75" hidden="false" customHeight="true" outlineLevel="0" collapsed="false">
      <c r="H36" s="45"/>
      <c r="M36" s="488" t="s">
        <v>2361</v>
      </c>
      <c r="N36" s="488"/>
      <c r="O36" s="488"/>
      <c r="P36" s="488"/>
      <c r="Q36" s="488"/>
      <c r="R36" s="488"/>
      <c r="S36" s="488"/>
      <c r="T36" s="488"/>
      <c r="U36" s="488"/>
      <c r="V36" s="488"/>
      <c r="W36" s="488"/>
      <c r="X36" s="488"/>
      <c r="AD36" s="42" t="n">
        <v>104</v>
      </c>
    </row>
    <row r="37" customFormat="false" ht="14.25" hidden="false" customHeight="true" outlineLevel="0" collapsed="false">
      <c r="H37" s="45"/>
      <c r="AD37" s="42" t="n">
        <v>14</v>
      </c>
    </row>
    <row r="38" customFormat="false" ht="14.25" hidden="false" customHeight="true" outlineLevel="0" collapsed="false">
      <c r="H38" s="45"/>
      <c r="AD38" s="42" t="n">
        <v>14</v>
      </c>
    </row>
    <row r="39" customFormat="false" ht="14.25" hidden="false" customHeight="true" outlineLevel="0" collapsed="false">
      <c r="H39" s="45"/>
      <c r="AD39" s="42" t="n">
        <v>14</v>
      </c>
    </row>
    <row r="40" customFormat="false" ht="14.25" hidden="false" customHeight="true" outlineLevel="0" collapsed="false">
      <c r="H40" s="45"/>
      <c r="AD40" s="42" t="n">
        <v>14</v>
      </c>
    </row>
    <row r="41" customFormat="false" ht="22.5" hidden="true" customHeight="true" outlineLevel="0" collapsed="false">
      <c r="A41" s="45" t="s">
        <v>81</v>
      </c>
      <c r="B41" s="45" t="n">
        <v>0</v>
      </c>
      <c r="C41" s="45" t="n">
        <v>0</v>
      </c>
      <c r="D41" s="45" t="n">
        <v>0</v>
      </c>
      <c r="E41" s="45" t="n">
        <v>0</v>
      </c>
      <c r="F41" s="51" t="n">
        <v>0</v>
      </c>
      <c r="G41" s="51" t="n">
        <v>0</v>
      </c>
      <c r="H41" s="51" t="n">
        <v>0</v>
      </c>
      <c r="I41" s="50" t="n">
        <v>3</v>
      </c>
      <c r="J41" s="411" t="n">
        <v>3</v>
      </c>
      <c r="K41" s="411" t="n">
        <v>3</v>
      </c>
      <c r="L41" s="75" t="n">
        <v>12</v>
      </c>
      <c r="M41" s="42" t="n">
        <v>31</v>
      </c>
      <c r="N41" s="42" t="n">
        <v>1</v>
      </c>
      <c r="O41" s="42" t="n">
        <v>24</v>
      </c>
      <c r="P41" s="42" t="n">
        <v>24</v>
      </c>
      <c r="Q41" s="42" t="n">
        <v>24</v>
      </c>
      <c r="R41" s="42" t="n">
        <v>24</v>
      </c>
      <c r="S41" s="42" t="n">
        <v>11</v>
      </c>
      <c r="T41" s="42" t="n">
        <v>3</v>
      </c>
      <c r="U41" s="42" t="n">
        <v>11</v>
      </c>
      <c r="V41" s="42" t="n">
        <v>8</v>
      </c>
      <c r="W41" s="42" t="n">
        <v>4</v>
      </c>
      <c r="X41" s="42" t="n">
        <v>115</v>
      </c>
      <c r="Y41" s="47" t="n">
        <v>10</v>
      </c>
      <c r="Z41" s="47" t="n">
        <v>10</v>
      </c>
      <c r="AA41" s="47" t="n">
        <v>10</v>
      </c>
      <c r="AB41" s="47" t="n">
        <v>10</v>
      </c>
      <c r="AC41" s="47" t="n">
        <v>10</v>
      </c>
      <c r="AD41" s="42" t="n">
        <v>23</v>
      </c>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row r="1" customFormat="false" ht="11.25" hidden="false" customHeight="true" outlineLevel="0" collapsed="false">
      <c r="A1" s="53"/>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cols>
    <col collapsed="false" customWidth="true" hidden="false" outlineLevel="0" max="1" min="1" style="53" width="10.57"/>
    <col collapsed="false" customWidth="false" hidden="false" outlineLevel="0" max="2" min="2" style="53" width="8.71"/>
    <col collapsed="false" customWidth="true" hidden="false" outlineLevel="0" max="3" min="3" style="53" width="18.14"/>
    <col collapsed="false" customWidth="true" hidden="false" outlineLevel="0" max="4" min="4" style="53" width="12.57"/>
  </cols>
  <sheetData>
    <row r="1" customFormat="false" ht="11.25" hidden="false" customHeight="true" outlineLevel="0" collapsed="false">
      <c r="A1" s="1232" t="s">
        <v>2362</v>
      </c>
      <c r="B1" s="1233" t="s">
        <v>2363</v>
      </c>
      <c r="C1" s="1234" t="s">
        <v>2364</v>
      </c>
      <c r="D1" s="1234"/>
      <c r="E1" s="1091" t="s">
        <v>2365</v>
      </c>
    </row>
    <row r="2" customFormat="false" ht="11.25" hidden="false" customHeight="true" outlineLevel="0" collapsed="false">
      <c r="A2" s="1235"/>
      <c r="B2" s="1236" t="s">
        <v>26</v>
      </c>
      <c r="C2" s="1091"/>
      <c r="D2" s="982"/>
      <c r="E2" s="1091"/>
    </row>
    <row r="3" customFormat="false" ht="11.25" hidden="false" customHeight="true" outlineLevel="0" collapsed="false">
      <c r="A3" s="1237"/>
      <c r="B3" s="1238" t="s">
        <v>32</v>
      </c>
      <c r="C3" s="1091"/>
      <c r="D3" s="982"/>
      <c r="E3" s="1091"/>
    </row>
    <row r="4" customFormat="false" ht="11.25" hidden="false" customHeight="true" outlineLevel="0" collapsed="false">
      <c r="A4" s="1239"/>
      <c r="B4" s="1240" t="s">
        <v>1795</v>
      </c>
      <c r="C4" s="1091"/>
      <c r="D4" s="982"/>
      <c r="E4" s="1091"/>
    </row>
    <row r="5" customFormat="false" ht="11.25" hidden="false" customHeight="true" outlineLevel="0" collapsed="false">
      <c r="A5" s="1241"/>
      <c r="B5" s="1240" t="s">
        <v>1790</v>
      </c>
      <c r="C5" s="1242" t="s">
        <v>2129</v>
      </c>
      <c r="D5" s="1243" t="s">
        <v>2366</v>
      </c>
      <c r="E5" s="1091"/>
    </row>
    <row r="6" s="53" customFormat="true" ht="11.25" hidden="false" customHeight="true" outlineLevel="0" collapsed="false">
      <c r="A6" s="1244"/>
      <c r="B6" s="1240" t="s">
        <v>1799</v>
      </c>
      <c r="C6" s="1091"/>
      <c r="D6" s="982"/>
      <c r="E6" s="1091"/>
    </row>
    <row r="7" customFormat="false" ht="11.25" hidden="false" customHeight="true" outlineLevel="0" collapsed="false">
      <c r="A7" s="1245"/>
      <c r="B7" s="1240" t="s">
        <v>1807</v>
      </c>
      <c r="C7" s="1091"/>
      <c r="D7" s="982"/>
      <c r="E7" s="1091"/>
    </row>
    <row r="8" customFormat="false" ht="11.25" hidden="false" customHeight="true" outlineLevel="0" collapsed="false">
      <c r="A8" s="1246"/>
      <c r="B8" s="1240" t="s">
        <v>1802</v>
      </c>
      <c r="C8" s="1091"/>
      <c r="D8" s="982"/>
      <c r="E8" s="1091"/>
    </row>
  </sheetData>
  <mergeCells count="1">
    <mergeCell ref="C1:D1"/>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41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false" hidden="false" outlineLevel="0" max="2" min="1" style="53" width="9.14"/>
    <col collapsed="false" customWidth="true" hidden="false" outlineLevel="0" max="3" min="3" style="53" width="20.71"/>
    <col collapsed="false" customWidth="true" hidden="false" outlineLevel="0" max="4" min="4" style="53" width="25.14"/>
    <col collapsed="false" customWidth="false" hidden="false" outlineLevel="0" max="9" min="5" style="53" width="9.14"/>
  </cols>
  <sheetData>
    <row r="1" customFormat="false" ht="11.25" hidden="false" customHeight="true" outlineLevel="0" collapsed="false">
      <c r="A1" s="53" t="s">
        <v>2367</v>
      </c>
      <c r="B1" s="53" t="s">
        <v>2368</v>
      </c>
      <c r="C1" s="53" t="s">
        <v>2369</v>
      </c>
      <c r="D1" s="53" t="s">
        <v>2370</v>
      </c>
      <c r="E1" s="53" t="s">
        <v>2371</v>
      </c>
      <c r="F1" s="53" t="s">
        <v>2372</v>
      </c>
      <c r="G1" s="53" t="s">
        <v>2373</v>
      </c>
      <c r="H1" s="53" t="s">
        <v>2374</v>
      </c>
      <c r="I1" s="53" t="s">
        <v>2375</v>
      </c>
    </row>
    <row r="2" customFormat="false" ht="11.25" hidden="false" customHeight="true" outlineLevel="0" collapsed="false">
      <c r="A2" s="53" t="s">
        <v>2376</v>
      </c>
      <c r="B2" s="53" t="s">
        <v>16</v>
      </c>
      <c r="C2" s="53" t="s">
        <v>2377</v>
      </c>
      <c r="D2" s="53" t="s">
        <v>2378</v>
      </c>
      <c r="E2" s="53" t="s">
        <v>2379</v>
      </c>
      <c r="F2" s="53" t="s">
        <v>2380</v>
      </c>
      <c r="I2" s="53" t="s">
        <v>838</v>
      </c>
    </row>
    <row r="3" customFormat="false" ht="11.25" hidden="false" customHeight="true" outlineLevel="0" collapsed="false">
      <c r="A3" s="53" t="s">
        <v>2376</v>
      </c>
      <c r="B3" s="53" t="s">
        <v>16</v>
      </c>
      <c r="C3" s="53" t="s">
        <v>2381</v>
      </c>
      <c r="D3" s="53" t="s">
        <v>2382</v>
      </c>
      <c r="E3" s="53" t="s">
        <v>2383</v>
      </c>
      <c r="F3" s="53" t="s">
        <v>2384</v>
      </c>
      <c r="G3" s="53" t="s">
        <v>2385</v>
      </c>
      <c r="I3" s="53" t="s">
        <v>838</v>
      </c>
    </row>
    <row r="4" customFormat="false" ht="11.25" hidden="false" customHeight="true" outlineLevel="0" collapsed="false">
      <c r="A4" s="53" t="s">
        <v>2376</v>
      </c>
      <c r="B4" s="53" t="s">
        <v>16</v>
      </c>
      <c r="C4" s="53" t="s">
        <v>2386</v>
      </c>
      <c r="D4" s="53" t="s">
        <v>2387</v>
      </c>
      <c r="E4" s="53" t="s">
        <v>2388</v>
      </c>
      <c r="F4" s="53" t="s">
        <v>2389</v>
      </c>
      <c r="G4" s="53" t="s">
        <v>2390</v>
      </c>
      <c r="I4" s="53" t="s">
        <v>838</v>
      </c>
    </row>
    <row r="5" customFormat="false" ht="11.25" hidden="false" customHeight="true" outlineLevel="0" collapsed="false">
      <c r="A5" s="53" t="s">
        <v>2376</v>
      </c>
      <c r="B5" s="53" t="s">
        <v>16</v>
      </c>
      <c r="C5" s="53" t="s">
        <v>2391</v>
      </c>
      <c r="D5" s="53" t="s">
        <v>2392</v>
      </c>
      <c r="E5" s="53" t="s">
        <v>2393</v>
      </c>
      <c r="F5" s="53" t="s">
        <v>2394</v>
      </c>
      <c r="I5" s="53" t="s">
        <v>838</v>
      </c>
    </row>
    <row r="6" customFormat="false" ht="11.25" hidden="false" customHeight="true" outlineLevel="0" collapsed="false">
      <c r="A6" s="53" t="s">
        <v>2376</v>
      </c>
      <c r="B6" s="53" t="s">
        <v>16</v>
      </c>
      <c r="C6" s="53" t="s">
        <v>2395</v>
      </c>
      <c r="D6" s="53" t="s">
        <v>2396</v>
      </c>
      <c r="E6" s="53" t="s">
        <v>2397</v>
      </c>
      <c r="F6" s="53" t="s">
        <v>2398</v>
      </c>
      <c r="I6" s="53" t="s">
        <v>838</v>
      </c>
    </row>
    <row r="7" customFormat="false" ht="11.25" hidden="false" customHeight="true" outlineLevel="0" collapsed="false">
      <c r="A7" s="53" t="s">
        <v>2376</v>
      </c>
      <c r="B7" s="53" t="s">
        <v>16</v>
      </c>
      <c r="C7" s="53" t="s">
        <v>2399</v>
      </c>
      <c r="D7" s="53" t="s">
        <v>2400</v>
      </c>
      <c r="E7" s="53" t="s">
        <v>2401</v>
      </c>
      <c r="F7" s="53" t="s">
        <v>2402</v>
      </c>
      <c r="I7" s="53" t="s">
        <v>838</v>
      </c>
    </row>
    <row r="8" customFormat="false" ht="11.25" hidden="false" customHeight="true" outlineLevel="0" collapsed="false">
      <c r="A8" s="53" t="s">
        <v>2376</v>
      </c>
      <c r="B8" s="53" t="s">
        <v>16</v>
      </c>
      <c r="C8" s="53" t="s">
        <v>2403</v>
      </c>
      <c r="D8" s="53" t="s">
        <v>2404</v>
      </c>
      <c r="E8" s="53" t="s">
        <v>2405</v>
      </c>
      <c r="F8" s="53" t="s">
        <v>2406</v>
      </c>
      <c r="I8" s="53" t="s">
        <v>838</v>
      </c>
    </row>
    <row r="9" customFormat="false" ht="11.25" hidden="false" customHeight="true" outlineLevel="0" collapsed="false">
      <c r="A9" s="53" t="s">
        <v>2376</v>
      </c>
      <c r="B9" s="53" t="s">
        <v>16</v>
      </c>
      <c r="C9" s="53" t="s">
        <v>2407</v>
      </c>
      <c r="D9" s="53" t="s">
        <v>2408</v>
      </c>
      <c r="E9" s="53" t="s">
        <v>2409</v>
      </c>
      <c r="F9" s="53" t="s">
        <v>2410</v>
      </c>
      <c r="I9" s="53" t="s">
        <v>838</v>
      </c>
    </row>
    <row r="10" customFormat="false" ht="11.25" hidden="false" customHeight="true" outlineLevel="0" collapsed="false">
      <c r="A10" s="53" t="s">
        <v>2376</v>
      </c>
      <c r="B10" s="53" t="s">
        <v>16</v>
      </c>
      <c r="C10" s="53" t="s">
        <v>2411</v>
      </c>
      <c r="D10" s="53" t="s">
        <v>2412</v>
      </c>
      <c r="E10" s="53" t="s">
        <v>2413</v>
      </c>
      <c r="F10" s="53" t="s">
        <v>2414</v>
      </c>
      <c r="I10" s="53" t="s">
        <v>838</v>
      </c>
    </row>
    <row r="11" customFormat="false" ht="11.25" hidden="false" customHeight="true" outlineLevel="0" collapsed="false">
      <c r="A11" s="53" t="s">
        <v>2376</v>
      </c>
      <c r="B11" s="53" t="s">
        <v>16</v>
      </c>
      <c r="C11" s="53" t="s">
        <v>2415</v>
      </c>
      <c r="D11" s="53" t="s">
        <v>2416</v>
      </c>
      <c r="E11" s="53" t="s">
        <v>2417</v>
      </c>
      <c r="F11" s="53" t="s">
        <v>2418</v>
      </c>
      <c r="I11" s="53" t="s">
        <v>838</v>
      </c>
    </row>
    <row r="12" customFormat="false" ht="11.25" hidden="false" customHeight="true" outlineLevel="0" collapsed="false">
      <c r="A12" s="53" t="s">
        <v>2376</v>
      </c>
      <c r="B12" s="53" t="s">
        <v>16</v>
      </c>
      <c r="C12" s="53" t="s">
        <v>2419</v>
      </c>
      <c r="D12" s="53" t="s">
        <v>2420</v>
      </c>
      <c r="E12" s="53" t="s">
        <v>2421</v>
      </c>
      <c r="F12" s="53" t="s">
        <v>2422</v>
      </c>
      <c r="I12" s="53" t="s">
        <v>838</v>
      </c>
    </row>
    <row r="13" customFormat="false" ht="11.25" hidden="false" customHeight="true" outlineLevel="0" collapsed="false">
      <c r="A13" s="53" t="s">
        <v>2376</v>
      </c>
      <c r="B13" s="53" t="s">
        <v>16</v>
      </c>
      <c r="C13" s="53" t="s">
        <v>2423</v>
      </c>
      <c r="D13" s="53" t="s">
        <v>2424</v>
      </c>
      <c r="E13" s="53" t="s">
        <v>2425</v>
      </c>
      <c r="F13" s="53" t="s">
        <v>2394</v>
      </c>
      <c r="I13" s="53" t="s">
        <v>838</v>
      </c>
    </row>
    <row r="14" customFormat="false" ht="11.25" hidden="false" customHeight="true" outlineLevel="0" collapsed="false">
      <c r="A14" s="53" t="s">
        <v>2376</v>
      </c>
      <c r="B14" s="53" t="s">
        <v>16</v>
      </c>
      <c r="C14" s="53" t="s">
        <v>2426</v>
      </c>
      <c r="D14" s="53" t="s">
        <v>2427</v>
      </c>
      <c r="E14" s="53" t="s">
        <v>2428</v>
      </c>
      <c r="F14" s="53" t="s">
        <v>2429</v>
      </c>
      <c r="G14" s="53" t="s">
        <v>2430</v>
      </c>
      <c r="I14" s="53" t="s">
        <v>838</v>
      </c>
    </row>
    <row r="15" customFormat="false" ht="11.25" hidden="false" customHeight="true" outlineLevel="0" collapsed="false">
      <c r="A15" s="53" t="s">
        <v>2376</v>
      </c>
      <c r="B15" s="53" t="s">
        <v>16</v>
      </c>
      <c r="C15" s="53" t="s">
        <v>2431</v>
      </c>
      <c r="D15" s="53" t="s">
        <v>2432</v>
      </c>
      <c r="E15" s="53" t="s">
        <v>2433</v>
      </c>
      <c r="F15" s="53" t="s">
        <v>2434</v>
      </c>
      <c r="I15" s="53" t="s">
        <v>838</v>
      </c>
    </row>
    <row r="16" customFormat="false" ht="11.25" hidden="false" customHeight="true" outlineLevel="0" collapsed="false">
      <c r="A16" s="53" t="s">
        <v>2376</v>
      </c>
      <c r="B16" s="53" t="s">
        <v>16</v>
      </c>
      <c r="C16" s="53" t="s">
        <v>2435</v>
      </c>
      <c r="D16" s="53" t="s">
        <v>2436</v>
      </c>
      <c r="E16" s="53" t="s">
        <v>2437</v>
      </c>
      <c r="F16" s="53" t="s">
        <v>2438</v>
      </c>
      <c r="I16" s="53" t="s">
        <v>838</v>
      </c>
    </row>
    <row r="17" customFormat="false" ht="11.25" hidden="false" customHeight="true" outlineLevel="0" collapsed="false">
      <c r="A17" s="53" t="s">
        <v>2376</v>
      </c>
      <c r="B17" s="53" t="s">
        <v>16</v>
      </c>
      <c r="C17" s="53" t="s">
        <v>2439</v>
      </c>
      <c r="D17" s="53" t="s">
        <v>2440</v>
      </c>
      <c r="E17" s="53" t="s">
        <v>2441</v>
      </c>
      <c r="F17" s="53" t="s">
        <v>2442</v>
      </c>
      <c r="I17" s="53" t="s">
        <v>838</v>
      </c>
    </row>
    <row r="18" customFormat="false" ht="11.25" hidden="false" customHeight="true" outlineLevel="0" collapsed="false">
      <c r="A18" s="53" t="s">
        <v>2376</v>
      </c>
      <c r="B18" s="53" t="s">
        <v>16</v>
      </c>
      <c r="C18" s="53" t="s">
        <v>2443</v>
      </c>
      <c r="D18" s="53" t="s">
        <v>2444</v>
      </c>
      <c r="E18" s="53" t="s">
        <v>2445</v>
      </c>
      <c r="F18" s="53" t="s">
        <v>2438</v>
      </c>
      <c r="I18" s="53" t="s">
        <v>838</v>
      </c>
    </row>
    <row r="19" customFormat="false" ht="11.25" hidden="false" customHeight="true" outlineLevel="0" collapsed="false">
      <c r="A19" s="53" t="s">
        <v>2376</v>
      </c>
      <c r="B19" s="53" t="s">
        <v>16</v>
      </c>
      <c r="C19" s="53" t="s">
        <v>2446</v>
      </c>
      <c r="D19" s="53" t="s">
        <v>2447</v>
      </c>
      <c r="E19" s="53" t="s">
        <v>2448</v>
      </c>
      <c r="F19" s="53" t="s">
        <v>2414</v>
      </c>
      <c r="G19" s="53" t="s">
        <v>2449</v>
      </c>
      <c r="I19" s="53" t="s">
        <v>838</v>
      </c>
    </row>
    <row r="20" customFormat="false" ht="11.25" hidden="false" customHeight="true" outlineLevel="0" collapsed="false">
      <c r="A20" s="53" t="s">
        <v>2376</v>
      </c>
      <c r="B20" s="53" t="s">
        <v>16</v>
      </c>
      <c r="C20" s="53" t="s">
        <v>2450</v>
      </c>
      <c r="D20" s="53" t="s">
        <v>2451</v>
      </c>
      <c r="E20" s="53" t="s">
        <v>2452</v>
      </c>
      <c r="F20" s="53" t="s">
        <v>2406</v>
      </c>
      <c r="I20" s="53" t="s">
        <v>838</v>
      </c>
    </row>
    <row r="21" customFormat="false" ht="11.25" hidden="false" customHeight="true" outlineLevel="0" collapsed="false">
      <c r="A21" s="53" t="s">
        <v>2376</v>
      </c>
      <c r="B21" s="53" t="s">
        <v>16</v>
      </c>
      <c r="C21" s="53" t="s">
        <v>2453</v>
      </c>
      <c r="D21" s="53" t="s">
        <v>2454</v>
      </c>
      <c r="E21" s="53" t="s">
        <v>2455</v>
      </c>
      <c r="F21" s="53" t="s">
        <v>2406</v>
      </c>
      <c r="I21" s="53" t="s">
        <v>838</v>
      </c>
    </row>
    <row r="22" customFormat="false" ht="11.25" hidden="false" customHeight="true" outlineLevel="0" collapsed="false">
      <c r="A22" s="53" t="s">
        <v>2376</v>
      </c>
      <c r="B22" s="53" t="s">
        <v>16</v>
      </c>
      <c r="C22" s="53" t="s">
        <v>2456</v>
      </c>
      <c r="D22" s="53" t="s">
        <v>2457</v>
      </c>
      <c r="E22" s="53" t="s">
        <v>2458</v>
      </c>
      <c r="F22" s="53" t="s">
        <v>49</v>
      </c>
      <c r="G22" s="53" t="s">
        <v>2459</v>
      </c>
      <c r="I22" s="53" t="s">
        <v>838</v>
      </c>
    </row>
    <row r="23" customFormat="false" ht="11.25" hidden="false" customHeight="true" outlineLevel="0" collapsed="false">
      <c r="A23" s="53" t="s">
        <v>2376</v>
      </c>
      <c r="B23" s="53" t="s">
        <v>16</v>
      </c>
      <c r="C23" s="53" t="s">
        <v>2460</v>
      </c>
      <c r="D23" s="53" t="s">
        <v>2461</v>
      </c>
      <c r="E23" s="53" t="s">
        <v>2462</v>
      </c>
      <c r="F23" s="53" t="s">
        <v>49</v>
      </c>
      <c r="I23" s="53" t="s">
        <v>838</v>
      </c>
    </row>
    <row r="24" customFormat="false" ht="11.25" hidden="false" customHeight="true" outlineLevel="0" collapsed="false">
      <c r="A24" s="53" t="s">
        <v>2376</v>
      </c>
      <c r="B24" s="53" t="s">
        <v>16</v>
      </c>
      <c r="C24" s="53" t="s">
        <v>2463</v>
      </c>
      <c r="D24" s="53" t="s">
        <v>2464</v>
      </c>
      <c r="E24" s="53" t="s">
        <v>2465</v>
      </c>
      <c r="F24" s="53" t="s">
        <v>2466</v>
      </c>
      <c r="I24" s="53" t="s">
        <v>838</v>
      </c>
    </row>
    <row r="25" customFormat="false" ht="11.25" hidden="false" customHeight="true" outlineLevel="0" collapsed="false">
      <c r="A25" s="53" t="s">
        <v>2376</v>
      </c>
      <c r="B25" s="53" t="s">
        <v>16</v>
      </c>
      <c r="C25" s="53" t="s">
        <v>2467</v>
      </c>
      <c r="D25" s="53" t="s">
        <v>2468</v>
      </c>
      <c r="E25" s="53" t="s">
        <v>2469</v>
      </c>
      <c r="F25" s="53" t="s">
        <v>2394</v>
      </c>
      <c r="I25" s="53" t="s">
        <v>838</v>
      </c>
    </row>
    <row r="26" customFormat="false" ht="11.25" hidden="false" customHeight="true" outlineLevel="0" collapsed="false">
      <c r="A26" s="53" t="s">
        <v>2376</v>
      </c>
      <c r="B26" s="53" t="s">
        <v>16</v>
      </c>
      <c r="C26" s="53" t="s">
        <v>2470</v>
      </c>
      <c r="D26" s="53" t="s">
        <v>2471</v>
      </c>
      <c r="E26" s="53" t="s">
        <v>2472</v>
      </c>
      <c r="F26" s="53" t="s">
        <v>2434</v>
      </c>
      <c r="I26" s="53" t="s">
        <v>838</v>
      </c>
    </row>
    <row r="27" customFormat="false" ht="11.25" hidden="false" customHeight="true" outlineLevel="0" collapsed="false">
      <c r="A27" s="53" t="s">
        <v>2376</v>
      </c>
      <c r="B27" s="53" t="s">
        <v>16</v>
      </c>
      <c r="C27" s="53" t="s">
        <v>2473</v>
      </c>
      <c r="D27" s="53" t="s">
        <v>2474</v>
      </c>
      <c r="E27" s="53" t="s">
        <v>2475</v>
      </c>
      <c r="F27" s="53" t="s">
        <v>49</v>
      </c>
      <c r="I27" s="53" t="s">
        <v>838</v>
      </c>
    </row>
    <row r="28" customFormat="false" ht="11.25" hidden="false" customHeight="true" outlineLevel="0" collapsed="false">
      <c r="A28" s="53" t="s">
        <v>2376</v>
      </c>
      <c r="B28" s="53" t="s">
        <v>16</v>
      </c>
      <c r="C28" s="53" t="s">
        <v>2476</v>
      </c>
      <c r="D28" s="53" t="s">
        <v>2477</v>
      </c>
      <c r="E28" s="53" t="s">
        <v>2478</v>
      </c>
      <c r="F28" s="53" t="s">
        <v>2402</v>
      </c>
      <c r="G28" s="53" t="s">
        <v>2479</v>
      </c>
      <c r="I28" s="53" t="s">
        <v>838</v>
      </c>
    </row>
    <row r="29" customFormat="false" ht="11.25" hidden="false" customHeight="true" outlineLevel="0" collapsed="false">
      <c r="A29" s="53" t="s">
        <v>2376</v>
      </c>
      <c r="B29" s="53" t="s">
        <v>16</v>
      </c>
      <c r="C29" s="53" t="s">
        <v>2480</v>
      </c>
      <c r="D29" s="53" t="s">
        <v>2481</v>
      </c>
      <c r="E29" s="53" t="s">
        <v>2482</v>
      </c>
      <c r="F29" s="53" t="s">
        <v>2483</v>
      </c>
      <c r="I29" s="53" t="s">
        <v>838</v>
      </c>
    </row>
    <row r="30" customFormat="false" ht="11.25" hidden="false" customHeight="true" outlineLevel="0" collapsed="false">
      <c r="A30" s="53" t="s">
        <v>2376</v>
      </c>
      <c r="B30" s="53" t="s">
        <v>16</v>
      </c>
      <c r="C30" s="53" t="s">
        <v>2484</v>
      </c>
      <c r="D30" s="53" t="s">
        <v>2485</v>
      </c>
      <c r="E30" s="53" t="s">
        <v>2486</v>
      </c>
      <c r="F30" s="53" t="s">
        <v>2414</v>
      </c>
      <c r="I30" s="53" t="s">
        <v>838</v>
      </c>
    </row>
    <row r="31" customFormat="false" ht="11.25" hidden="false" customHeight="true" outlineLevel="0" collapsed="false">
      <c r="A31" s="53" t="s">
        <v>2376</v>
      </c>
      <c r="B31" s="53" t="s">
        <v>16</v>
      </c>
      <c r="C31" s="53" t="s">
        <v>2487</v>
      </c>
      <c r="D31" s="53" t="s">
        <v>2488</v>
      </c>
      <c r="E31" s="53" t="s">
        <v>2489</v>
      </c>
      <c r="F31" s="53" t="s">
        <v>2490</v>
      </c>
      <c r="I31" s="53" t="s">
        <v>838</v>
      </c>
    </row>
    <row r="32" customFormat="false" ht="11.25" hidden="false" customHeight="true" outlineLevel="0" collapsed="false">
      <c r="A32" s="53" t="s">
        <v>2376</v>
      </c>
      <c r="B32" s="53" t="s">
        <v>16</v>
      </c>
      <c r="C32" s="53" t="s">
        <v>2491</v>
      </c>
      <c r="D32" s="53" t="s">
        <v>2492</v>
      </c>
      <c r="E32" s="53" t="s">
        <v>2493</v>
      </c>
      <c r="F32" s="53" t="s">
        <v>2494</v>
      </c>
      <c r="I32" s="53" t="s">
        <v>838</v>
      </c>
    </row>
    <row r="33" customFormat="false" ht="11.25" hidden="false" customHeight="true" outlineLevel="0" collapsed="false">
      <c r="A33" s="53" t="s">
        <v>2376</v>
      </c>
      <c r="B33" s="53" t="s">
        <v>16</v>
      </c>
      <c r="C33" s="53" t="s">
        <v>2495</v>
      </c>
      <c r="D33" s="53" t="s">
        <v>2496</v>
      </c>
      <c r="E33" s="53" t="s">
        <v>2497</v>
      </c>
      <c r="F33" s="53" t="s">
        <v>2434</v>
      </c>
      <c r="I33" s="53" t="s">
        <v>838</v>
      </c>
    </row>
    <row r="34" customFormat="false" ht="11.25" hidden="false" customHeight="true" outlineLevel="0" collapsed="false">
      <c r="A34" s="53" t="s">
        <v>2376</v>
      </c>
      <c r="B34" s="53" t="s">
        <v>16</v>
      </c>
      <c r="C34" s="53" t="s">
        <v>2498</v>
      </c>
      <c r="D34" s="53" t="s">
        <v>2499</v>
      </c>
      <c r="E34" s="53" t="s">
        <v>2500</v>
      </c>
      <c r="F34" s="53" t="s">
        <v>49</v>
      </c>
      <c r="I34" s="53" t="s">
        <v>838</v>
      </c>
    </row>
    <row r="35" customFormat="false" ht="11.25" hidden="false" customHeight="true" outlineLevel="0" collapsed="false">
      <c r="A35" s="53" t="s">
        <v>2376</v>
      </c>
      <c r="B35" s="53" t="s">
        <v>16</v>
      </c>
      <c r="C35" s="53" t="s">
        <v>2501</v>
      </c>
      <c r="D35" s="53" t="s">
        <v>2502</v>
      </c>
      <c r="E35" s="53" t="s">
        <v>2503</v>
      </c>
      <c r="F35" s="53" t="s">
        <v>2504</v>
      </c>
      <c r="I35" s="53" t="s">
        <v>838</v>
      </c>
    </row>
    <row r="36" customFormat="false" ht="11.25" hidden="false" customHeight="true" outlineLevel="0" collapsed="false">
      <c r="A36" s="53" t="s">
        <v>2376</v>
      </c>
      <c r="B36" s="53" t="s">
        <v>16</v>
      </c>
      <c r="D36" s="53" t="s">
        <v>2505</v>
      </c>
      <c r="E36" s="53" t="s">
        <v>2506</v>
      </c>
      <c r="F36" s="53" t="s">
        <v>2438</v>
      </c>
      <c r="I36" s="53" t="s">
        <v>838</v>
      </c>
    </row>
    <row r="37" customFormat="false" ht="11.25" hidden="false" customHeight="true" outlineLevel="0" collapsed="false">
      <c r="A37" s="53" t="s">
        <v>2376</v>
      </c>
      <c r="B37" s="53" t="s">
        <v>16</v>
      </c>
      <c r="C37" s="53" t="s">
        <v>2507</v>
      </c>
      <c r="D37" s="53" t="s">
        <v>2508</v>
      </c>
      <c r="E37" s="53" t="s">
        <v>2509</v>
      </c>
      <c r="F37" s="53" t="s">
        <v>2398</v>
      </c>
      <c r="I37" s="53" t="s">
        <v>838</v>
      </c>
    </row>
    <row r="38" customFormat="false" ht="11.25" hidden="false" customHeight="true" outlineLevel="0" collapsed="false">
      <c r="A38" s="53" t="s">
        <v>2376</v>
      </c>
      <c r="B38" s="53" t="s">
        <v>16</v>
      </c>
      <c r="C38" s="53" t="s">
        <v>2510</v>
      </c>
      <c r="D38" s="53" t="s">
        <v>2511</v>
      </c>
      <c r="E38" s="53" t="s">
        <v>2512</v>
      </c>
      <c r="F38" s="53" t="s">
        <v>2494</v>
      </c>
      <c r="G38" s="53" t="s">
        <v>2513</v>
      </c>
      <c r="I38" s="53" t="s">
        <v>838</v>
      </c>
    </row>
    <row r="39" customFormat="false" ht="11.25" hidden="false" customHeight="true" outlineLevel="0" collapsed="false">
      <c r="A39" s="53" t="s">
        <v>2376</v>
      </c>
      <c r="B39" s="53" t="s">
        <v>16</v>
      </c>
      <c r="C39" s="53" t="s">
        <v>2514</v>
      </c>
      <c r="D39" s="53" t="s">
        <v>2515</v>
      </c>
      <c r="E39" s="53" t="s">
        <v>2516</v>
      </c>
      <c r="F39" s="53" t="s">
        <v>2517</v>
      </c>
      <c r="I39" s="53" t="s">
        <v>838</v>
      </c>
    </row>
    <row r="40" customFormat="false" ht="11.25" hidden="false" customHeight="true" outlineLevel="0" collapsed="false">
      <c r="A40" s="53" t="s">
        <v>2376</v>
      </c>
      <c r="B40" s="53" t="s">
        <v>16</v>
      </c>
      <c r="C40" s="53" t="s">
        <v>2518</v>
      </c>
      <c r="D40" s="53" t="s">
        <v>2519</v>
      </c>
      <c r="E40" s="53" t="s">
        <v>2520</v>
      </c>
      <c r="F40" s="53" t="s">
        <v>2521</v>
      </c>
      <c r="I40" s="53" t="s">
        <v>838</v>
      </c>
    </row>
    <row r="41" customFormat="false" ht="11.25" hidden="false" customHeight="true" outlineLevel="0" collapsed="false">
      <c r="A41" s="53" t="s">
        <v>2376</v>
      </c>
      <c r="B41" s="53" t="s">
        <v>16</v>
      </c>
      <c r="C41" s="53" t="s">
        <v>2522</v>
      </c>
      <c r="D41" s="53" t="s">
        <v>2523</v>
      </c>
      <c r="E41" s="53" t="s">
        <v>2524</v>
      </c>
      <c r="F41" s="53" t="s">
        <v>2504</v>
      </c>
      <c r="G41" s="53" t="s">
        <v>2525</v>
      </c>
      <c r="I41" s="53" t="s">
        <v>838</v>
      </c>
    </row>
    <row r="42" customFormat="false" ht="11.25" hidden="false" customHeight="true" outlineLevel="0" collapsed="false">
      <c r="A42" s="53" t="s">
        <v>2376</v>
      </c>
      <c r="B42" s="53" t="s">
        <v>16</v>
      </c>
      <c r="C42" s="53" t="s">
        <v>2526</v>
      </c>
      <c r="D42" s="53" t="s">
        <v>2527</v>
      </c>
      <c r="E42" s="53" t="s">
        <v>2528</v>
      </c>
      <c r="F42" s="53" t="s">
        <v>2529</v>
      </c>
      <c r="I42" s="53" t="s">
        <v>838</v>
      </c>
    </row>
    <row r="43" customFormat="false" ht="11.25" hidden="false" customHeight="true" outlineLevel="0" collapsed="false">
      <c r="A43" s="53" t="s">
        <v>2376</v>
      </c>
      <c r="B43" s="53" t="s">
        <v>16</v>
      </c>
      <c r="C43" s="53" t="s">
        <v>2530</v>
      </c>
      <c r="D43" s="53" t="s">
        <v>2531</v>
      </c>
      <c r="E43" s="53" t="s">
        <v>2532</v>
      </c>
      <c r="F43" s="53" t="s">
        <v>2533</v>
      </c>
      <c r="I43" s="53" t="s">
        <v>838</v>
      </c>
    </row>
    <row r="44" customFormat="false" ht="11.25" hidden="false" customHeight="true" outlineLevel="0" collapsed="false">
      <c r="A44" s="53" t="s">
        <v>2376</v>
      </c>
      <c r="B44" s="53" t="s">
        <v>16</v>
      </c>
      <c r="C44" s="53" t="s">
        <v>2534</v>
      </c>
      <c r="D44" s="53" t="s">
        <v>2535</v>
      </c>
      <c r="E44" s="53" t="s">
        <v>2536</v>
      </c>
      <c r="F44" s="53" t="s">
        <v>2490</v>
      </c>
      <c r="I44" s="53" t="s">
        <v>838</v>
      </c>
    </row>
    <row r="45" customFormat="false" ht="11.25" hidden="false" customHeight="true" outlineLevel="0" collapsed="false">
      <c r="A45" s="53" t="s">
        <v>2376</v>
      </c>
      <c r="B45" s="53" t="s">
        <v>16</v>
      </c>
      <c r="C45" s="53" t="s">
        <v>2537</v>
      </c>
      <c r="D45" s="53" t="s">
        <v>2538</v>
      </c>
      <c r="E45" s="53" t="s">
        <v>2539</v>
      </c>
      <c r="F45" s="53" t="s">
        <v>2402</v>
      </c>
      <c r="G45" s="53" t="s">
        <v>2540</v>
      </c>
      <c r="I45" s="53" t="s">
        <v>838</v>
      </c>
    </row>
    <row r="46" customFormat="false" ht="11.25" hidden="false" customHeight="true" outlineLevel="0" collapsed="false">
      <c r="A46" s="53" t="s">
        <v>2376</v>
      </c>
      <c r="B46" s="53" t="s">
        <v>16</v>
      </c>
      <c r="C46" s="53" t="s">
        <v>2541</v>
      </c>
      <c r="D46" s="53" t="s">
        <v>2542</v>
      </c>
      <c r="E46" s="53" t="s">
        <v>2543</v>
      </c>
      <c r="F46" s="53" t="s">
        <v>2410</v>
      </c>
      <c r="I46" s="53" t="s">
        <v>838</v>
      </c>
    </row>
    <row r="47" customFormat="false" ht="11.25" hidden="false" customHeight="true" outlineLevel="0" collapsed="false">
      <c r="A47" s="53" t="s">
        <v>2376</v>
      </c>
      <c r="B47" s="53" t="s">
        <v>16</v>
      </c>
      <c r="C47" s="53" t="s">
        <v>2544</v>
      </c>
      <c r="D47" s="53" t="s">
        <v>2545</v>
      </c>
      <c r="E47" s="53" t="s">
        <v>2546</v>
      </c>
      <c r="F47" s="53" t="s">
        <v>2533</v>
      </c>
      <c r="I47" s="53" t="s">
        <v>838</v>
      </c>
    </row>
    <row r="48" customFormat="false" ht="11.25" hidden="false" customHeight="true" outlineLevel="0" collapsed="false">
      <c r="A48" s="53" t="s">
        <v>2376</v>
      </c>
      <c r="B48" s="53" t="s">
        <v>16</v>
      </c>
      <c r="C48" s="53" t="s">
        <v>2547</v>
      </c>
      <c r="D48" s="53" t="s">
        <v>2548</v>
      </c>
      <c r="E48" s="53" t="s">
        <v>2549</v>
      </c>
      <c r="F48" s="53" t="s">
        <v>2410</v>
      </c>
      <c r="G48" s="53" t="s">
        <v>2550</v>
      </c>
      <c r="I48" s="53" t="s">
        <v>838</v>
      </c>
    </row>
    <row r="49" customFormat="false" ht="11.25" hidden="false" customHeight="true" outlineLevel="0" collapsed="false">
      <c r="A49" s="53" t="s">
        <v>2376</v>
      </c>
      <c r="B49" s="53" t="s">
        <v>16</v>
      </c>
      <c r="C49" s="53" t="s">
        <v>2551</v>
      </c>
      <c r="D49" s="53" t="s">
        <v>2552</v>
      </c>
      <c r="E49" s="53" t="s">
        <v>2553</v>
      </c>
      <c r="F49" s="53" t="s">
        <v>2490</v>
      </c>
      <c r="I49" s="53" t="s">
        <v>838</v>
      </c>
    </row>
    <row r="50" customFormat="false" ht="11.25" hidden="false" customHeight="true" outlineLevel="0" collapsed="false">
      <c r="A50" s="53" t="s">
        <v>2376</v>
      </c>
      <c r="B50" s="53" t="s">
        <v>16</v>
      </c>
      <c r="C50" s="53" t="s">
        <v>2554</v>
      </c>
      <c r="D50" s="53" t="s">
        <v>2555</v>
      </c>
      <c r="E50" s="53" t="s">
        <v>2556</v>
      </c>
      <c r="F50" s="53" t="s">
        <v>2533</v>
      </c>
      <c r="I50" s="53" t="s">
        <v>838</v>
      </c>
    </row>
    <row r="51" customFormat="false" ht="11.25" hidden="false" customHeight="true" outlineLevel="0" collapsed="false">
      <c r="A51" s="53" t="s">
        <v>2376</v>
      </c>
      <c r="B51" s="53" t="s">
        <v>16</v>
      </c>
      <c r="C51" s="53" t="s">
        <v>2557</v>
      </c>
      <c r="D51" s="53" t="s">
        <v>2558</v>
      </c>
      <c r="E51" s="53" t="s">
        <v>2559</v>
      </c>
      <c r="F51" s="53" t="s">
        <v>2434</v>
      </c>
      <c r="G51" s="53" t="s">
        <v>2560</v>
      </c>
      <c r="I51" s="53" t="s">
        <v>838</v>
      </c>
    </row>
    <row r="52" customFormat="false" ht="11.25" hidden="false" customHeight="true" outlineLevel="0" collapsed="false">
      <c r="A52" s="53" t="s">
        <v>2376</v>
      </c>
      <c r="B52" s="53" t="s">
        <v>16</v>
      </c>
      <c r="C52" s="53" t="s">
        <v>2561</v>
      </c>
      <c r="D52" s="53" t="s">
        <v>2562</v>
      </c>
      <c r="E52" s="53" t="s">
        <v>2563</v>
      </c>
      <c r="F52" s="53" t="s">
        <v>2564</v>
      </c>
      <c r="I52" s="53" t="s">
        <v>838</v>
      </c>
    </row>
    <row r="53" customFormat="false" ht="11.25" hidden="false" customHeight="true" outlineLevel="0" collapsed="false">
      <c r="A53" s="53" t="s">
        <v>2376</v>
      </c>
      <c r="B53" s="53" t="s">
        <v>16</v>
      </c>
      <c r="C53" s="53" t="s">
        <v>2565</v>
      </c>
      <c r="D53" s="53" t="s">
        <v>2566</v>
      </c>
      <c r="E53" s="53" t="s">
        <v>2567</v>
      </c>
      <c r="F53" s="53" t="s">
        <v>2490</v>
      </c>
      <c r="I53" s="53" t="s">
        <v>838</v>
      </c>
    </row>
    <row r="54" customFormat="false" ht="11.25" hidden="false" customHeight="true" outlineLevel="0" collapsed="false">
      <c r="A54" s="53" t="s">
        <v>2376</v>
      </c>
      <c r="B54" s="53" t="s">
        <v>16</v>
      </c>
      <c r="C54" s="53" t="s">
        <v>2568</v>
      </c>
      <c r="D54" s="53" t="s">
        <v>2569</v>
      </c>
      <c r="E54" s="53" t="s">
        <v>2570</v>
      </c>
      <c r="F54" s="53" t="s">
        <v>2418</v>
      </c>
      <c r="I54" s="53" t="s">
        <v>838</v>
      </c>
    </row>
    <row r="55" customFormat="false" ht="11.25" hidden="false" customHeight="true" outlineLevel="0" collapsed="false">
      <c r="A55" s="53" t="s">
        <v>2376</v>
      </c>
      <c r="B55" s="53" t="s">
        <v>16</v>
      </c>
      <c r="C55" s="53" t="s">
        <v>2571</v>
      </c>
      <c r="D55" s="53" t="s">
        <v>2572</v>
      </c>
      <c r="E55" s="53" t="s">
        <v>2573</v>
      </c>
      <c r="F55" s="53" t="s">
        <v>2434</v>
      </c>
      <c r="I55" s="53" t="s">
        <v>838</v>
      </c>
    </row>
    <row r="56" customFormat="false" ht="11.25" hidden="false" customHeight="true" outlineLevel="0" collapsed="false">
      <c r="A56" s="53" t="s">
        <v>2376</v>
      </c>
      <c r="B56" s="53" t="s">
        <v>16</v>
      </c>
      <c r="C56" s="53" t="s">
        <v>2574</v>
      </c>
      <c r="D56" s="53" t="s">
        <v>2575</v>
      </c>
      <c r="E56" s="53" t="s">
        <v>2576</v>
      </c>
      <c r="F56" s="53" t="s">
        <v>2434</v>
      </c>
      <c r="I56" s="53" t="s">
        <v>838</v>
      </c>
    </row>
    <row r="57" customFormat="false" ht="11.25" hidden="false" customHeight="true" outlineLevel="0" collapsed="false">
      <c r="A57" s="53" t="s">
        <v>2376</v>
      </c>
      <c r="B57" s="53" t="s">
        <v>16</v>
      </c>
      <c r="C57" s="53" t="s">
        <v>2577</v>
      </c>
      <c r="D57" s="53" t="s">
        <v>2578</v>
      </c>
      <c r="E57" s="53" t="s">
        <v>2579</v>
      </c>
      <c r="F57" s="53" t="s">
        <v>2442</v>
      </c>
      <c r="G57" s="53" t="s">
        <v>2580</v>
      </c>
      <c r="I57" s="53" t="s">
        <v>838</v>
      </c>
    </row>
    <row r="58" customFormat="false" ht="11.25" hidden="false" customHeight="true" outlineLevel="0" collapsed="false">
      <c r="A58" s="53" t="s">
        <v>2376</v>
      </c>
      <c r="B58" s="53" t="s">
        <v>16</v>
      </c>
      <c r="C58" s="53" t="s">
        <v>2581</v>
      </c>
      <c r="D58" s="53" t="s">
        <v>2582</v>
      </c>
      <c r="E58" s="53" t="s">
        <v>2583</v>
      </c>
      <c r="F58" s="53" t="s">
        <v>2442</v>
      </c>
      <c r="I58" s="53" t="s">
        <v>838</v>
      </c>
    </row>
    <row r="59" customFormat="false" ht="11.25" hidden="false" customHeight="true" outlineLevel="0" collapsed="false">
      <c r="A59" s="53" t="s">
        <v>2376</v>
      </c>
      <c r="B59" s="53" t="s">
        <v>16</v>
      </c>
      <c r="C59" s="53" t="s">
        <v>2584</v>
      </c>
      <c r="D59" s="53" t="s">
        <v>2585</v>
      </c>
      <c r="E59" s="53" t="s">
        <v>2586</v>
      </c>
      <c r="F59" s="53" t="s">
        <v>2398</v>
      </c>
      <c r="I59" s="53" t="s">
        <v>838</v>
      </c>
    </row>
    <row r="60" customFormat="false" ht="11.25" hidden="false" customHeight="true" outlineLevel="0" collapsed="false">
      <c r="A60" s="53" t="s">
        <v>2376</v>
      </c>
      <c r="B60" s="53" t="s">
        <v>16</v>
      </c>
      <c r="C60" s="53" t="s">
        <v>2587</v>
      </c>
      <c r="D60" s="53" t="s">
        <v>2588</v>
      </c>
      <c r="E60" s="53" t="s">
        <v>2589</v>
      </c>
      <c r="F60" s="53" t="s">
        <v>2494</v>
      </c>
      <c r="I60" s="53" t="s">
        <v>838</v>
      </c>
    </row>
    <row r="61" customFormat="false" ht="11.25" hidden="false" customHeight="true" outlineLevel="0" collapsed="false">
      <c r="A61" s="53" t="s">
        <v>2376</v>
      </c>
      <c r="B61" s="53" t="s">
        <v>16</v>
      </c>
      <c r="C61" s="53" t="s">
        <v>2590</v>
      </c>
      <c r="D61" s="53" t="s">
        <v>2591</v>
      </c>
      <c r="E61" s="53" t="s">
        <v>2592</v>
      </c>
      <c r="F61" s="53" t="s">
        <v>2438</v>
      </c>
      <c r="I61" s="53" t="s">
        <v>838</v>
      </c>
    </row>
    <row r="62" customFormat="false" ht="11.25" hidden="false" customHeight="true" outlineLevel="0" collapsed="false">
      <c r="A62" s="53" t="s">
        <v>2376</v>
      </c>
      <c r="B62" s="53" t="s">
        <v>16</v>
      </c>
      <c r="C62" s="53" t="s">
        <v>2593</v>
      </c>
      <c r="D62" s="53" t="s">
        <v>2594</v>
      </c>
      <c r="E62" s="53" t="s">
        <v>2595</v>
      </c>
      <c r="F62" s="53" t="s">
        <v>2406</v>
      </c>
      <c r="I62" s="53" t="s">
        <v>838</v>
      </c>
    </row>
    <row r="63" customFormat="false" ht="11.25" hidden="false" customHeight="true" outlineLevel="0" collapsed="false">
      <c r="A63" s="53" t="s">
        <v>2376</v>
      </c>
      <c r="B63" s="53" t="s">
        <v>16</v>
      </c>
      <c r="C63" s="53" t="s">
        <v>2596</v>
      </c>
      <c r="D63" s="53" t="s">
        <v>2597</v>
      </c>
      <c r="E63" s="53" t="s">
        <v>2598</v>
      </c>
      <c r="F63" s="53" t="s">
        <v>2402</v>
      </c>
      <c r="I63" s="53" t="s">
        <v>838</v>
      </c>
    </row>
    <row r="64" customFormat="false" ht="11.25" hidden="false" customHeight="true" outlineLevel="0" collapsed="false">
      <c r="A64" s="53" t="s">
        <v>2376</v>
      </c>
      <c r="B64" s="53" t="s">
        <v>16</v>
      </c>
      <c r="C64" s="53" t="s">
        <v>2599</v>
      </c>
      <c r="D64" s="53" t="s">
        <v>2600</v>
      </c>
      <c r="E64" s="53" t="s">
        <v>2601</v>
      </c>
      <c r="F64" s="53" t="s">
        <v>2434</v>
      </c>
      <c r="I64" s="53" t="s">
        <v>838</v>
      </c>
    </row>
    <row r="65" customFormat="false" ht="11.25" hidden="false" customHeight="true" outlineLevel="0" collapsed="false">
      <c r="A65" s="53" t="s">
        <v>2376</v>
      </c>
      <c r="B65" s="53" t="s">
        <v>16</v>
      </c>
      <c r="C65" s="53" t="s">
        <v>2602</v>
      </c>
      <c r="D65" s="53" t="s">
        <v>2603</v>
      </c>
      <c r="E65" s="53" t="s">
        <v>2604</v>
      </c>
      <c r="F65" s="53" t="s">
        <v>2494</v>
      </c>
      <c r="I65" s="53" t="s">
        <v>838</v>
      </c>
    </row>
    <row r="66" customFormat="false" ht="11.25" hidden="false" customHeight="true" outlineLevel="0" collapsed="false">
      <c r="A66" s="53" t="s">
        <v>2376</v>
      </c>
      <c r="B66" s="53" t="s">
        <v>16</v>
      </c>
      <c r="C66" s="53" t="s">
        <v>2605</v>
      </c>
      <c r="D66" s="53" t="s">
        <v>2606</v>
      </c>
      <c r="E66" s="53" t="s">
        <v>2607</v>
      </c>
      <c r="F66" s="53" t="s">
        <v>2406</v>
      </c>
      <c r="I66" s="53" t="s">
        <v>838</v>
      </c>
    </row>
    <row r="67" customFormat="false" ht="11.25" hidden="false" customHeight="true" outlineLevel="0" collapsed="false">
      <c r="A67" s="53" t="s">
        <v>2376</v>
      </c>
      <c r="B67" s="53" t="s">
        <v>16</v>
      </c>
      <c r="C67" s="53" t="s">
        <v>2608</v>
      </c>
      <c r="D67" s="53" t="s">
        <v>2609</v>
      </c>
      <c r="E67" s="53" t="s">
        <v>2610</v>
      </c>
      <c r="F67" s="53" t="s">
        <v>2429</v>
      </c>
      <c r="I67" s="53" t="s">
        <v>838</v>
      </c>
    </row>
    <row r="68" customFormat="false" ht="11.25" hidden="false" customHeight="true" outlineLevel="0" collapsed="false">
      <c r="A68" s="53" t="s">
        <v>2376</v>
      </c>
      <c r="B68" s="53" t="s">
        <v>16</v>
      </c>
      <c r="C68" s="53" t="s">
        <v>2611</v>
      </c>
      <c r="D68" s="53" t="s">
        <v>2612</v>
      </c>
      <c r="E68" s="53" t="s">
        <v>2613</v>
      </c>
      <c r="F68" s="53" t="s">
        <v>2438</v>
      </c>
      <c r="I68" s="53" t="s">
        <v>838</v>
      </c>
    </row>
    <row r="69" customFormat="false" ht="11.25" hidden="false" customHeight="true" outlineLevel="0" collapsed="false">
      <c r="A69" s="53" t="s">
        <v>2376</v>
      </c>
      <c r="B69" s="53" t="s">
        <v>16</v>
      </c>
      <c r="C69" s="53" t="s">
        <v>2614</v>
      </c>
      <c r="D69" s="53" t="s">
        <v>2615</v>
      </c>
      <c r="E69" s="53" t="s">
        <v>2616</v>
      </c>
      <c r="F69" s="53" t="s">
        <v>2617</v>
      </c>
      <c r="G69" s="53" t="s">
        <v>2618</v>
      </c>
      <c r="I69" s="53" t="s">
        <v>838</v>
      </c>
    </row>
    <row r="70" customFormat="false" ht="11.25" hidden="false" customHeight="true" outlineLevel="0" collapsed="false">
      <c r="A70" s="53" t="s">
        <v>2376</v>
      </c>
      <c r="B70" s="53" t="s">
        <v>16</v>
      </c>
      <c r="C70" s="53" t="s">
        <v>2619</v>
      </c>
      <c r="D70" s="53" t="s">
        <v>2620</v>
      </c>
      <c r="E70" s="53" t="s">
        <v>2621</v>
      </c>
      <c r="F70" s="53" t="s">
        <v>2622</v>
      </c>
      <c r="G70" s="53" t="s">
        <v>2623</v>
      </c>
      <c r="I70" s="53" t="s">
        <v>838</v>
      </c>
    </row>
    <row r="71" customFormat="false" ht="11.25" hidden="false" customHeight="true" outlineLevel="0" collapsed="false">
      <c r="A71" s="53" t="s">
        <v>2376</v>
      </c>
      <c r="B71" s="53" t="s">
        <v>16</v>
      </c>
      <c r="C71" s="53" t="s">
        <v>2624</v>
      </c>
      <c r="D71" s="53" t="s">
        <v>2625</v>
      </c>
      <c r="E71" s="53" t="s">
        <v>2626</v>
      </c>
      <c r="F71" s="53" t="s">
        <v>2617</v>
      </c>
      <c r="G71" s="53" t="s">
        <v>2627</v>
      </c>
      <c r="I71" s="53" t="s">
        <v>838</v>
      </c>
    </row>
    <row r="72" customFormat="false" ht="11.25" hidden="false" customHeight="true" outlineLevel="0" collapsed="false">
      <c r="A72" s="53" t="s">
        <v>2376</v>
      </c>
      <c r="B72" s="53" t="s">
        <v>16</v>
      </c>
      <c r="C72" s="53" t="s">
        <v>2628</v>
      </c>
      <c r="D72" s="53" t="s">
        <v>2629</v>
      </c>
      <c r="E72" s="53" t="s">
        <v>2630</v>
      </c>
      <c r="F72" s="53" t="s">
        <v>2631</v>
      </c>
      <c r="G72" s="53" t="s">
        <v>2632</v>
      </c>
      <c r="I72" s="53" t="s">
        <v>838</v>
      </c>
    </row>
    <row r="73" customFormat="false" ht="11.25" hidden="false" customHeight="true" outlineLevel="0" collapsed="false">
      <c r="A73" s="53" t="s">
        <v>2376</v>
      </c>
      <c r="B73" s="53" t="s">
        <v>16</v>
      </c>
      <c r="C73" s="53" t="s">
        <v>13</v>
      </c>
      <c r="D73" s="53" t="s">
        <v>44</v>
      </c>
      <c r="E73" s="53" t="s">
        <v>47</v>
      </c>
      <c r="F73" s="53" t="s">
        <v>49</v>
      </c>
      <c r="G73" s="53" t="s">
        <v>2633</v>
      </c>
      <c r="I73" s="53" t="s">
        <v>838</v>
      </c>
    </row>
    <row r="74" customFormat="false" ht="11.25" hidden="false" customHeight="true" outlineLevel="0" collapsed="false">
      <c r="A74" s="53" t="s">
        <v>2376</v>
      </c>
      <c r="B74" s="53" t="s">
        <v>16</v>
      </c>
      <c r="C74" s="53" t="s">
        <v>2634</v>
      </c>
      <c r="D74" s="53" t="s">
        <v>2635</v>
      </c>
      <c r="E74" s="53" t="s">
        <v>2636</v>
      </c>
      <c r="F74" s="53" t="s">
        <v>2438</v>
      </c>
      <c r="G74" s="53" t="s">
        <v>2637</v>
      </c>
      <c r="I74" s="53" t="s">
        <v>838</v>
      </c>
    </row>
    <row r="75" customFormat="false" ht="11.25" hidden="false" customHeight="true" outlineLevel="0" collapsed="false">
      <c r="A75" s="53" t="s">
        <v>2376</v>
      </c>
      <c r="B75" s="53" t="s">
        <v>16</v>
      </c>
      <c r="C75" s="53" t="s">
        <v>2638</v>
      </c>
      <c r="D75" s="53" t="s">
        <v>2639</v>
      </c>
      <c r="E75" s="53" t="s">
        <v>2640</v>
      </c>
      <c r="F75" s="53" t="s">
        <v>2494</v>
      </c>
      <c r="G75" s="53" t="s">
        <v>2641</v>
      </c>
      <c r="I75" s="53" t="s">
        <v>838</v>
      </c>
    </row>
    <row r="76" customFormat="false" ht="11.25" hidden="false" customHeight="true" outlineLevel="0" collapsed="false">
      <c r="A76" s="53" t="s">
        <v>2376</v>
      </c>
      <c r="B76" s="53" t="s">
        <v>16</v>
      </c>
      <c r="C76" s="53" t="s">
        <v>2642</v>
      </c>
      <c r="D76" s="53" t="s">
        <v>2643</v>
      </c>
      <c r="E76" s="53" t="s">
        <v>2644</v>
      </c>
      <c r="F76" s="53" t="s">
        <v>2406</v>
      </c>
      <c r="G76" s="53" t="s">
        <v>2645</v>
      </c>
      <c r="I76" s="53" t="s">
        <v>838</v>
      </c>
    </row>
    <row r="77" customFormat="false" ht="11.25" hidden="false" customHeight="true" outlineLevel="0" collapsed="false">
      <c r="A77" s="53" t="s">
        <v>2376</v>
      </c>
      <c r="B77" s="53" t="s">
        <v>16</v>
      </c>
      <c r="C77" s="53" t="s">
        <v>2646</v>
      </c>
      <c r="D77" s="53" t="s">
        <v>2647</v>
      </c>
      <c r="E77" s="53" t="s">
        <v>2648</v>
      </c>
      <c r="F77" s="53" t="s">
        <v>2438</v>
      </c>
      <c r="G77" s="53" t="s">
        <v>2649</v>
      </c>
      <c r="I77" s="53" t="s">
        <v>838</v>
      </c>
    </row>
    <row r="78" customFormat="false" ht="11.25" hidden="false" customHeight="true" outlineLevel="0" collapsed="false">
      <c r="A78" s="53" t="s">
        <v>2376</v>
      </c>
      <c r="B78" s="53" t="s">
        <v>16</v>
      </c>
      <c r="C78" s="53" t="s">
        <v>2650</v>
      </c>
      <c r="D78" s="53" t="s">
        <v>2651</v>
      </c>
      <c r="E78" s="53" t="s">
        <v>2652</v>
      </c>
      <c r="F78" s="53" t="s">
        <v>2402</v>
      </c>
      <c r="G78" s="53" t="s">
        <v>2653</v>
      </c>
      <c r="I78" s="53" t="s">
        <v>838</v>
      </c>
    </row>
    <row r="79" customFormat="false" ht="11.25" hidden="false" customHeight="true" outlineLevel="0" collapsed="false">
      <c r="A79" s="53" t="s">
        <v>2376</v>
      </c>
      <c r="B79" s="53" t="s">
        <v>16</v>
      </c>
      <c r="C79" s="53" t="s">
        <v>2654</v>
      </c>
      <c r="D79" s="53" t="s">
        <v>2655</v>
      </c>
      <c r="E79" s="53" t="s">
        <v>2656</v>
      </c>
      <c r="F79" s="53" t="s">
        <v>2434</v>
      </c>
      <c r="G79" s="53" t="s">
        <v>2657</v>
      </c>
      <c r="I79" s="53" t="s">
        <v>838</v>
      </c>
    </row>
    <row r="80" customFormat="false" ht="11.25" hidden="false" customHeight="true" outlineLevel="0" collapsed="false">
      <c r="A80" s="53" t="s">
        <v>2376</v>
      </c>
      <c r="B80" s="53" t="s">
        <v>16</v>
      </c>
      <c r="C80" s="53" t="s">
        <v>2658</v>
      </c>
      <c r="D80" s="53" t="s">
        <v>2659</v>
      </c>
      <c r="E80" s="53" t="s">
        <v>2660</v>
      </c>
      <c r="F80" s="53" t="s">
        <v>2494</v>
      </c>
      <c r="I80" s="53" t="s">
        <v>838</v>
      </c>
    </row>
    <row r="81" customFormat="false" ht="11.25" hidden="false" customHeight="true" outlineLevel="0" collapsed="false">
      <c r="A81" s="53" t="s">
        <v>2376</v>
      </c>
      <c r="B81" s="53" t="s">
        <v>16</v>
      </c>
      <c r="C81" s="53" t="s">
        <v>2661</v>
      </c>
      <c r="D81" s="53" t="s">
        <v>2662</v>
      </c>
      <c r="E81" s="53" t="s">
        <v>2663</v>
      </c>
      <c r="F81" s="53" t="s">
        <v>2410</v>
      </c>
      <c r="I81" s="53" t="s">
        <v>838</v>
      </c>
    </row>
    <row r="82" customFormat="false" ht="11.25" hidden="false" customHeight="true" outlineLevel="0" collapsed="false">
      <c r="A82" s="53" t="s">
        <v>2376</v>
      </c>
      <c r="B82" s="53" t="s">
        <v>16</v>
      </c>
      <c r="C82" s="53" t="s">
        <v>2664</v>
      </c>
      <c r="D82" s="53" t="s">
        <v>2665</v>
      </c>
      <c r="E82" s="53" t="s">
        <v>2666</v>
      </c>
      <c r="F82" s="53" t="s">
        <v>2434</v>
      </c>
      <c r="I82" s="53" t="s">
        <v>838</v>
      </c>
    </row>
    <row r="83" customFormat="false" ht="11.25" hidden="false" customHeight="true" outlineLevel="0" collapsed="false">
      <c r="A83" s="53" t="s">
        <v>2376</v>
      </c>
      <c r="B83" s="53" t="s">
        <v>16</v>
      </c>
      <c r="C83" s="53" t="s">
        <v>2667</v>
      </c>
      <c r="D83" s="53" t="s">
        <v>2668</v>
      </c>
      <c r="E83" s="53" t="s">
        <v>2669</v>
      </c>
      <c r="F83" s="53" t="s">
        <v>2670</v>
      </c>
      <c r="G83" s="53" t="s">
        <v>2671</v>
      </c>
      <c r="I83" s="53" t="s">
        <v>838</v>
      </c>
    </row>
    <row r="84" customFormat="false" ht="11.25" hidden="false" customHeight="true" outlineLevel="0" collapsed="false">
      <c r="A84" s="53" t="s">
        <v>2376</v>
      </c>
      <c r="B84" s="53" t="s">
        <v>16</v>
      </c>
      <c r="C84" s="53" t="s">
        <v>2672</v>
      </c>
      <c r="D84" s="53" t="s">
        <v>2673</v>
      </c>
      <c r="E84" s="53" t="s">
        <v>2674</v>
      </c>
      <c r="F84" s="53" t="s">
        <v>2494</v>
      </c>
      <c r="G84" s="53" t="s">
        <v>2675</v>
      </c>
      <c r="I84" s="53" t="s">
        <v>838</v>
      </c>
    </row>
    <row r="85" customFormat="false" ht="11.25" hidden="false" customHeight="true" outlineLevel="0" collapsed="false">
      <c r="A85" s="53" t="s">
        <v>2376</v>
      </c>
      <c r="B85" s="53" t="s">
        <v>16</v>
      </c>
      <c r="C85" s="53" t="s">
        <v>2676</v>
      </c>
      <c r="D85" s="53" t="s">
        <v>2677</v>
      </c>
      <c r="E85" s="53" t="s">
        <v>2678</v>
      </c>
      <c r="F85" s="53" t="s">
        <v>2438</v>
      </c>
      <c r="I85" s="53" t="s">
        <v>838</v>
      </c>
    </row>
    <row r="86" customFormat="false" ht="11.25" hidden="false" customHeight="true" outlineLevel="0" collapsed="false">
      <c r="A86" s="53" t="s">
        <v>2376</v>
      </c>
      <c r="B86" s="53" t="s">
        <v>16</v>
      </c>
      <c r="C86" s="53" t="s">
        <v>2679</v>
      </c>
      <c r="D86" s="53" t="s">
        <v>2680</v>
      </c>
      <c r="E86" s="53" t="s">
        <v>2681</v>
      </c>
      <c r="F86" s="53" t="s">
        <v>2682</v>
      </c>
      <c r="I86" s="53" t="s">
        <v>838</v>
      </c>
    </row>
    <row r="87" customFormat="false" ht="11.25" hidden="false" customHeight="true" outlineLevel="0" collapsed="false">
      <c r="A87" s="53" t="s">
        <v>2376</v>
      </c>
      <c r="B87" s="53" t="s">
        <v>16</v>
      </c>
      <c r="C87" s="53" t="s">
        <v>2683</v>
      </c>
      <c r="D87" s="53" t="s">
        <v>2684</v>
      </c>
      <c r="E87" s="53" t="s">
        <v>2685</v>
      </c>
      <c r="F87" s="53" t="s">
        <v>2686</v>
      </c>
      <c r="I87" s="53" t="s">
        <v>838</v>
      </c>
    </row>
    <row r="88" customFormat="false" ht="11.25" hidden="false" customHeight="true" outlineLevel="0" collapsed="false">
      <c r="A88" s="53" t="s">
        <v>2376</v>
      </c>
      <c r="B88" s="53" t="s">
        <v>16</v>
      </c>
      <c r="C88" s="53" t="s">
        <v>2687</v>
      </c>
      <c r="D88" s="53" t="s">
        <v>2688</v>
      </c>
      <c r="E88" s="53" t="s">
        <v>2689</v>
      </c>
      <c r="F88" s="53" t="s">
        <v>2402</v>
      </c>
      <c r="G88" s="53" t="s">
        <v>2690</v>
      </c>
      <c r="I88" s="53" t="s">
        <v>838</v>
      </c>
    </row>
    <row r="89" customFormat="false" ht="11.25" hidden="false" customHeight="true" outlineLevel="0" collapsed="false">
      <c r="A89" s="53" t="s">
        <v>2376</v>
      </c>
      <c r="B89" s="53" t="s">
        <v>16</v>
      </c>
      <c r="C89" s="53" t="s">
        <v>2691</v>
      </c>
      <c r="D89" s="53" t="s">
        <v>2692</v>
      </c>
      <c r="E89" s="53" t="s">
        <v>2693</v>
      </c>
      <c r="F89" s="53" t="s">
        <v>2434</v>
      </c>
      <c r="G89" s="53" t="s">
        <v>2694</v>
      </c>
      <c r="I89" s="53" t="s">
        <v>838</v>
      </c>
    </row>
    <row r="90" customFormat="false" ht="11.25" hidden="false" customHeight="true" outlineLevel="0" collapsed="false">
      <c r="A90" s="53" t="s">
        <v>2376</v>
      </c>
      <c r="B90" s="53" t="s">
        <v>16</v>
      </c>
      <c r="C90" s="53" t="s">
        <v>2695</v>
      </c>
      <c r="D90" s="53" t="s">
        <v>2696</v>
      </c>
      <c r="E90" s="53" t="s">
        <v>2697</v>
      </c>
      <c r="F90" s="53" t="s">
        <v>2698</v>
      </c>
      <c r="I90" s="53" t="s">
        <v>838</v>
      </c>
    </row>
    <row r="91" customFormat="false" ht="11.25" hidden="false" customHeight="true" outlineLevel="0" collapsed="false">
      <c r="A91" s="53" t="s">
        <v>2376</v>
      </c>
      <c r="B91" s="53" t="s">
        <v>16</v>
      </c>
      <c r="C91" s="53" t="s">
        <v>2699</v>
      </c>
      <c r="D91" s="53" t="s">
        <v>2700</v>
      </c>
      <c r="E91" s="53" t="s">
        <v>2701</v>
      </c>
      <c r="F91" s="53" t="s">
        <v>2494</v>
      </c>
      <c r="G91" s="53" t="s">
        <v>2702</v>
      </c>
      <c r="I91" s="53" t="s">
        <v>838</v>
      </c>
    </row>
    <row r="92" customFormat="false" ht="11.25" hidden="false" customHeight="true" outlineLevel="0" collapsed="false">
      <c r="A92" s="53" t="s">
        <v>2376</v>
      </c>
      <c r="B92" s="53" t="s">
        <v>16</v>
      </c>
      <c r="C92" s="53" t="s">
        <v>2703</v>
      </c>
      <c r="D92" s="53" t="s">
        <v>2704</v>
      </c>
      <c r="E92" s="53" t="s">
        <v>2705</v>
      </c>
      <c r="F92" s="53" t="s">
        <v>2438</v>
      </c>
      <c r="G92" s="53" t="s">
        <v>2706</v>
      </c>
      <c r="I92" s="53" t="s">
        <v>838</v>
      </c>
    </row>
    <row r="93" customFormat="false" ht="11.25" hidden="false" customHeight="true" outlineLevel="0" collapsed="false">
      <c r="A93" s="53" t="s">
        <v>2376</v>
      </c>
      <c r="B93" s="53" t="s">
        <v>16</v>
      </c>
      <c r="C93" s="53" t="s">
        <v>2707</v>
      </c>
      <c r="D93" s="53" t="s">
        <v>2708</v>
      </c>
      <c r="E93" s="53" t="s">
        <v>2709</v>
      </c>
      <c r="F93" s="53" t="s">
        <v>2434</v>
      </c>
      <c r="I93" s="53" t="s">
        <v>838</v>
      </c>
    </row>
    <row r="94" customFormat="false" ht="11.25" hidden="false" customHeight="true" outlineLevel="0" collapsed="false">
      <c r="A94" s="53" t="s">
        <v>2376</v>
      </c>
      <c r="B94" s="53" t="s">
        <v>16</v>
      </c>
      <c r="C94" s="53" t="s">
        <v>2710</v>
      </c>
      <c r="D94" s="53" t="s">
        <v>2711</v>
      </c>
      <c r="E94" s="53" t="s">
        <v>2712</v>
      </c>
      <c r="F94" s="53" t="s">
        <v>2490</v>
      </c>
      <c r="I94" s="53" t="s">
        <v>838</v>
      </c>
    </row>
    <row r="95" customFormat="false" ht="11.25" hidden="false" customHeight="true" outlineLevel="0" collapsed="false">
      <c r="A95" s="53" t="s">
        <v>2376</v>
      </c>
      <c r="B95" s="53" t="s">
        <v>16</v>
      </c>
      <c r="C95" s="53" t="s">
        <v>2713</v>
      </c>
      <c r="D95" s="53" t="s">
        <v>2714</v>
      </c>
      <c r="E95" s="53" t="s">
        <v>2715</v>
      </c>
      <c r="F95" s="53" t="s">
        <v>2438</v>
      </c>
      <c r="G95" s="53" t="s">
        <v>2716</v>
      </c>
      <c r="I95" s="53" t="s">
        <v>838</v>
      </c>
    </row>
    <row r="96" customFormat="false" ht="11.25" hidden="false" customHeight="true" outlineLevel="0" collapsed="false">
      <c r="A96" s="53" t="s">
        <v>2376</v>
      </c>
      <c r="B96" s="53" t="s">
        <v>16</v>
      </c>
      <c r="C96" s="53" t="s">
        <v>2717</v>
      </c>
      <c r="D96" s="53" t="s">
        <v>2718</v>
      </c>
      <c r="E96" s="53" t="s">
        <v>2719</v>
      </c>
      <c r="F96" s="53" t="s">
        <v>2414</v>
      </c>
      <c r="I96" s="53" t="s">
        <v>838</v>
      </c>
    </row>
    <row r="97" customFormat="false" ht="11.25" hidden="false" customHeight="true" outlineLevel="0" collapsed="false">
      <c r="A97" s="53" t="s">
        <v>2376</v>
      </c>
      <c r="B97" s="53" t="s">
        <v>16</v>
      </c>
      <c r="C97" s="53" t="s">
        <v>2720</v>
      </c>
      <c r="D97" s="53" t="s">
        <v>2721</v>
      </c>
      <c r="E97" s="53" t="s">
        <v>2722</v>
      </c>
      <c r="F97" s="53" t="s">
        <v>2494</v>
      </c>
      <c r="G97" s="53" t="s">
        <v>2723</v>
      </c>
      <c r="I97" s="53" t="s">
        <v>838</v>
      </c>
    </row>
    <row r="98" customFormat="false" ht="11.25" hidden="false" customHeight="true" outlineLevel="0" collapsed="false">
      <c r="A98" s="53" t="s">
        <v>2376</v>
      </c>
      <c r="B98" s="53" t="s">
        <v>16</v>
      </c>
      <c r="C98" s="53" t="s">
        <v>2724</v>
      </c>
      <c r="D98" s="53" t="s">
        <v>2725</v>
      </c>
      <c r="E98" s="53" t="s">
        <v>2726</v>
      </c>
      <c r="F98" s="53" t="s">
        <v>2533</v>
      </c>
      <c r="G98" s="53" t="s">
        <v>2727</v>
      </c>
      <c r="I98" s="53" t="s">
        <v>838</v>
      </c>
    </row>
    <row r="99" customFormat="false" ht="11.25" hidden="false" customHeight="true" outlineLevel="0" collapsed="false">
      <c r="A99" s="53" t="s">
        <v>2376</v>
      </c>
      <c r="B99" s="53" t="s">
        <v>16</v>
      </c>
      <c r="C99" s="53" t="s">
        <v>2728</v>
      </c>
      <c r="D99" s="53" t="s">
        <v>2729</v>
      </c>
      <c r="E99" s="53" t="s">
        <v>2730</v>
      </c>
      <c r="F99" s="53" t="s">
        <v>2494</v>
      </c>
      <c r="G99" s="53" t="s">
        <v>2731</v>
      </c>
      <c r="I99" s="53" t="s">
        <v>838</v>
      </c>
    </row>
    <row r="100" customFormat="false" ht="11.25" hidden="false" customHeight="true" outlineLevel="0" collapsed="false">
      <c r="A100" s="53" t="s">
        <v>2376</v>
      </c>
      <c r="B100" s="53" t="s">
        <v>16</v>
      </c>
      <c r="C100" s="53" t="s">
        <v>2732</v>
      </c>
      <c r="D100" s="53" t="s">
        <v>2733</v>
      </c>
      <c r="E100" s="53" t="s">
        <v>2734</v>
      </c>
      <c r="F100" s="53" t="s">
        <v>2494</v>
      </c>
      <c r="G100" s="53" t="s">
        <v>2735</v>
      </c>
      <c r="I100" s="53" t="s">
        <v>838</v>
      </c>
    </row>
    <row r="101" customFormat="false" ht="11.25" hidden="false" customHeight="true" outlineLevel="0" collapsed="false">
      <c r="A101" s="53" t="s">
        <v>2376</v>
      </c>
      <c r="B101" s="53" t="s">
        <v>16</v>
      </c>
      <c r="C101" s="53" t="s">
        <v>2736</v>
      </c>
      <c r="D101" s="53" t="s">
        <v>2737</v>
      </c>
      <c r="E101" s="53" t="s">
        <v>2738</v>
      </c>
      <c r="F101" s="53" t="s">
        <v>2438</v>
      </c>
      <c r="I101" s="53" t="s">
        <v>838</v>
      </c>
    </row>
    <row r="102" customFormat="false" ht="11.25" hidden="false" customHeight="true" outlineLevel="0" collapsed="false">
      <c r="A102" s="53" t="s">
        <v>2376</v>
      </c>
      <c r="B102" s="53" t="s">
        <v>16</v>
      </c>
      <c r="C102" s="53" t="s">
        <v>2739</v>
      </c>
      <c r="D102" s="53" t="s">
        <v>2740</v>
      </c>
      <c r="E102" s="53" t="s">
        <v>2741</v>
      </c>
      <c r="F102" s="53" t="s">
        <v>2742</v>
      </c>
      <c r="I102" s="53" t="s">
        <v>838</v>
      </c>
    </row>
    <row r="103" customFormat="false" ht="11.25" hidden="false" customHeight="true" outlineLevel="0" collapsed="false">
      <c r="A103" s="53" t="s">
        <v>2376</v>
      </c>
      <c r="B103" s="53" t="s">
        <v>16</v>
      </c>
      <c r="C103" s="53" t="s">
        <v>2743</v>
      </c>
      <c r="D103" s="53" t="s">
        <v>2744</v>
      </c>
      <c r="E103" s="53" t="s">
        <v>2745</v>
      </c>
      <c r="F103" s="53" t="s">
        <v>2438</v>
      </c>
      <c r="G103" s="53" t="s">
        <v>2746</v>
      </c>
      <c r="I103" s="53" t="s">
        <v>838</v>
      </c>
    </row>
    <row r="104" customFormat="false" ht="11.25" hidden="false" customHeight="true" outlineLevel="0" collapsed="false">
      <c r="A104" s="53" t="s">
        <v>2376</v>
      </c>
      <c r="B104" s="53" t="s">
        <v>16</v>
      </c>
      <c r="C104" s="53" t="s">
        <v>2747</v>
      </c>
      <c r="D104" s="53" t="s">
        <v>2748</v>
      </c>
      <c r="E104" s="53" t="s">
        <v>2749</v>
      </c>
      <c r="F104" s="53" t="s">
        <v>2438</v>
      </c>
      <c r="I104" s="53" t="s">
        <v>838</v>
      </c>
    </row>
    <row r="105" customFormat="false" ht="11.25" hidden="false" customHeight="true" outlineLevel="0" collapsed="false">
      <c r="A105" s="53" t="s">
        <v>2376</v>
      </c>
      <c r="B105" s="53" t="s">
        <v>16</v>
      </c>
      <c r="C105" s="53" t="s">
        <v>2750</v>
      </c>
      <c r="D105" s="53" t="s">
        <v>2751</v>
      </c>
      <c r="E105" s="53" t="s">
        <v>2752</v>
      </c>
      <c r="F105" s="53" t="s">
        <v>2438</v>
      </c>
      <c r="I105" s="53" t="s">
        <v>838</v>
      </c>
    </row>
    <row r="106" customFormat="false" ht="11.25" hidden="false" customHeight="true" outlineLevel="0" collapsed="false">
      <c r="A106" s="53" t="s">
        <v>2376</v>
      </c>
      <c r="B106" s="53" t="s">
        <v>16</v>
      </c>
      <c r="C106" s="53" t="s">
        <v>2753</v>
      </c>
      <c r="D106" s="53" t="s">
        <v>2754</v>
      </c>
      <c r="E106" s="53" t="s">
        <v>2755</v>
      </c>
      <c r="F106" s="53" t="s">
        <v>2756</v>
      </c>
      <c r="G106" s="53" t="s">
        <v>2757</v>
      </c>
      <c r="I106" s="53" t="s">
        <v>838</v>
      </c>
    </row>
    <row r="107" customFormat="false" ht="11.25" hidden="false" customHeight="true" outlineLevel="0" collapsed="false">
      <c r="A107" s="53" t="s">
        <v>2376</v>
      </c>
      <c r="B107" s="53" t="s">
        <v>16</v>
      </c>
      <c r="C107" s="53" t="s">
        <v>2758</v>
      </c>
      <c r="D107" s="53" t="s">
        <v>2759</v>
      </c>
      <c r="E107" s="53" t="s">
        <v>2760</v>
      </c>
      <c r="F107" s="53" t="s">
        <v>2442</v>
      </c>
      <c r="I107" s="53" t="s">
        <v>838</v>
      </c>
    </row>
    <row r="108" customFormat="false" ht="11.25" hidden="false" customHeight="true" outlineLevel="0" collapsed="false">
      <c r="A108" s="53" t="s">
        <v>2376</v>
      </c>
      <c r="B108" s="53" t="s">
        <v>16</v>
      </c>
      <c r="C108" s="53" t="s">
        <v>2761</v>
      </c>
      <c r="D108" s="53" t="s">
        <v>2762</v>
      </c>
      <c r="E108" s="53" t="s">
        <v>2763</v>
      </c>
      <c r="F108" s="53" t="s">
        <v>2533</v>
      </c>
      <c r="G108" s="53" t="s">
        <v>2764</v>
      </c>
      <c r="I108" s="53" t="s">
        <v>838</v>
      </c>
    </row>
    <row r="109" customFormat="false" ht="11.25" hidden="false" customHeight="true" outlineLevel="0" collapsed="false">
      <c r="A109" s="53" t="s">
        <v>2376</v>
      </c>
      <c r="B109" s="53" t="s">
        <v>16</v>
      </c>
      <c r="C109" s="53" t="s">
        <v>2765</v>
      </c>
      <c r="D109" s="53" t="s">
        <v>2766</v>
      </c>
      <c r="E109" s="53" t="s">
        <v>2767</v>
      </c>
      <c r="F109" s="53" t="s">
        <v>2533</v>
      </c>
      <c r="G109" s="53" t="s">
        <v>2768</v>
      </c>
      <c r="I109" s="53" t="s">
        <v>838</v>
      </c>
    </row>
    <row r="110" customFormat="false" ht="11.25" hidden="false" customHeight="true" outlineLevel="0" collapsed="false">
      <c r="A110" s="53" t="s">
        <v>2376</v>
      </c>
      <c r="B110" s="53" t="s">
        <v>16</v>
      </c>
      <c r="C110" s="53" t="s">
        <v>2769</v>
      </c>
      <c r="D110" s="53" t="s">
        <v>2770</v>
      </c>
      <c r="E110" s="53" t="s">
        <v>2771</v>
      </c>
      <c r="F110" s="53" t="s">
        <v>2533</v>
      </c>
      <c r="I110" s="53" t="s">
        <v>838</v>
      </c>
    </row>
    <row r="111" customFormat="false" ht="11.25" hidden="false" customHeight="true" outlineLevel="0" collapsed="false">
      <c r="A111" s="53" t="s">
        <v>2376</v>
      </c>
      <c r="B111" s="53" t="s">
        <v>16</v>
      </c>
      <c r="C111" s="53" t="s">
        <v>2772</v>
      </c>
      <c r="D111" s="53" t="s">
        <v>2773</v>
      </c>
      <c r="E111" s="53" t="s">
        <v>2774</v>
      </c>
      <c r="F111" s="53" t="s">
        <v>49</v>
      </c>
      <c r="G111" s="53" t="s">
        <v>2775</v>
      </c>
      <c r="I111" s="53" t="s">
        <v>838</v>
      </c>
    </row>
    <row r="112" customFormat="false" ht="11.25" hidden="false" customHeight="true" outlineLevel="0" collapsed="false">
      <c r="A112" s="53" t="s">
        <v>2376</v>
      </c>
      <c r="B112" s="53" t="s">
        <v>16</v>
      </c>
      <c r="C112" s="53" t="s">
        <v>2776</v>
      </c>
      <c r="D112" s="53" t="s">
        <v>2777</v>
      </c>
      <c r="E112" s="53" t="s">
        <v>2778</v>
      </c>
      <c r="F112" s="53" t="s">
        <v>2434</v>
      </c>
      <c r="I112" s="53" t="s">
        <v>838</v>
      </c>
    </row>
    <row r="113" customFormat="false" ht="11.25" hidden="false" customHeight="true" outlineLevel="0" collapsed="false">
      <c r="A113" s="53" t="s">
        <v>2376</v>
      </c>
      <c r="B113" s="53" t="s">
        <v>16</v>
      </c>
      <c r="C113" s="53" t="s">
        <v>2779</v>
      </c>
      <c r="D113" s="53" t="s">
        <v>2780</v>
      </c>
      <c r="E113" s="53" t="s">
        <v>2781</v>
      </c>
      <c r="F113" s="53" t="s">
        <v>2438</v>
      </c>
      <c r="G113" s="53" t="s">
        <v>2782</v>
      </c>
      <c r="I113" s="53" t="s">
        <v>838</v>
      </c>
    </row>
    <row r="114" customFormat="false" ht="11.25" hidden="false" customHeight="true" outlineLevel="0" collapsed="false">
      <c r="A114" s="53" t="s">
        <v>2376</v>
      </c>
      <c r="B114" s="53" t="s">
        <v>16</v>
      </c>
      <c r="C114" s="53" t="s">
        <v>2783</v>
      </c>
      <c r="D114" s="53" t="s">
        <v>2784</v>
      </c>
      <c r="E114" s="53" t="s">
        <v>2785</v>
      </c>
      <c r="F114" s="53" t="s">
        <v>2786</v>
      </c>
      <c r="G114" s="53" t="s">
        <v>2787</v>
      </c>
      <c r="I114" s="53" t="s">
        <v>838</v>
      </c>
    </row>
    <row r="115" customFormat="false" ht="11.25" hidden="false" customHeight="true" outlineLevel="0" collapsed="false">
      <c r="A115" s="53" t="s">
        <v>2376</v>
      </c>
      <c r="B115" s="53" t="s">
        <v>16</v>
      </c>
      <c r="C115" s="53" t="s">
        <v>2788</v>
      </c>
      <c r="D115" s="53" t="s">
        <v>2789</v>
      </c>
      <c r="E115" s="53" t="s">
        <v>2790</v>
      </c>
      <c r="F115" s="53" t="s">
        <v>2429</v>
      </c>
      <c r="I115" s="53" t="s">
        <v>838</v>
      </c>
    </row>
    <row r="116" customFormat="false" ht="11.25" hidden="false" customHeight="true" outlineLevel="0" collapsed="false">
      <c r="A116" s="53" t="s">
        <v>2376</v>
      </c>
      <c r="B116" s="53" t="s">
        <v>16</v>
      </c>
      <c r="C116" s="53" t="s">
        <v>2791</v>
      </c>
      <c r="D116" s="53" t="s">
        <v>2792</v>
      </c>
      <c r="E116" s="53" t="s">
        <v>2793</v>
      </c>
      <c r="F116" s="53" t="s">
        <v>2533</v>
      </c>
      <c r="I116" s="53" t="s">
        <v>838</v>
      </c>
    </row>
    <row r="117" customFormat="false" ht="11.25" hidden="false" customHeight="true" outlineLevel="0" collapsed="false">
      <c r="A117" s="53" t="s">
        <v>2376</v>
      </c>
      <c r="B117" s="53" t="s">
        <v>16</v>
      </c>
      <c r="C117" s="53" t="s">
        <v>2794</v>
      </c>
      <c r="D117" s="53" t="s">
        <v>2795</v>
      </c>
      <c r="E117" s="53" t="s">
        <v>2796</v>
      </c>
      <c r="F117" s="53" t="s">
        <v>49</v>
      </c>
      <c r="I117" s="53" t="s">
        <v>838</v>
      </c>
    </row>
    <row r="118" customFormat="false" ht="11.25" hidden="false" customHeight="true" outlineLevel="0" collapsed="false">
      <c r="A118" s="53" t="s">
        <v>2376</v>
      </c>
      <c r="B118" s="53" t="s">
        <v>16</v>
      </c>
      <c r="C118" s="53" t="s">
        <v>2797</v>
      </c>
      <c r="D118" s="53" t="s">
        <v>2798</v>
      </c>
      <c r="E118" s="53" t="s">
        <v>2799</v>
      </c>
      <c r="F118" s="53" t="s">
        <v>2414</v>
      </c>
      <c r="I118" s="53" t="s">
        <v>838</v>
      </c>
    </row>
    <row r="119" customFormat="false" ht="11.25" hidden="false" customHeight="true" outlineLevel="0" collapsed="false">
      <c r="A119" s="53" t="s">
        <v>2376</v>
      </c>
      <c r="B119" s="53" t="s">
        <v>16</v>
      </c>
      <c r="C119" s="53" t="s">
        <v>2800</v>
      </c>
      <c r="D119" s="53" t="s">
        <v>2798</v>
      </c>
      <c r="E119" s="53" t="s">
        <v>2799</v>
      </c>
      <c r="F119" s="53" t="s">
        <v>2494</v>
      </c>
      <c r="G119" s="53" t="s">
        <v>2801</v>
      </c>
      <c r="I119" s="53" t="s">
        <v>838</v>
      </c>
    </row>
    <row r="120" customFormat="false" ht="11.25" hidden="false" customHeight="true" outlineLevel="0" collapsed="false">
      <c r="A120" s="53" t="s">
        <v>2376</v>
      </c>
      <c r="B120" s="53" t="s">
        <v>16</v>
      </c>
      <c r="C120" s="53" t="s">
        <v>2802</v>
      </c>
      <c r="D120" s="53" t="s">
        <v>2803</v>
      </c>
      <c r="E120" s="53" t="s">
        <v>2804</v>
      </c>
      <c r="F120" s="53" t="s">
        <v>2617</v>
      </c>
      <c r="G120" s="53" t="s">
        <v>2805</v>
      </c>
      <c r="I120" s="53" t="s">
        <v>838</v>
      </c>
    </row>
    <row r="121" customFormat="false" ht="11.25" hidden="false" customHeight="true" outlineLevel="0" collapsed="false">
      <c r="A121" s="53" t="s">
        <v>2376</v>
      </c>
      <c r="B121" s="53" t="s">
        <v>16</v>
      </c>
      <c r="C121" s="53" t="s">
        <v>2806</v>
      </c>
      <c r="D121" s="53" t="s">
        <v>2807</v>
      </c>
      <c r="E121" s="53" t="s">
        <v>2808</v>
      </c>
      <c r="F121" s="53" t="s">
        <v>2402</v>
      </c>
      <c r="I121" s="53" t="s">
        <v>838</v>
      </c>
    </row>
    <row r="122" customFormat="false" ht="11.25" hidden="false" customHeight="true" outlineLevel="0" collapsed="false">
      <c r="A122" s="53" t="s">
        <v>2376</v>
      </c>
      <c r="B122" s="53" t="s">
        <v>16</v>
      </c>
      <c r="C122" s="53" t="s">
        <v>2809</v>
      </c>
      <c r="D122" s="53" t="s">
        <v>2810</v>
      </c>
      <c r="E122" s="53" t="s">
        <v>2811</v>
      </c>
      <c r="F122" s="53" t="s">
        <v>2434</v>
      </c>
      <c r="I122" s="53" t="s">
        <v>838</v>
      </c>
    </row>
    <row r="123" customFormat="false" ht="11.25" hidden="false" customHeight="true" outlineLevel="0" collapsed="false">
      <c r="A123" s="53" t="s">
        <v>2376</v>
      </c>
      <c r="B123" s="53" t="s">
        <v>16</v>
      </c>
      <c r="C123" s="53" t="s">
        <v>2812</v>
      </c>
      <c r="D123" s="53" t="s">
        <v>2813</v>
      </c>
      <c r="E123" s="53" t="s">
        <v>2814</v>
      </c>
      <c r="F123" s="53" t="s">
        <v>2402</v>
      </c>
      <c r="I123" s="53" t="s">
        <v>838</v>
      </c>
    </row>
    <row r="124" customFormat="false" ht="11.25" hidden="false" customHeight="true" outlineLevel="0" collapsed="false">
      <c r="A124" s="53" t="s">
        <v>2376</v>
      </c>
      <c r="B124" s="53" t="s">
        <v>16</v>
      </c>
      <c r="C124" s="53" t="s">
        <v>2815</v>
      </c>
      <c r="D124" s="53" t="s">
        <v>2816</v>
      </c>
      <c r="E124" s="53" t="s">
        <v>2817</v>
      </c>
      <c r="F124" s="53" t="s">
        <v>2406</v>
      </c>
      <c r="I124" s="53" t="s">
        <v>838</v>
      </c>
    </row>
    <row r="125" customFormat="false" ht="11.25" hidden="false" customHeight="true" outlineLevel="0" collapsed="false">
      <c r="A125" s="53" t="s">
        <v>2376</v>
      </c>
      <c r="B125" s="53" t="s">
        <v>16</v>
      </c>
      <c r="C125" s="53" t="s">
        <v>2818</v>
      </c>
      <c r="D125" s="53" t="s">
        <v>2816</v>
      </c>
      <c r="E125" s="53" t="s">
        <v>2817</v>
      </c>
      <c r="F125" s="53" t="s">
        <v>2819</v>
      </c>
      <c r="I125" s="53" t="s">
        <v>838</v>
      </c>
    </row>
    <row r="126" customFormat="false" ht="11.25" hidden="false" customHeight="true" outlineLevel="0" collapsed="false">
      <c r="A126" s="53" t="s">
        <v>2376</v>
      </c>
      <c r="B126" s="53" t="s">
        <v>16</v>
      </c>
      <c r="C126" s="53" t="s">
        <v>2820</v>
      </c>
      <c r="D126" s="53" t="s">
        <v>2821</v>
      </c>
      <c r="E126" s="53" t="s">
        <v>2822</v>
      </c>
      <c r="F126" s="53" t="s">
        <v>2406</v>
      </c>
      <c r="G126" s="53" t="s">
        <v>2823</v>
      </c>
      <c r="I126" s="53" t="s">
        <v>838</v>
      </c>
    </row>
    <row r="127" customFormat="false" ht="11.25" hidden="false" customHeight="true" outlineLevel="0" collapsed="false">
      <c r="A127" s="53" t="s">
        <v>2376</v>
      </c>
      <c r="B127" s="53" t="s">
        <v>16</v>
      </c>
      <c r="C127" s="53" t="s">
        <v>2824</v>
      </c>
      <c r="D127" s="53" t="s">
        <v>2825</v>
      </c>
      <c r="E127" s="53" t="s">
        <v>2826</v>
      </c>
      <c r="F127" s="53" t="s">
        <v>2827</v>
      </c>
      <c r="I127" s="53" t="s">
        <v>838</v>
      </c>
    </row>
    <row r="128" customFormat="false" ht="11.25" hidden="false" customHeight="true" outlineLevel="0" collapsed="false">
      <c r="A128" s="53" t="s">
        <v>2376</v>
      </c>
      <c r="B128" s="53" t="s">
        <v>16</v>
      </c>
      <c r="C128" s="53" t="s">
        <v>2828</v>
      </c>
      <c r="D128" s="53" t="s">
        <v>2829</v>
      </c>
      <c r="E128" s="53" t="s">
        <v>2830</v>
      </c>
      <c r="F128" s="53" t="s">
        <v>2438</v>
      </c>
      <c r="I128" s="53" t="s">
        <v>838</v>
      </c>
    </row>
    <row r="129" customFormat="false" ht="11.25" hidden="false" customHeight="true" outlineLevel="0" collapsed="false">
      <c r="A129" s="53" t="s">
        <v>2376</v>
      </c>
      <c r="B129" s="53" t="s">
        <v>16</v>
      </c>
      <c r="C129" s="53" t="s">
        <v>2831</v>
      </c>
      <c r="D129" s="53" t="s">
        <v>2832</v>
      </c>
      <c r="E129" s="53" t="s">
        <v>2833</v>
      </c>
      <c r="F129" s="53" t="s">
        <v>2834</v>
      </c>
      <c r="I129" s="53" t="s">
        <v>838</v>
      </c>
    </row>
    <row r="130" customFormat="false" ht="11.25" hidden="false" customHeight="true" outlineLevel="0" collapsed="false">
      <c r="A130" s="53" t="s">
        <v>2376</v>
      </c>
      <c r="B130" s="53" t="s">
        <v>16</v>
      </c>
      <c r="C130" s="53" t="s">
        <v>2835</v>
      </c>
      <c r="D130" s="53" t="s">
        <v>2836</v>
      </c>
      <c r="E130" s="53" t="s">
        <v>2837</v>
      </c>
      <c r="F130" s="53" t="s">
        <v>2838</v>
      </c>
      <c r="I130" s="53" t="s">
        <v>838</v>
      </c>
    </row>
    <row r="131" customFormat="false" ht="11.25" hidden="false" customHeight="true" outlineLevel="0" collapsed="false">
      <c r="A131" s="53" t="s">
        <v>2376</v>
      </c>
      <c r="B131" s="53" t="s">
        <v>16</v>
      </c>
      <c r="C131" s="53" t="s">
        <v>2839</v>
      </c>
      <c r="D131" s="53" t="s">
        <v>2840</v>
      </c>
      <c r="E131" s="53" t="s">
        <v>2837</v>
      </c>
      <c r="F131" s="53" t="s">
        <v>2841</v>
      </c>
      <c r="I131" s="53" t="s">
        <v>838</v>
      </c>
    </row>
    <row r="132" customFormat="false" ht="11.25" hidden="false" customHeight="true" outlineLevel="0" collapsed="false">
      <c r="A132" s="53" t="s">
        <v>2376</v>
      </c>
      <c r="B132" s="53" t="s">
        <v>16</v>
      </c>
      <c r="C132" s="53" t="s">
        <v>2842</v>
      </c>
      <c r="D132" s="53" t="s">
        <v>2843</v>
      </c>
      <c r="E132" s="53" t="s">
        <v>2844</v>
      </c>
      <c r="F132" s="53" t="s">
        <v>2434</v>
      </c>
      <c r="I132" s="53" t="s">
        <v>838</v>
      </c>
    </row>
    <row r="133" customFormat="false" ht="11.25" hidden="false" customHeight="true" outlineLevel="0" collapsed="false">
      <c r="A133" s="53" t="s">
        <v>2376</v>
      </c>
      <c r="B133" s="53" t="s">
        <v>16</v>
      </c>
      <c r="C133" s="53" t="s">
        <v>2845</v>
      </c>
      <c r="D133" s="53" t="s">
        <v>2846</v>
      </c>
      <c r="E133" s="53" t="s">
        <v>2847</v>
      </c>
      <c r="F133" s="53" t="s">
        <v>2438</v>
      </c>
      <c r="I133" s="53" t="s">
        <v>838</v>
      </c>
    </row>
    <row r="134" customFormat="false" ht="11.25" hidden="false" customHeight="true" outlineLevel="0" collapsed="false">
      <c r="A134" s="53" t="s">
        <v>2376</v>
      </c>
      <c r="B134" s="53" t="s">
        <v>16</v>
      </c>
      <c r="C134" s="53" t="s">
        <v>2848</v>
      </c>
      <c r="D134" s="53" t="s">
        <v>2849</v>
      </c>
      <c r="E134" s="53" t="s">
        <v>2850</v>
      </c>
      <c r="F134" s="53" t="s">
        <v>2384</v>
      </c>
      <c r="G134" s="53" t="s">
        <v>2851</v>
      </c>
      <c r="I134" s="53" t="s">
        <v>838</v>
      </c>
    </row>
    <row r="135" customFormat="false" ht="11.25" hidden="false" customHeight="true" outlineLevel="0" collapsed="false">
      <c r="A135" s="53" t="s">
        <v>2376</v>
      </c>
      <c r="B135" s="53" t="s">
        <v>16</v>
      </c>
      <c r="C135" s="53" t="s">
        <v>2852</v>
      </c>
      <c r="D135" s="53" t="s">
        <v>2853</v>
      </c>
      <c r="E135" s="53" t="s">
        <v>2826</v>
      </c>
      <c r="F135" s="53" t="s">
        <v>2854</v>
      </c>
      <c r="G135" s="53" t="s">
        <v>2855</v>
      </c>
      <c r="I135" s="53" t="s">
        <v>838</v>
      </c>
    </row>
    <row r="136" customFormat="false" ht="11.25" hidden="false" customHeight="true" outlineLevel="0" collapsed="false">
      <c r="A136" s="53" t="s">
        <v>2376</v>
      </c>
      <c r="B136" s="53" t="s">
        <v>16</v>
      </c>
      <c r="C136" s="53" t="s">
        <v>2856</v>
      </c>
      <c r="D136" s="53" t="s">
        <v>2857</v>
      </c>
      <c r="E136" s="53" t="s">
        <v>2858</v>
      </c>
      <c r="F136" s="53" t="s">
        <v>2859</v>
      </c>
      <c r="I136" s="53" t="s">
        <v>838</v>
      </c>
    </row>
    <row r="137" customFormat="false" ht="11.25" hidden="false" customHeight="true" outlineLevel="0" collapsed="false">
      <c r="A137" s="53" t="s">
        <v>2376</v>
      </c>
      <c r="B137" s="53" t="s">
        <v>16</v>
      </c>
      <c r="C137" s="53" t="s">
        <v>2860</v>
      </c>
      <c r="D137" s="53" t="s">
        <v>2861</v>
      </c>
      <c r="E137" s="53" t="s">
        <v>2862</v>
      </c>
      <c r="F137" s="53" t="s">
        <v>2863</v>
      </c>
      <c r="I137" s="53" t="s">
        <v>838</v>
      </c>
    </row>
    <row r="138" customFormat="false" ht="11.25" hidden="false" customHeight="true" outlineLevel="0" collapsed="false">
      <c r="A138" s="53" t="s">
        <v>2376</v>
      </c>
      <c r="B138" s="53" t="s">
        <v>16</v>
      </c>
      <c r="C138" s="53" t="s">
        <v>2864</v>
      </c>
      <c r="D138" s="53" t="s">
        <v>2865</v>
      </c>
      <c r="E138" s="53" t="s">
        <v>2866</v>
      </c>
      <c r="F138" s="53" t="s">
        <v>2438</v>
      </c>
      <c r="I138" s="53" t="s">
        <v>838</v>
      </c>
    </row>
    <row r="139" customFormat="false" ht="11.25" hidden="false" customHeight="true" outlineLevel="0" collapsed="false">
      <c r="A139" s="53" t="s">
        <v>2376</v>
      </c>
      <c r="B139" s="53" t="s">
        <v>16</v>
      </c>
      <c r="C139" s="53" t="s">
        <v>2867</v>
      </c>
      <c r="D139" s="53" t="s">
        <v>2868</v>
      </c>
      <c r="E139" s="53" t="s">
        <v>2833</v>
      </c>
      <c r="F139" s="53" t="s">
        <v>2869</v>
      </c>
      <c r="I139" s="53" t="s">
        <v>838</v>
      </c>
    </row>
    <row r="140" customFormat="false" ht="11.25" hidden="false" customHeight="true" outlineLevel="0" collapsed="false">
      <c r="A140" s="53" t="s">
        <v>2376</v>
      </c>
      <c r="B140" s="53" t="s">
        <v>16</v>
      </c>
      <c r="C140" s="53" t="s">
        <v>2870</v>
      </c>
      <c r="D140" s="53" t="s">
        <v>2871</v>
      </c>
      <c r="E140" s="53" t="s">
        <v>2833</v>
      </c>
      <c r="F140" s="53" t="s">
        <v>2872</v>
      </c>
      <c r="I140" s="53" t="s">
        <v>838</v>
      </c>
    </row>
    <row r="141" customFormat="false" ht="11.25" hidden="false" customHeight="true" outlineLevel="0" collapsed="false">
      <c r="A141" s="53" t="s">
        <v>2376</v>
      </c>
      <c r="B141" s="53" t="s">
        <v>16</v>
      </c>
      <c r="C141" s="53" t="s">
        <v>2377</v>
      </c>
      <c r="D141" s="53" t="s">
        <v>2378</v>
      </c>
      <c r="E141" s="53" t="s">
        <v>2379</v>
      </c>
      <c r="F141" s="53" t="s">
        <v>2380</v>
      </c>
      <c r="I141" s="53" t="s">
        <v>925</v>
      </c>
    </row>
    <row r="142" customFormat="false" ht="11.25" hidden="false" customHeight="true" outlineLevel="0" collapsed="false">
      <c r="A142" s="53" t="s">
        <v>2376</v>
      </c>
      <c r="B142" s="53" t="s">
        <v>16</v>
      </c>
      <c r="C142" s="53" t="s">
        <v>2381</v>
      </c>
      <c r="D142" s="53" t="s">
        <v>2382</v>
      </c>
      <c r="E142" s="53" t="s">
        <v>2383</v>
      </c>
      <c r="F142" s="53" t="s">
        <v>2384</v>
      </c>
      <c r="G142" s="53" t="s">
        <v>2385</v>
      </c>
      <c r="I142" s="53" t="s">
        <v>925</v>
      </c>
    </row>
    <row r="143" customFormat="false" ht="11.25" hidden="false" customHeight="true" outlineLevel="0" collapsed="false">
      <c r="A143" s="53" t="s">
        <v>2376</v>
      </c>
      <c r="B143" s="53" t="s">
        <v>16</v>
      </c>
      <c r="C143" s="53" t="s">
        <v>2386</v>
      </c>
      <c r="D143" s="53" t="s">
        <v>2387</v>
      </c>
      <c r="E143" s="53" t="s">
        <v>2388</v>
      </c>
      <c r="F143" s="53" t="s">
        <v>2389</v>
      </c>
      <c r="G143" s="53" t="s">
        <v>2390</v>
      </c>
      <c r="I143" s="53" t="s">
        <v>925</v>
      </c>
    </row>
    <row r="144" customFormat="false" ht="11.25" hidden="false" customHeight="true" outlineLevel="0" collapsed="false">
      <c r="A144" s="53" t="s">
        <v>2376</v>
      </c>
      <c r="B144" s="53" t="s">
        <v>16</v>
      </c>
      <c r="C144" s="53" t="s">
        <v>2395</v>
      </c>
      <c r="D144" s="53" t="s">
        <v>2396</v>
      </c>
      <c r="E144" s="53" t="s">
        <v>2397</v>
      </c>
      <c r="F144" s="53" t="s">
        <v>2398</v>
      </c>
      <c r="I144" s="53" t="s">
        <v>925</v>
      </c>
    </row>
    <row r="145" customFormat="false" ht="11.25" hidden="false" customHeight="true" outlineLevel="0" collapsed="false">
      <c r="A145" s="53" t="s">
        <v>2376</v>
      </c>
      <c r="B145" s="53" t="s">
        <v>16</v>
      </c>
      <c r="C145" s="53" t="s">
        <v>2403</v>
      </c>
      <c r="D145" s="53" t="s">
        <v>2404</v>
      </c>
      <c r="E145" s="53" t="s">
        <v>2405</v>
      </c>
      <c r="F145" s="53" t="s">
        <v>2406</v>
      </c>
      <c r="I145" s="53" t="s">
        <v>925</v>
      </c>
    </row>
    <row r="146" customFormat="false" ht="11.25" hidden="false" customHeight="true" outlineLevel="0" collapsed="false">
      <c r="A146" s="53" t="s">
        <v>2376</v>
      </c>
      <c r="B146" s="53" t="s">
        <v>16</v>
      </c>
      <c r="C146" s="53" t="s">
        <v>2407</v>
      </c>
      <c r="D146" s="53" t="s">
        <v>2408</v>
      </c>
      <c r="E146" s="53" t="s">
        <v>2409</v>
      </c>
      <c r="F146" s="53" t="s">
        <v>2410</v>
      </c>
      <c r="I146" s="53" t="s">
        <v>925</v>
      </c>
    </row>
    <row r="147" customFormat="false" ht="11.25" hidden="false" customHeight="true" outlineLevel="0" collapsed="false">
      <c r="A147" s="53" t="s">
        <v>2376</v>
      </c>
      <c r="B147" s="53" t="s">
        <v>16</v>
      </c>
      <c r="C147" s="53" t="s">
        <v>2411</v>
      </c>
      <c r="D147" s="53" t="s">
        <v>2412</v>
      </c>
      <c r="E147" s="53" t="s">
        <v>2413</v>
      </c>
      <c r="F147" s="53" t="s">
        <v>2414</v>
      </c>
      <c r="I147" s="53" t="s">
        <v>925</v>
      </c>
    </row>
    <row r="148" customFormat="false" ht="11.25" hidden="false" customHeight="true" outlineLevel="0" collapsed="false">
      <c r="A148" s="53" t="s">
        <v>2376</v>
      </c>
      <c r="B148" s="53" t="s">
        <v>16</v>
      </c>
      <c r="C148" s="53" t="s">
        <v>2419</v>
      </c>
      <c r="D148" s="53" t="s">
        <v>2420</v>
      </c>
      <c r="E148" s="53" t="s">
        <v>2421</v>
      </c>
      <c r="F148" s="53" t="s">
        <v>2422</v>
      </c>
      <c r="I148" s="53" t="s">
        <v>925</v>
      </c>
    </row>
    <row r="149" customFormat="false" ht="11.25" hidden="false" customHeight="true" outlineLevel="0" collapsed="false">
      <c r="A149" s="53" t="s">
        <v>2376</v>
      </c>
      <c r="B149" s="53" t="s">
        <v>16</v>
      </c>
      <c r="C149" s="53" t="s">
        <v>2423</v>
      </c>
      <c r="D149" s="53" t="s">
        <v>2424</v>
      </c>
      <c r="E149" s="53" t="s">
        <v>2425</v>
      </c>
      <c r="F149" s="53" t="s">
        <v>2394</v>
      </c>
      <c r="I149" s="53" t="s">
        <v>925</v>
      </c>
    </row>
    <row r="150" customFormat="false" ht="11.25" hidden="false" customHeight="true" outlineLevel="0" collapsed="false">
      <c r="A150" s="53" t="s">
        <v>2376</v>
      </c>
      <c r="B150" s="53" t="s">
        <v>16</v>
      </c>
      <c r="C150" s="53" t="s">
        <v>2431</v>
      </c>
      <c r="D150" s="53" t="s">
        <v>2432</v>
      </c>
      <c r="E150" s="53" t="s">
        <v>2433</v>
      </c>
      <c r="F150" s="53" t="s">
        <v>2434</v>
      </c>
      <c r="I150" s="53" t="s">
        <v>925</v>
      </c>
    </row>
    <row r="151" customFormat="false" ht="11.25" hidden="false" customHeight="true" outlineLevel="0" collapsed="false">
      <c r="A151" s="53" t="s">
        <v>2376</v>
      </c>
      <c r="B151" s="53" t="s">
        <v>16</v>
      </c>
      <c r="C151" s="53" t="s">
        <v>2435</v>
      </c>
      <c r="D151" s="53" t="s">
        <v>2436</v>
      </c>
      <c r="E151" s="53" t="s">
        <v>2437</v>
      </c>
      <c r="F151" s="53" t="s">
        <v>2438</v>
      </c>
      <c r="I151" s="53" t="s">
        <v>925</v>
      </c>
    </row>
    <row r="152" customFormat="false" ht="11.25" hidden="false" customHeight="true" outlineLevel="0" collapsed="false">
      <c r="A152" s="53" t="s">
        <v>2376</v>
      </c>
      <c r="B152" s="53" t="s">
        <v>16</v>
      </c>
      <c r="C152" s="53" t="s">
        <v>2439</v>
      </c>
      <c r="D152" s="53" t="s">
        <v>2440</v>
      </c>
      <c r="E152" s="53" t="s">
        <v>2441</v>
      </c>
      <c r="F152" s="53" t="s">
        <v>2442</v>
      </c>
      <c r="I152" s="53" t="s">
        <v>925</v>
      </c>
    </row>
    <row r="153" customFormat="false" ht="11.25" hidden="false" customHeight="true" outlineLevel="0" collapsed="false">
      <c r="A153" s="53" t="s">
        <v>2376</v>
      </c>
      <c r="B153" s="53" t="s">
        <v>16</v>
      </c>
      <c r="C153" s="53" t="s">
        <v>2446</v>
      </c>
      <c r="D153" s="53" t="s">
        <v>2447</v>
      </c>
      <c r="E153" s="53" t="s">
        <v>2448</v>
      </c>
      <c r="F153" s="53" t="s">
        <v>2414</v>
      </c>
      <c r="G153" s="53" t="s">
        <v>2449</v>
      </c>
      <c r="I153" s="53" t="s">
        <v>925</v>
      </c>
    </row>
    <row r="154" customFormat="false" ht="11.25" hidden="false" customHeight="true" outlineLevel="0" collapsed="false">
      <c r="A154" s="53" t="s">
        <v>2376</v>
      </c>
      <c r="B154" s="53" t="s">
        <v>16</v>
      </c>
      <c r="C154" s="53" t="s">
        <v>2450</v>
      </c>
      <c r="D154" s="53" t="s">
        <v>2451</v>
      </c>
      <c r="E154" s="53" t="s">
        <v>2452</v>
      </c>
      <c r="F154" s="53" t="s">
        <v>2406</v>
      </c>
      <c r="I154" s="53" t="s">
        <v>925</v>
      </c>
    </row>
    <row r="155" customFormat="false" ht="11.25" hidden="false" customHeight="true" outlineLevel="0" collapsed="false">
      <c r="A155" s="53" t="s">
        <v>2376</v>
      </c>
      <c r="B155" s="53" t="s">
        <v>16</v>
      </c>
      <c r="C155" s="53" t="s">
        <v>2453</v>
      </c>
      <c r="D155" s="53" t="s">
        <v>2454</v>
      </c>
      <c r="E155" s="53" t="s">
        <v>2455</v>
      </c>
      <c r="F155" s="53" t="s">
        <v>2406</v>
      </c>
      <c r="I155" s="53" t="s">
        <v>925</v>
      </c>
    </row>
    <row r="156" customFormat="false" ht="11.25" hidden="false" customHeight="true" outlineLevel="0" collapsed="false">
      <c r="A156" s="53" t="s">
        <v>2376</v>
      </c>
      <c r="B156" s="53" t="s">
        <v>16</v>
      </c>
      <c r="C156" s="53" t="s">
        <v>2456</v>
      </c>
      <c r="D156" s="53" t="s">
        <v>2457</v>
      </c>
      <c r="E156" s="53" t="s">
        <v>2458</v>
      </c>
      <c r="F156" s="53" t="s">
        <v>49</v>
      </c>
      <c r="G156" s="53" t="s">
        <v>2459</v>
      </c>
      <c r="I156" s="53" t="s">
        <v>925</v>
      </c>
    </row>
    <row r="157" customFormat="false" ht="11.25" hidden="false" customHeight="true" outlineLevel="0" collapsed="false">
      <c r="A157" s="53" t="s">
        <v>2376</v>
      </c>
      <c r="B157" s="53" t="s">
        <v>16</v>
      </c>
      <c r="C157" s="53" t="s">
        <v>2470</v>
      </c>
      <c r="D157" s="53" t="s">
        <v>2471</v>
      </c>
      <c r="E157" s="53" t="s">
        <v>2472</v>
      </c>
      <c r="F157" s="53" t="s">
        <v>2434</v>
      </c>
      <c r="I157" s="53" t="s">
        <v>925</v>
      </c>
    </row>
    <row r="158" customFormat="false" ht="11.25" hidden="false" customHeight="true" outlineLevel="0" collapsed="false">
      <c r="A158" s="53" t="s">
        <v>2376</v>
      </c>
      <c r="B158" s="53" t="s">
        <v>16</v>
      </c>
      <c r="C158" s="53" t="s">
        <v>2473</v>
      </c>
      <c r="D158" s="53" t="s">
        <v>2474</v>
      </c>
      <c r="E158" s="53" t="s">
        <v>2475</v>
      </c>
      <c r="F158" s="53" t="s">
        <v>49</v>
      </c>
      <c r="I158" s="53" t="s">
        <v>925</v>
      </c>
    </row>
    <row r="159" customFormat="false" ht="11.25" hidden="false" customHeight="true" outlineLevel="0" collapsed="false">
      <c r="A159" s="53" t="s">
        <v>2376</v>
      </c>
      <c r="B159" s="53" t="s">
        <v>16</v>
      </c>
      <c r="C159" s="53" t="s">
        <v>2491</v>
      </c>
      <c r="D159" s="53" t="s">
        <v>2492</v>
      </c>
      <c r="E159" s="53" t="s">
        <v>2493</v>
      </c>
      <c r="F159" s="53" t="s">
        <v>2494</v>
      </c>
      <c r="I159" s="53" t="s">
        <v>925</v>
      </c>
    </row>
    <row r="160" customFormat="false" ht="11.25" hidden="false" customHeight="true" outlineLevel="0" collapsed="false">
      <c r="A160" s="53" t="s">
        <v>2376</v>
      </c>
      <c r="B160" s="53" t="s">
        <v>16</v>
      </c>
      <c r="C160" s="53" t="s">
        <v>2495</v>
      </c>
      <c r="D160" s="53" t="s">
        <v>2496</v>
      </c>
      <c r="E160" s="53" t="s">
        <v>2497</v>
      </c>
      <c r="F160" s="53" t="s">
        <v>2434</v>
      </c>
      <c r="I160" s="53" t="s">
        <v>925</v>
      </c>
    </row>
    <row r="161" customFormat="false" ht="11.25" hidden="false" customHeight="true" outlineLevel="0" collapsed="false">
      <c r="A161" s="53" t="s">
        <v>2376</v>
      </c>
      <c r="B161" s="53" t="s">
        <v>16</v>
      </c>
      <c r="C161" s="53" t="s">
        <v>2498</v>
      </c>
      <c r="D161" s="53" t="s">
        <v>2499</v>
      </c>
      <c r="E161" s="53" t="s">
        <v>2500</v>
      </c>
      <c r="F161" s="53" t="s">
        <v>49</v>
      </c>
      <c r="I161" s="53" t="s">
        <v>925</v>
      </c>
    </row>
    <row r="162" customFormat="false" ht="11.25" hidden="false" customHeight="true" outlineLevel="0" collapsed="false">
      <c r="A162" s="53" t="s">
        <v>2376</v>
      </c>
      <c r="B162" s="53" t="s">
        <v>16</v>
      </c>
      <c r="C162" s="53" t="s">
        <v>2501</v>
      </c>
      <c r="D162" s="53" t="s">
        <v>2502</v>
      </c>
      <c r="E162" s="53" t="s">
        <v>2503</v>
      </c>
      <c r="F162" s="53" t="s">
        <v>2504</v>
      </c>
      <c r="I162" s="53" t="s">
        <v>925</v>
      </c>
    </row>
    <row r="163" customFormat="false" ht="11.25" hidden="false" customHeight="true" outlineLevel="0" collapsed="false">
      <c r="A163" s="53" t="s">
        <v>2376</v>
      </c>
      <c r="B163" s="53" t="s">
        <v>16</v>
      </c>
      <c r="D163" s="53" t="s">
        <v>2505</v>
      </c>
      <c r="E163" s="53" t="s">
        <v>2506</v>
      </c>
      <c r="F163" s="53" t="s">
        <v>2438</v>
      </c>
      <c r="I163" s="53" t="s">
        <v>925</v>
      </c>
    </row>
    <row r="164" customFormat="false" ht="11.25" hidden="false" customHeight="true" outlineLevel="0" collapsed="false">
      <c r="A164" s="53" t="s">
        <v>2376</v>
      </c>
      <c r="B164" s="53" t="s">
        <v>16</v>
      </c>
      <c r="C164" s="53" t="s">
        <v>2510</v>
      </c>
      <c r="D164" s="53" t="s">
        <v>2511</v>
      </c>
      <c r="E164" s="53" t="s">
        <v>2512</v>
      </c>
      <c r="F164" s="53" t="s">
        <v>2494</v>
      </c>
      <c r="G164" s="53" t="s">
        <v>2513</v>
      </c>
      <c r="I164" s="53" t="s">
        <v>925</v>
      </c>
    </row>
    <row r="165" customFormat="false" ht="11.25" hidden="false" customHeight="true" outlineLevel="0" collapsed="false">
      <c r="A165" s="53" t="s">
        <v>2376</v>
      </c>
      <c r="B165" s="53" t="s">
        <v>16</v>
      </c>
      <c r="C165" s="53" t="s">
        <v>2530</v>
      </c>
      <c r="D165" s="53" t="s">
        <v>2531</v>
      </c>
      <c r="E165" s="53" t="s">
        <v>2532</v>
      </c>
      <c r="F165" s="53" t="s">
        <v>2533</v>
      </c>
      <c r="I165" s="53" t="s">
        <v>925</v>
      </c>
    </row>
    <row r="166" customFormat="false" ht="11.25" hidden="false" customHeight="true" outlineLevel="0" collapsed="false">
      <c r="A166" s="53" t="s">
        <v>2376</v>
      </c>
      <c r="B166" s="53" t="s">
        <v>16</v>
      </c>
      <c r="C166" s="53" t="s">
        <v>2537</v>
      </c>
      <c r="D166" s="53" t="s">
        <v>2538</v>
      </c>
      <c r="E166" s="53" t="s">
        <v>2539</v>
      </c>
      <c r="F166" s="53" t="s">
        <v>2402</v>
      </c>
      <c r="G166" s="53" t="s">
        <v>2540</v>
      </c>
      <c r="I166" s="53" t="s">
        <v>925</v>
      </c>
    </row>
    <row r="167" customFormat="false" ht="11.25" hidden="false" customHeight="true" outlineLevel="0" collapsed="false">
      <c r="A167" s="53" t="s">
        <v>2376</v>
      </c>
      <c r="B167" s="53" t="s">
        <v>16</v>
      </c>
      <c r="C167" s="53" t="s">
        <v>2541</v>
      </c>
      <c r="D167" s="53" t="s">
        <v>2542</v>
      </c>
      <c r="E167" s="53" t="s">
        <v>2543</v>
      </c>
      <c r="F167" s="53" t="s">
        <v>2410</v>
      </c>
      <c r="I167" s="53" t="s">
        <v>925</v>
      </c>
    </row>
    <row r="168" customFormat="false" ht="11.25" hidden="false" customHeight="true" outlineLevel="0" collapsed="false">
      <c r="A168" s="53" t="s">
        <v>2376</v>
      </c>
      <c r="B168" s="53" t="s">
        <v>16</v>
      </c>
      <c r="C168" s="53" t="s">
        <v>2544</v>
      </c>
      <c r="D168" s="53" t="s">
        <v>2545</v>
      </c>
      <c r="E168" s="53" t="s">
        <v>2546</v>
      </c>
      <c r="F168" s="53" t="s">
        <v>2533</v>
      </c>
      <c r="I168" s="53" t="s">
        <v>925</v>
      </c>
    </row>
    <row r="169" customFormat="false" ht="11.25" hidden="false" customHeight="true" outlineLevel="0" collapsed="false">
      <c r="A169" s="53" t="s">
        <v>2376</v>
      </c>
      <c r="B169" s="53" t="s">
        <v>16</v>
      </c>
      <c r="C169" s="53" t="s">
        <v>2547</v>
      </c>
      <c r="D169" s="53" t="s">
        <v>2548</v>
      </c>
      <c r="E169" s="53" t="s">
        <v>2549</v>
      </c>
      <c r="F169" s="53" t="s">
        <v>2410</v>
      </c>
      <c r="G169" s="53" t="s">
        <v>2550</v>
      </c>
      <c r="I169" s="53" t="s">
        <v>925</v>
      </c>
    </row>
    <row r="170" customFormat="false" ht="11.25" hidden="false" customHeight="true" outlineLevel="0" collapsed="false">
      <c r="A170" s="53" t="s">
        <v>2376</v>
      </c>
      <c r="B170" s="53" t="s">
        <v>16</v>
      </c>
      <c r="C170" s="53" t="s">
        <v>2551</v>
      </c>
      <c r="D170" s="53" t="s">
        <v>2552</v>
      </c>
      <c r="E170" s="53" t="s">
        <v>2553</v>
      </c>
      <c r="F170" s="53" t="s">
        <v>2490</v>
      </c>
      <c r="I170" s="53" t="s">
        <v>925</v>
      </c>
    </row>
    <row r="171" customFormat="false" ht="11.25" hidden="false" customHeight="true" outlineLevel="0" collapsed="false">
      <c r="A171" s="53" t="s">
        <v>2376</v>
      </c>
      <c r="B171" s="53" t="s">
        <v>16</v>
      </c>
      <c r="C171" s="53" t="s">
        <v>2557</v>
      </c>
      <c r="D171" s="53" t="s">
        <v>2558</v>
      </c>
      <c r="E171" s="53" t="s">
        <v>2559</v>
      </c>
      <c r="F171" s="53" t="s">
        <v>2434</v>
      </c>
      <c r="G171" s="53" t="s">
        <v>2560</v>
      </c>
      <c r="I171" s="53" t="s">
        <v>925</v>
      </c>
    </row>
    <row r="172" customFormat="false" ht="11.25" hidden="false" customHeight="true" outlineLevel="0" collapsed="false">
      <c r="A172" s="53" t="s">
        <v>2376</v>
      </c>
      <c r="B172" s="53" t="s">
        <v>16</v>
      </c>
      <c r="C172" s="53" t="s">
        <v>2571</v>
      </c>
      <c r="D172" s="53" t="s">
        <v>2572</v>
      </c>
      <c r="E172" s="53" t="s">
        <v>2573</v>
      </c>
      <c r="F172" s="53" t="s">
        <v>2434</v>
      </c>
      <c r="I172" s="53" t="s">
        <v>925</v>
      </c>
    </row>
    <row r="173" customFormat="false" ht="11.25" hidden="false" customHeight="true" outlineLevel="0" collapsed="false">
      <c r="A173" s="53" t="s">
        <v>2376</v>
      </c>
      <c r="B173" s="53" t="s">
        <v>16</v>
      </c>
      <c r="C173" s="53" t="s">
        <v>2574</v>
      </c>
      <c r="D173" s="53" t="s">
        <v>2575</v>
      </c>
      <c r="E173" s="53" t="s">
        <v>2576</v>
      </c>
      <c r="F173" s="53" t="s">
        <v>2434</v>
      </c>
      <c r="I173" s="53" t="s">
        <v>925</v>
      </c>
    </row>
    <row r="174" customFormat="false" ht="11.25" hidden="false" customHeight="true" outlineLevel="0" collapsed="false">
      <c r="A174" s="53" t="s">
        <v>2376</v>
      </c>
      <c r="B174" s="53" t="s">
        <v>16</v>
      </c>
      <c r="C174" s="53" t="s">
        <v>2577</v>
      </c>
      <c r="D174" s="53" t="s">
        <v>2578</v>
      </c>
      <c r="E174" s="53" t="s">
        <v>2579</v>
      </c>
      <c r="F174" s="53" t="s">
        <v>2442</v>
      </c>
      <c r="G174" s="53" t="s">
        <v>2580</v>
      </c>
      <c r="I174" s="53" t="s">
        <v>925</v>
      </c>
    </row>
    <row r="175" customFormat="false" ht="11.25" hidden="false" customHeight="true" outlineLevel="0" collapsed="false">
      <c r="A175" s="53" t="s">
        <v>2376</v>
      </c>
      <c r="B175" s="53" t="s">
        <v>16</v>
      </c>
      <c r="C175" s="53" t="s">
        <v>2581</v>
      </c>
      <c r="D175" s="53" t="s">
        <v>2582</v>
      </c>
      <c r="E175" s="53" t="s">
        <v>2583</v>
      </c>
      <c r="F175" s="53" t="s">
        <v>2442</v>
      </c>
      <c r="I175" s="53" t="s">
        <v>925</v>
      </c>
    </row>
    <row r="176" customFormat="false" ht="11.25" hidden="false" customHeight="true" outlineLevel="0" collapsed="false">
      <c r="A176" s="53" t="s">
        <v>2376</v>
      </c>
      <c r="B176" s="53" t="s">
        <v>16</v>
      </c>
      <c r="C176" s="53" t="s">
        <v>2587</v>
      </c>
      <c r="D176" s="53" t="s">
        <v>2588</v>
      </c>
      <c r="E176" s="53" t="s">
        <v>2589</v>
      </c>
      <c r="F176" s="53" t="s">
        <v>2494</v>
      </c>
      <c r="I176" s="53" t="s">
        <v>925</v>
      </c>
    </row>
    <row r="177" customFormat="false" ht="11.25" hidden="false" customHeight="true" outlineLevel="0" collapsed="false">
      <c r="A177" s="53" t="s">
        <v>2376</v>
      </c>
      <c r="B177" s="53" t="s">
        <v>16</v>
      </c>
      <c r="C177" s="53" t="s">
        <v>2599</v>
      </c>
      <c r="D177" s="53" t="s">
        <v>2600</v>
      </c>
      <c r="E177" s="53" t="s">
        <v>2601</v>
      </c>
      <c r="F177" s="53" t="s">
        <v>2434</v>
      </c>
      <c r="I177" s="53" t="s">
        <v>925</v>
      </c>
    </row>
    <row r="178" customFormat="false" ht="11.25" hidden="false" customHeight="true" outlineLevel="0" collapsed="false">
      <c r="A178" s="53" t="s">
        <v>2376</v>
      </c>
      <c r="B178" s="53" t="s">
        <v>16</v>
      </c>
      <c r="C178" s="53" t="s">
        <v>2602</v>
      </c>
      <c r="D178" s="53" t="s">
        <v>2603</v>
      </c>
      <c r="E178" s="53" t="s">
        <v>2604</v>
      </c>
      <c r="F178" s="53" t="s">
        <v>2494</v>
      </c>
      <c r="I178" s="53" t="s">
        <v>925</v>
      </c>
    </row>
    <row r="179" customFormat="false" ht="11.25" hidden="false" customHeight="true" outlineLevel="0" collapsed="false">
      <c r="A179" s="53" t="s">
        <v>2376</v>
      </c>
      <c r="B179" s="53" t="s">
        <v>16</v>
      </c>
      <c r="C179" s="53" t="s">
        <v>2605</v>
      </c>
      <c r="D179" s="53" t="s">
        <v>2606</v>
      </c>
      <c r="E179" s="53" t="s">
        <v>2607</v>
      </c>
      <c r="F179" s="53" t="s">
        <v>2406</v>
      </c>
      <c r="I179" s="53" t="s">
        <v>925</v>
      </c>
    </row>
    <row r="180" customFormat="false" ht="11.25" hidden="false" customHeight="true" outlineLevel="0" collapsed="false">
      <c r="A180" s="53" t="s">
        <v>2376</v>
      </c>
      <c r="B180" s="53" t="s">
        <v>16</v>
      </c>
      <c r="C180" s="53" t="s">
        <v>2611</v>
      </c>
      <c r="D180" s="53" t="s">
        <v>2612</v>
      </c>
      <c r="E180" s="53" t="s">
        <v>2613</v>
      </c>
      <c r="F180" s="53" t="s">
        <v>2438</v>
      </c>
      <c r="I180" s="53" t="s">
        <v>925</v>
      </c>
    </row>
    <row r="181" customFormat="false" ht="11.25" hidden="false" customHeight="true" outlineLevel="0" collapsed="false">
      <c r="A181" s="53" t="s">
        <v>2376</v>
      </c>
      <c r="B181" s="53" t="s">
        <v>16</v>
      </c>
      <c r="C181" s="53" t="s">
        <v>2614</v>
      </c>
      <c r="D181" s="53" t="s">
        <v>2615</v>
      </c>
      <c r="E181" s="53" t="s">
        <v>2616</v>
      </c>
      <c r="F181" s="53" t="s">
        <v>2617</v>
      </c>
      <c r="G181" s="53" t="s">
        <v>2618</v>
      </c>
      <c r="I181" s="53" t="s">
        <v>925</v>
      </c>
    </row>
    <row r="182" customFormat="false" ht="11.25" hidden="false" customHeight="true" outlineLevel="0" collapsed="false">
      <c r="A182" s="53" t="s">
        <v>2376</v>
      </c>
      <c r="B182" s="53" t="s">
        <v>16</v>
      </c>
      <c r="C182" s="53" t="s">
        <v>2619</v>
      </c>
      <c r="D182" s="53" t="s">
        <v>2620</v>
      </c>
      <c r="E182" s="53" t="s">
        <v>2621</v>
      </c>
      <c r="F182" s="53" t="s">
        <v>2622</v>
      </c>
      <c r="G182" s="53" t="s">
        <v>2623</v>
      </c>
      <c r="I182" s="53" t="s">
        <v>925</v>
      </c>
    </row>
    <row r="183" customFormat="false" ht="11.25" hidden="false" customHeight="true" outlineLevel="0" collapsed="false">
      <c r="A183" s="53" t="s">
        <v>2376</v>
      </c>
      <c r="B183" s="53" t="s">
        <v>16</v>
      </c>
      <c r="C183" s="53" t="s">
        <v>13</v>
      </c>
      <c r="D183" s="53" t="s">
        <v>44</v>
      </c>
      <c r="E183" s="53" t="s">
        <v>47</v>
      </c>
      <c r="F183" s="53" t="s">
        <v>49</v>
      </c>
      <c r="G183" s="53" t="s">
        <v>2633</v>
      </c>
      <c r="I183" s="53" t="s">
        <v>925</v>
      </c>
    </row>
    <row r="184" customFormat="false" ht="11.25" hidden="false" customHeight="true" outlineLevel="0" collapsed="false">
      <c r="A184" s="53" t="s">
        <v>2376</v>
      </c>
      <c r="B184" s="53" t="s">
        <v>16</v>
      </c>
      <c r="C184" s="53" t="s">
        <v>2638</v>
      </c>
      <c r="D184" s="53" t="s">
        <v>2639</v>
      </c>
      <c r="E184" s="53" t="s">
        <v>2640</v>
      </c>
      <c r="F184" s="53" t="s">
        <v>2494</v>
      </c>
      <c r="G184" s="53" t="s">
        <v>2641</v>
      </c>
      <c r="I184" s="53" t="s">
        <v>925</v>
      </c>
    </row>
    <row r="185" customFormat="false" ht="11.25" hidden="false" customHeight="true" outlineLevel="0" collapsed="false">
      <c r="A185" s="53" t="s">
        <v>2376</v>
      </c>
      <c r="B185" s="53" t="s">
        <v>16</v>
      </c>
      <c r="C185" s="53" t="s">
        <v>2658</v>
      </c>
      <c r="D185" s="53" t="s">
        <v>2659</v>
      </c>
      <c r="E185" s="53" t="s">
        <v>2660</v>
      </c>
      <c r="F185" s="53" t="s">
        <v>2494</v>
      </c>
      <c r="I185" s="53" t="s">
        <v>925</v>
      </c>
    </row>
    <row r="186" customFormat="false" ht="11.25" hidden="false" customHeight="true" outlineLevel="0" collapsed="false">
      <c r="A186" s="53" t="s">
        <v>2376</v>
      </c>
      <c r="B186" s="53" t="s">
        <v>16</v>
      </c>
      <c r="C186" s="53" t="s">
        <v>2661</v>
      </c>
      <c r="D186" s="53" t="s">
        <v>2662</v>
      </c>
      <c r="E186" s="53" t="s">
        <v>2663</v>
      </c>
      <c r="F186" s="53" t="s">
        <v>2410</v>
      </c>
      <c r="I186" s="53" t="s">
        <v>925</v>
      </c>
    </row>
    <row r="187" customFormat="false" ht="11.25" hidden="false" customHeight="true" outlineLevel="0" collapsed="false">
      <c r="A187" s="53" t="s">
        <v>2376</v>
      </c>
      <c r="B187" s="53" t="s">
        <v>16</v>
      </c>
      <c r="C187" s="53" t="s">
        <v>2672</v>
      </c>
      <c r="D187" s="53" t="s">
        <v>2673</v>
      </c>
      <c r="E187" s="53" t="s">
        <v>2674</v>
      </c>
      <c r="F187" s="53" t="s">
        <v>2494</v>
      </c>
      <c r="G187" s="53" t="s">
        <v>2675</v>
      </c>
      <c r="I187" s="53" t="s">
        <v>925</v>
      </c>
    </row>
    <row r="188" customFormat="false" ht="11.25" hidden="false" customHeight="true" outlineLevel="0" collapsed="false">
      <c r="A188" s="53" t="s">
        <v>2376</v>
      </c>
      <c r="B188" s="53" t="s">
        <v>16</v>
      </c>
      <c r="C188" s="53" t="s">
        <v>2683</v>
      </c>
      <c r="D188" s="53" t="s">
        <v>2684</v>
      </c>
      <c r="E188" s="53" t="s">
        <v>2685</v>
      </c>
      <c r="F188" s="53" t="s">
        <v>2686</v>
      </c>
      <c r="I188" s="53" t="s">
        <v>925</v>
      </c>
    </row>
    <row r="189" customFormat="false" ht="11.25" hidden="false" customHeight="true" outlineLevel="0" collapsed="false">
      <c r="A189" s="53" t="s">
        <v>2376</v>
      </c>
      <c r="B189" s="53" t="s">
        <v>16</v>
      </c>
      <c r="C189" s="53" t="s">
        <v>2691</v>
      </c>
      <c r="D189" s="53" t="s">
        <v>2692</v>
      </c>
      <c r="E189" s="53" t="s">
        <v>2693</v>
      </c>
      <c r="F189" s="53" t="s">
        <v>2434</v>
      </c>
      <c r="G189" s="53" t="s">
        <v>2694</v>
      </c>
      <c r="I189" s="53" t="s">
        <v>925</v>
      </c>
    </row>
    <row r="190" customFormat="false" ht="11.25" hidden="false" customHeight="true" outlineLevel="0" collapsed="false">
      <c r="A190" s="53" t="s">
        <v>2376</v>
      </c>
      <c r="B190" s="53" t="s">
        <v>16</v>
      </c>
      <c r="C190" s="53" t="s">
        <v>2703</v>
      </c>
      <c r="D190" s="53" t="s">
        <v>2704</v>
      </c>
      <c r="E190" s="53" t="s">
        <v>2705</v>
      </c>
      <c r="F190" s="53" t="s">
        <v>2438</v>
      </c>
      <c r="G190" s="53" t="s">
        <v>2706</v>
      </c>
      <c r="I190" s="53" t="s">
        <v>925</v>
      </c>
    </row>
    <row r="191" customFormat="false" ht="11.25" hidden="false" customHeight="true" outlineLevel="0" collapsed="false">
      <c r="A191" s="53" t="s">
        <v>2376</v>
      </c>
      <c r="B191" s="53" t="s">
        <v>16</v>
      </c>
      <c r="C191" s="53" t="s">
        <v>2707</v>
      </c>
      <c r="D191" s="53" t="s">
        <v>2708</v>
      </c>
      <c r="E191" s="53" t="s">
        <v>2709</v>
      </c>
      <c r="F191" s="53" t="s">
        <v>2434</v>
      </c>
      <c r="I191" s="53" t="s">
        <v>925</v>
      </c>
    </row>
    <row r="192" customFormat="false" ht="11.25" hidden="false" customHeight="true" outlineLevel="0" collapsed="false">
      <c r="A192" s="53" t="s">
        <v>2376</v>
      </c>
      <c r="B192" s="53" t="s">
        <v>16</v>
      </c>
      <c r="C192" s="53" t="s">
        <v>2710</v>
      </c>
      <c r="D192" s="53" t="s">
        <v>2711</v>
      </c>
      <c r="E192" s="53" t="s">
        <v>2712</v>
      </c>
      <c r="F192" s="53" t="s">
        <v>2490</v>
      </c>
      <c r="I192" s="53" t="s">
        <v>925</v>
      </c>
    </row>
    <row r="193" customFormat="false" ht="11.25" hidden="false" customHeight="true" outlineLevel="0" collapsed="false">
      <c r="A193" s="53" t="s">
        <v>2376</v>
      </c>
      <c r="B193" s="53" t="s">
        <v>16</v>
      </c>
      <c r="C193" s="53" t="s">
        <v>2713</v>
      </c>
      <c r="D193" s="53" t="s">
        <v>2714</v>
      </c>
      <c r="E193" s="53" t="s">
        <v>2715</v>
      </c>
      <c r="F193" s="53" t="s">
        <v>2438</v>
      </c>
      <c r="G193" s="53" t="s">
        <v>2716</v>
      </c>
      <c r="I193" s="53" t="s">
        <v>925</v>
      </c>
    </row>
    <row r="194" customFormat="false" ht="11.25" hidden="false" customHeight="true" outlineLevel="0" collapsed="false">
      <c r="A194" s="53" t="s">
        <v>2376</v>
      </c>
      <c r="B194" s="53" t="s">
        <v>16</v>
      </c>
      <c r="C194" s="53" t="s">
        <v>2717</v>
      </c>
      <c r="D194" s="53" t="s">
        <v>2718</v>
      </c>
      <c r="E194" s="53" t="s">
        <v>2719</v>
      </c>
      <c r="F194" s="53" t="s">
        <v>2414</v>
      </c>
      <c r="I194" s="53" t="s">
        <v>925</v>
      </c>
    </row>
    <row r="195" customFormat="false" ht="11.25" hidden="false" customHeight="true" outlineLevel="0" collapsed="false">
      <c r="A195" s="53" t="s">
        <v>2376</v>
      </c>
      <c r="B195" s="53" t="s">
        <v>16</v>
      </c>
      <c r="C195" s="53" t="s">
        <v>2724</v>
      </c>
      <c r="D195" s="53" t="s">
        <v>2725</v>
      </c>
      <c r="E195" s="53" t="s">
        <v>2726</v>
      </c>
      <c r="F195" s="53" t="s">
        <v>2533</v>
      </c>
      <c r="G195" s="53" t="s">
        <v>2727</v>
      </c>
      <c r="I195" s="53" t="s">
        <v>925</v>
      </c>
    </row>
    <row r="196" customFormat="false" ht="11.25" hidden="false" customHeight="true" outlineLevel="0" collapsed="false">
      <c r="A196" s="53" t="s">
        <v>2376</v>
      </c>
      <c r="B196" s="53" t="s">
        <v>16</v>
      </c>
      <c r="C196" s="53" t="s">
        <v>2728</v>
      </c>
      <c r="D196" s="53" t="s">
        <v>2729</v>
      </c>
      <c r="E196" s="53" t="s">
        <v>2730</v>
      </c>
      <c r="F196" s="53" t="s">
        <v>2494</v>
      </c>
      <c r="G196" s="53" t="s">
        <v>2731</v>
      </c>
      <c r="I196" s="53" t="s">
        <v>925</v>
      </c>
    </row>
    <row r="197" customFormat="false" ht="11.25" hidden="false" customHeight="true" outlineLevel="0" collapsed="false">
      <c r="A197" s="53" t="s">
        <v>2376</v>
      </c>
      <c r="B197" s="53" t="s">
        <v>16</v>
      </c>
      <c r="C197" s="53" t="s">
        <v>2750</v>
      </c>
      <c r="D197" s="53" t="s">
        <v>2751</v>
      </c>
      <c r="E197" s="53" t="s">
        <v>2752</v>
      </c>
      <c r="F197" s="53" t="s">
        <v>2438</v>
      </c>
      <c r="I197" s="53" t="s">
        <v>925</v>
      </c>
    </row>
    <row r="198" customFormat="false" ht="11.25" hidden="false" customHeight="true" outlineLevel="0" collapsed="false">
      <c r="A198" s="53" t="s">
        <v>2376</v>
      </c>
      <c r="B198" s="53" t="s">
        <v>16</v>
      </c>
      <c r="C198" s="53" t="s">
        <v>2753</v>
      </c>
      <c r="D198" s="53" t="s">
        <v>2754</v>
      </c>
      <c r="E198" s="53" t="s">
        <v>2755</v>
      </c>
      <c r="F198" s="53" t="s">
        <v>2756</v>
      </c>
      <c r="G198" s="53" t="s">
        <v>2757</v>
      </c>
      <c r="I198" s="53" t="s">
        <v>925</v>
      </c>
    </row>
    <row r="199" customFormat="false" ht="11.25" hidden="false" customHeight="true" outlineLevel="0" collapsed="false">
      <c r="A199" s="53" t="s">
        <v>2376</v>
      </c>
      <c r="B199" s="53" t="s">
        <v>16</v>
      </c>
      <c r="C199" s="53" t="s">
        <v>2758</v>
      </c>
      <c r="D199" s="53" t="s">
        <v>2759</v>
      </c>
      <c r="E199" s="53" t="s">
        <v>2760</v>
      </c>
      <c r="F199" s="53" t="s">
        <v>2442</v>
      </c>
      <c r="I199" s="53" t="s">
        <v>925</v>
      </c>
    </row>
    <row r="200" customFormat="false" ht="11.25" hidden="false" customHeight="true" outlineLevel="0" collapsed="false">
      <c r="A200" s="53" t="s">
        <v>2376</v>
      </c>
      <c r="B200" s="53" t="s">
        <v>16</v>
      </c>
      <c r="C200" s="53" t="s">
        <v>2761</v>
      </c>
      <c r="D200" s="53" t="s">
        <v>2762</v>
      </c>
      <c r="E200" s="53" t="s">
        <v>2763</v>
      </c>
      <c r="F200" s="53" t="s">
        <v>2533</v>
      </c>
      <c r="G200" s="53" t="s">
        <v>2764</v>
      </c>
      <c r="I200" s="53" t="s">
        <v>925</v>
      </c>
    </row>
    <row r="201" customFormat="false" ht="11.25" hidden="false" customHeight="true" outlineLevel="0" collapsed="false">
      <c r="A201" s="53" t="s">
        <v>2376</v>
      </c>
      <c r="B201" s="53" t="s">
        <v>16</v>
      </c>
      <c r="C201" s="53" t="s">
        <v>2772</v>
      </c>
      <c r="D201" s="53" t="s">
        <v>2773</v>
      </c>
      <c r="E201" s="53" t="s">
        <v>2774</v>
      </c>
      <c r="F201" s="53" t="s">
        <v>49</v>
      </c>
      <c r="G201" s="53" t="s">
        <v>2775</v>
      </c>
      <c r="I201" s="53" t="s">
        <v>925</v>
      </c>
    </row>
    <row r="202" customFormat="false" ht="11.25" hidden="false" customHeight="true" outlineLevel="0" collapsed="false">
      <c r="A202" s="53" t="s">
        <v>2376</v>
      </c>
      <c r="B202" s="53" t="s">
        <v>16</v>
      </c>
      <c r="C202" s="53" t="s">
        <v>2776</v>
      </c>
      <c r="D202" s="53" t="s">
        <v>2777</v>
      </c>
      <c r="E202" s="53" t="s">
        <v>2778</v>
      </c>
      <c r="F202" s="53" t="s">
        <v>2434</v>
      </c>
      <c r="I202" s="53" t="s">
        <v>925</v>
      </c>
    </row>
    <row r="203" customFormat="false" ht="11.25" hidden="false" customHeight="true" outlineLevel="0" collapsed="false">
      <c r="A203" s="53" t="s">
        <v>2376</v>
      </c>
      <c r="B203" s="53" t="s">
        <v>16</v>
      </c>
      <c r="C203" s="53" t="s">
        <v>2794</v>
      </c>
      <c r="D203" s="53" t="s">
        <v>2795</v>
      </c>
      <c r="E203" s="53" t="s">
        <v>2796</v>
      </c>
      <c r="F203" s="53" t="s">
        <v>49</v>
      </c>
      <c r="I203" s="53" t="s">
        <v>925</v>
      </c>
    </row>
    <row r="204" customFormat="false" ht="11.25" hidden="false" customHeight="true" outlineLevel="0" collapsed="false">
      <c r="A204" s="53" t="s">
        <v>2376</v>
      </c>
      <c r="B204" s="53" t="s">
        <v>16</v>
      </c>
      <c r="C204" s="53" t="s">
        <v>2809</v>
      </c>
      <c r="D204" s="53" t="s">
        <v>2810</v>
      </c>
      <c r="E204" s="53" t="s">
        <v>2811</v>
      </c>
      <c r="F204" s="53" t="s">
        <v>2434</v>
      </c>
      <c r="I204" s="53" t="s">
        <v>925</v>
      </c>
    </row>
    <row r="205" customFormat="false" ht="11.25" hidden="false" customHeight="true" outlineLevel="0" collapsed="false">
      <c r="A205" s="53" t="s">
        <v>2376</v>
      </c>
      <c r="B205" s="53" t="s">
        <v>16</v>
      </c>
      <c r="C205" s="53" t="s">
        <v>2815</v>
      </c>
      <c r="D205" s="53" t="s">
        <v>2816</v>
      </c>
      <c r="E205" s="53" t="s">
        <v>2817</v>
      </c>
      <c r="F205" s="53" t="s">
        <v>2406</v>
      </c>
      <c r="I205" s="53" t="s">
        <v>925</v>
      </c>
    </row>
    <row r="206" customFormat="false" ht="11.25" hidden="false" customHeight="true" outlineLevel="0" collapsed="false">
      <c r="A206" s="53" t="s">
        <v>2376</v>
      </c>
      <c r="B206" s="53" t="s">
        <v>16</v>
      </c>
      <c r="C206" s="53" t="s">
        <v>2818</v>
      </c>
      <c r="D206" s="53" t="s">
        <v>2816</v>
      </c>
      <c r="E206" s="53" t="s">
        <v>2817</v>
      </c>
      <c r="F206" s="53" t="s">
        <v>2819</v>
      </c>
      <c r="I206" s="53" t="s">
        <v>925</v>
      </c>
    </row>
    <row r="207" customFormat="false" ht="11.25" hidden="false" customHeight="true" outlineLevel="0" collapsed="false">
      <c r="A207" s="53" t="s">
        <v>2376</v>
      </c>
      <c r="B207" s="53" t="s">
        <v>16</v>
      </c>
      <c r="C207" s="53" t="s">
        <v>2831</v>
      </c>
      <c r="D207" s="53" t="s">
        <v>2832</v>
      </c>
      <c r="E207" s="53" t="s">
        <v>2833</v>
      </c>
      <c r="F207" s="53" t="s">
        <v>2834</v>
      </c>
      <c r="I207" s="53" t="s">
        <v>925</v>
      </c>
    </row>
    <row r="208" customFormat="false" ht="11.25" hidden="false" customHeight="true" outlineLevel="0" collapsed="false">
      <c r="A208" s="53" t="s">
        <v>2376</v>
      </c>
      <c r="B208" s="53" t="s">
        <v>16</v>
      </c>
      <c r="C208" s="53" t="s">
        <v>2835</v>
      </c>
      <c r="D208" s="53" t="s">
        <v>2836</v>
      </c>
      <c r="E208" s="53" t="s">
        <v>2837</v>
      </c>
      <c r="F208" s="53" t="s">
        <v>2838</v>
      </c>
      <c r="I208" s="53" t="s">
        <v>925</v>
      </c>
    </row>
    <row r="209" customFormat="false" ht="11.25" hidden="false" customHeight="true" outlineLevel="0" collapsed="false">
      <c r="A209" s="53" t="s">
        <v>2376</v>
      </c>
      <c r="B209" s="53" t="s">
        <v>16</v>
      </c>
      <c r="C209" s="53" t="s">
        <v>2842</v>
      </c>
      <c r="D209" s="53" t="s">
        <v>2843</v>
      </c>
      <c r="E209" s="53" t="s">
        <v>2844</v>
      </c>
      <c r="F209" s="53" t="s">
        <v>2434</v>
      </c>
      <c r="I209" s="53" t="s">
        <v>925</v>
      </c>
    </row>
    <row r="210" customFormat="false" ht="11.25" hidden="false" customHeight="true" outlineLevel="0" collapsed="false">
      <c r="A210" s="53" t="s">
        <v>2376</v>
      </c>
      <c r="B210" s="53" t="s">
        <v>16</v>
      </c>
      <c r="C210" s="53" t="s">
        <v>2860</v>
      </c>
      <c r="D210" s="53" t="s">
        <v>2861</v>
      </c>
      <c r="E210" s="53" t="s">
        <v>2862</v>
      </c>
      <c r="F210" s="53" t="s">
        <v>2863</v>
      </c>
      <c r="I210" s="53" t="s">
        <v>925</v>
      </c>
    </row>
    <row r="211" customFormat="false" ht="11.25" hidden="false" customHeight="true" outlineLevel="0" collapsed="false">
      <c r="A211" s="53" t="s">
        <v>2376</v>
      </c>
      <c r="B211" s="53" t="s">
        <v>16</v>
      </c>
      <c r="C211" s="53" t="s">
        <v>2864</v>
      </c>
      <c r="D211" s="53" t="s">
        <v>2865</v>
      </c>
      <c r="E211" s="53" t="s">
        <v>2866</v>
      </c>
      <c r="F211" s="53" t="s">
        <v>2438</v>
      </c>
      <c r="I211" s="53" t="s">
        <v>925</v>
      </c>
    </row>
    <row r="212" customFormat="false" ht="11.25" hidden="false" customHeight="true" outlineLevel="0" collapsed="false">
      <c r="A212" s="53" t="s">
        <v>2376</v>
      </c>
      <c r="B212" s="53" t="s">
        <v>16</v>
      </c>
      <c r="C212" s="53" t="s">
        <v>2386</v>
      </c>
      <c r="D212" s="53" t="s">
        <v>2387</v>
      </c>
      <c r="E212" s="53" t="s">
        <v>2388</v>
      </c>
      <c r="F212" s="53" t="s">
        <v>2389</v>
      </c>
      <c r="G212" s="53" t="s">
        <v>2390</v>
      </c>
      <c r="I212" s="53" t="s">
        <v>885</v>
      </c>
    </row>
    <row r="213" customFormat="false" ht="11.25" hidden="false" customHeight="true" outlineLevel="0" collapsed="false">
      <c r="A213" s="53" t="s">
        <v>2376</v>
      </c>
      <c r="B213" s="53" t="s">
        <v>16</v>
      </c>
      <c r="C213" s="53" t="s">
        <v>2395</v>
      </c>
      <c r="D213" s="53" t="s">
        <v>2396</v>
      </c>
      <c r="E213" s="53" t="s">
        <v>2397</v>
      </c>
      <c r="F213" s="53" t="s">
        <v>2398</v>
      </c>
      <c r="I213" s="53" t="s">
        <v>885</v>
      </c>
    </row>
    <row r="214" customFormat="false" ht="11.25" hidden="false" customHeight="true" outlineLevel="0" collapsed="false">
      <c r="A214" s="53" t="s">
        <v>2376</v>
      </c>
      <c r="B214" s="53" t="s">
        <v>16</v>
      </c>
      <c r="C214" s="53" t="s">
        <v>2399</v>
      </c>
      <c r="D214" s="53" t="s">
        <v>2400</v>
      </c>
      <c r="E214" s="53" t="s">
        <v>2401</v>
      </c>
      <c r="F214" s="53" t="s">
        <v>2402</v>
      </c>
      <c r="I214" s="53" t="s">
        <v>885</v>
      </c>
    </row>
    <row r="215" customFormat="false" ht="11.25" hidden="false" customHeight="true" outlineLevel="0" collapsed="false">
      <c r="A215" s="53" t="s">
        <v>2376</v>
      </c>
      <c r="B215" s="53" t="s">
        <v>16</v>
      </c>
      <c r="C215" s="53" t="s">
        <v>2873</v>
      </c>
      <c r="D215" s="53" t="s">
        <v>2874</v>
      </c>
      <c r="E215" s="53" t="s">
        <v>2875</v>
      </c>
      <c r="F215" s="53" t="s">
        <v>2438</v>
      </c>
      <c r="I215" s="53" t="s">
        <v>885</v>
      </c>
    </row>
    <row r="216" customFormat="false" ht="11.25" hidden="false" customHeight="true" outlineLevel="0" collapsed="false">
      <c r="A216" s="53" t="s">
        <v>2376</v>
      </c>
      <c r="B216" s="53" t="s">
        <v>16</v>
      </c>
      <c r="C216" s="53" t="s">
        <v>2415</v>
      </c>
      <c r="D216" s="53" t="s">
        <v>2416</v>
      </c>
      <c r="E216" s="53" t="s">
        <v>2417</v>
      </c>
      <c r="F216" s="53" t="s">
        <v>2418</v>
      </c>
      <c r="I216" s="53" t="s">
        <v>885</v>
      </c>
    </row>
    <row r="217" customFormat="false" ht="11.25" hidden="false" customHeight="true" outlineLevel="0" collapsed="false">
      <c r="A217" s="53" t="s">
        <v>2376</v>
      </c>
      <c r="B217" s="53" t="s">
        <v>16</v>
      </c>
      <c r="C217" s="53" t="s">
        <v>2423</v>
      </c>
      <c r="D217" s="53" t="s">
        <v>2424</v>
      </c>
      <c r="E217" s="53" t="s">
        <v>2425</v>
      </c>
      <c r="F217" s="53" t="s">
        <v>2394</v>
      </c>
      <c r="I217" s="53" t="s">
        <v>885</v>
      </c>
    </row>
    <row r="218" customFormat="false" ht="11.25" hidden="false" customHeight="true" outlineLevel="0" collapsed="false">
      <c r="A218" s="53" t="s">
        <v>2376</v>
      </c>
      <c r="B218" s="53" t="s">
        <v>16</v>
      </c>
      <c r="C218" s="53" t="s">
        <v>2431</v>
      </c>
      <c r="D218" s="53" t="s">
        <v>2432</v>
      </c>
      <c r="E218" s="53" t="s">
        <v>2433</v>
      </c>
      <c r="F218" s="53" t="s">
        <v>2434</v>
      </c>
      <c r="I218" s="53" t="s">
        <v>885</v>
      </c>
    </row>
    <row r="219" customFormat="false" ht="11.25" hidden="false" customHeight="true" outlineLevel="0" collapsed="false">
      <c r="A219" s="53" t="s">
        <v>2376</v>
      </c>
      <c r="B219" s="53" t="s">
        <v>16</v>
      </c>
      <c r="C219" s="53" t="s">
        <v>2876</v>
      </c>
      <c r="D219" s="53" t="s">
        <v>2877</v>
      </c>
      <c r="E219" s="53" t="s">
        <v>2878</v>
      </c>
      <c r="F219" s="53" t="s">
        <v>2490</v>
      </c>
      <c r="I219" s="53" t="s">
        <v>885</v>
      </c>
    </row>
    <row r="220" customFormat="false" ht="11.25" hidden="false" customHeight="true" outlineLevel="0" collapsed="false">
      <c r="A220" s="53" t="s">
        <v>2376</v>
      </c>
      <c r="B220" s="53" t="s">
        <v>16</v>
      </c>
      <c r="C220" s="53" t="s">
        <v>2446</v>
      </c>
      <c r="D220" s="53" t="s">
        <v>2447</v>
      </c>
      <c r="E220" s="53" t="s">
        <v>2448</v>
      </c>
      <c r="F220" s="53" t="s">
        <v>2414</v>
      </c>
      <c r="G220" s="53" t="s">
        <v>2449</v>
      </c>
      <c r="I220" s="53" t="s">
        <v>885</v>
      </c>
    </row>
    <row r="221" customFormat="false" ht="11.25" hidden="false" customHeight="true" outlineLevel="0" collapsed="false">
      <c r="A221" s="53" t="s">
        <v>2376</v>
      </c>
      <c r="B221" s="53" t="s">
        <v>16</v>
      </c>
      <c r="C221" s="53" t="s">
        <v>2450</v>
      </c>
      <c r="D221" s="53" t="s">
        <v>2451</v>
      </c>
      <c r="E221" s="53" t="s">
        <v>2452</v>
      </c>
      <c r="F221" s="53" t="s">
        <v>2406</v>
      </c>
      <c r="I221" s="53" t="s">
        <v>885</v>
      </c>
    </row>
    <row r="222" customFormat="false" ht="11.25" hidden="false" customHeight="true" outlineLevel="0" collapsed="false">
      <c r="A222" s="53" t="s">
        <v>2376</v>
      </c>
      <c r="B222" s="53" t="s">
        <v>16</v>
      </c>
      <c r="C222" s="53" t="s">
        <v>2879</v>
      </c>
      <c r="D222" s="53" t="s">
        <v>2880</v>
      </c>
      <c r="E222" s="53" t="s">
        <v>2881</v>
      </c>
      <c r="F222" s="53" t="s">
        <v>2434</v>
      </c>
      <c r="I222" s="53" t="s">
        <v>885</v>
      </c>
    </row>
    <row r="223" customFormat="false" ht="11.25" hidden="false" customHeight="true" outlineLevel="0" collapsed="false">
      <c r="A223" s="53" t="s">
        <v>2376</v>
      </c>
      <c r="B223" s="53" t="s">
        <v>16</v>
      </c>
      <c r="C223" s="53" t="s">
        <v>2882</v>
      </c>
      <c r="D223" s="53" t="s">
        <v>2883</v>
      </c>
      <c r="E223" s="53" t="s">
        <v>2884</v>
      </c>
      <c r="F223" s="53" t="s">
        <v>2406</v>
      </c>
      <c r="I223" s="53" t="s">
        <v>885</v>
      </c>
    </row>
    <row r="224" customFormat="false" ht="11.25" hidden="false" customHeight="true" outlineLevel="0" collapsed="false">
      <c r="A224" s="53" t="s">
        <v>2376</v>
      </c>
      <c r="B224" s="53" t="s">
        <v>16</v>
      </c>
      <c r="C224" s="53" t="s">
        <v>2467</v>
      </c>
      <c r="D224" s="53" t="s">
        <v>2468</v>
      </c>
      <c r="E224" s="53" t="s">
        <v>2469</v>
      </c>
      <c r="F224" s="53" t="s">
        <v>2394</v>
      </c>
      <c r="I224" s="53" t="s">
        <v>885</v>
      </c>
    </row>
    <row r="225" customFormat="false" ht="11.25" hidden="false" customHeight="true" outlineLevel="0" collapsed="false">
      <c r="A225" s="53" t="s">
        <v>2376</v>
      </c>
      <c r="B225" s="53" t="s">
        <v>16</v>
      </c>
      <c r="C225" s="53" t="s">
        <v>2470</v>
      </c>
      <c r="D225" s="53" t="s">
        <v>2471</v>
      </c>
      <c r="E225" s="53" t="s">
        <v>2472</v>
      </c>
      <c r="F225" s="53" t="s">
        <v>2434</v>
      </c>
      <c r="I225" s="53" t="s">
        <v>885</v>
      </c>
    </row>
    <row r="226" customFormat="false" ht="11.25" hidden="false" customHeight="true" outlineLevel="0" collapsed="false">
      <c r="A226" s="53" t="s">
        <v>2376</v>
      </c>
      <c r="B226" s="53" t="s">
        <v>16</v>
      </c>
      <c r="C226" s="53" t="s">
        <v>2473</v>
      </c>
      <c r="D226" s="53" t="s">
        <v>2474</v>
      </c>
      <c r="E226" s="53" t="s">
        <v>2475</v>
      </c>
      <c r="F226" s="53" t="s">
        <v>49</v>
      </c>
      <c r="I226" s="53" t="s">
        <v>885</v>
      </c>
    </row>
    <row r="227" customFormat="false" ht="11.25" hidden="false" customHeight="true" outlineLevel="0" collapsed="false">
      <c r="A227" s="53" t="s">
        <v>2376</v>
      </c>
      <c r="B227" s="53" t="s">
        <v>16</v>
      </c>
      <c r="C227" s="53" t="s">
        <v>2480</v>
      </c>
      <c r="D227" s="53" t="s">
        <v>2481</v>
      </c>
      <c r="E227" s="53" t="s">
        <v>2482</v>
      </c>
      <c r="F227" s="53" t="s">
        <v>2483</v>
      </c>
      <c r="I227" s="53" t="s">
        <v>885</v>
      </c>
    </row>
    <row r="228" customFormat="false" ht="11.25" hidden="false" customHeight="true" outlineLevel="0" collapsed="false">
      <c r="A228" s="53" t="s">
        <v>2376</v>
      </c>
      <c r="B228" s="53" t="s">
        <v>16</v>
      </c>
      <c r="C228" s="53" t="s">
        <v>2885</v>
      </c>
      <c r="D228" s="53" t="s">
        <v>2886</v>
      </c>
      <c r="E228" s="53" t="s">
        <v>2887</v>
      </c>
      <c r="F228" s="53" t="s">
        <v>2402</v>
      </c>
      <c r="I228" s="53" t="s">
        <v>885</v>
      </c>
    </row>
    <row r="229" customFormat="false" ht="11.25" hidden="false" customHeight="true" outlineLevel="0" collapsed="false">
      <c r="A229" s="53" t="s">
        <v>2376</v>
      </c>
      <c r="B229" s="53" t="s">
        <v>16</v>
      </c>
      <c r="C229" s="53" t="s">
        <v>2491</v>
      </c>
      <c r="D229" s="53" t="s">
        <v>2492</v>
      </c>
      <c r="E229" s="53" t="s">
        <v>2493</v>
      </c>
      <c r="F229" s="53" t="s">
        <v>2494</v>
      </c>
      <c r="I229" s="53" t="s">
        <v>885</v>
      </c>
    </row>
    <row r="230" customFormat="false" ht="11.25" hidden="false" customHeight="true" outlineLevel="0" collapsed="false">
      <c r="A230" s="53" t="s">
        <v>2376</v>
      </c>
      <c r="B230" s="53" t="s">
        <v>16</v>
      </c>
      <c r="C230" s="53" t="s">
        <v>2495</v>
      </c>
      <c r="D230" s="53" t="s">
        <v>2496</v>
      </c>
      <c r="E230" s="53" t="s">
        <v>2497</v>
      </c>
      <c r="F230" s="53" t="s">
        <v>2434</v>
      </c>
      <c r="I230" s="53" t="s">
        <v>885</v>
      </c>
    </row>
    <row r="231" customFormat="false" ht="11.25" hidden="false" customHeight="true" outlineLevel="0" collapsed="false">
      <c r="A231" s="53" t="s">
        <v>2376</v>
      </c>
      <c r="B231" s="53" t="s">
        <v>16</v>
      </c>
      <c r="C231" s="53" t="s">
        <v>2498</v>
      </c>
      <c r="D231" s="53" t="s">
        <v>2499</v>
      </c>
      <c r="E231" s="53" t="s">
        <v>2500</v>
      </c>
      <c r="F231" s="53" t="s">
        <v>49</v>
      </c>
      <c r="I231" s="53" t="s">
        <v>885</v>
      </c>
    </row>
    <row r="232" customFormat="false" ht="11.25" hidden="false" customHeight="true" outlineLevel="0" collapsed="false">
      <c r="A232" s="53" t="s">
        <v>2376</v>
      </c>
      <c r="B232" s="53" t="s">
        <v>16</v>
      </c>
      <c r="C232" s="53" t="s">
        <v>2501</v>
      </c>
      <c r="D232" s="53" t="s">
        <v>2502</v>
      </c>
      <c r="E232" s="53" t="s">
        <v>2503</v>
      </c>
      <c r="F232" s="53" t="s">
        <v>2504</v>
      </c>
      <c r="I232" s="53" t="s">
        <v>885</v>
      </c>
    </row>
    <row r="233" customFormat="false" ht="11.25" hidden="false" customHeight="true" outlineLevel="0" collapsed="false">
      <c r="A233" s="53" t="s">
        <v>2376</v>
      </c>
      <c r="B233" s="53" t="s">
        <v>16</v>
      </c>
      <c r="D233" s="53" t="s">
        <v>2505</v>
      </c>
      <c r="E233" s="53" t="s">
        <v>2506</v>
      </c>
      <c r="F233" s="53" t="s">
        <v>2438</v>
      </c>
      <c r="I233" s="53" t="s">
        <v>885</v>
      </c>
    </row>
    <row r="234" customFormat="false" ht="11.25" hidden="false" customHeight="true" outlineLevel="0" collapsed="false">
      <c r="A234" s="53" t="s">
        <v>2376</v>
      </c>
      <c r="B234" s="53" t="s">
        <v>16</v>
      </c>
      <c r="C234" s="53" t="s">
        <v>2888</v>
      </c>
      <c r="D234" s="53" t="s">
        <v>2889</v>
      </c>
      <c r="E234" s="53" t="s">
        <v>2890</v>
      </c>
      <c r="F234" s="53" t="s">
        <v>2494</v>
      </c>
      <c r="G234" s="53" t="s">
        <v>2891</v>
      </c>
      <c r="I234" s="53" t="s">
        <v>885</v>
      </c>
    </row>
    <row r="235" customFormat="false" ht="11.25" hidden="false" customHeight="true" outlineLevel="0" collapsed="false">
      <c r="A235" s="53" t="s">
        <v>2376</v>
      </c>
      <c r="B235" s="53" t="s">
        <v>16</v>
      </c>
      <c r="C235" s="53" t="s">
        <v>2892</v>
      </c>
      <c r="D235" s="53" t="s">
        <v>2893</v>
      </c>
      <c r="E235" s="53" t="s">
        <v>2894</v>
      </c>
      <c r="F235" s="53" t="s">
        <v>2490</v>
      </c>
      <c r="I235" s="53" t="s">
        <v>885</v>
      </c>
    </row>
    <row r="236" customFormat="false" ht="11.25" hidden="false" customHeight="true" outlineLevel="0" collapsed="false">
      <c r="A236" s="53" t="s">
        <v>2376</v>
      </c>
      <c r="B236" s="53" t="s">
        <v>16</v>
      </c>
      <c r="C236" s="53" t="s">
        <v>2895</v>
      </c>
      <c r="D236" s="53" t="s">
        <v>2896</v>
      </c>
      <c r="E236" s="53" t="s">
        <v>2897</v>
      </c>
      <c r="F236" s="53" t="s">
        <v>2410</v>
      </c>
      <c r="I236" s="53" t="s">
        <v>885</v>
      </c>
    </row>
    <row r="237" customFormat="false" ht="11.25" hidden="false" customHeight="true" outlineLevel="0" collapsed="false">
      <c r="A237" s="53" t="s">
        <v>2376</v>
      </c>
      <c r="B237" s="53" t="s">
        <v>16</v>
      </c>
      <c r="C237" s="53" t="s">
        <v>2514</v>
      </c>
      <c r="D237" s="53" t="s">
        <v>2515</v>
      </c>
      <c r="E237" s="53" t="s">
        <v>2516</v>
      </c>
      <c r="F237" s="53" t="s">
        <v>2517</v>
      </c>
      <c r="I237" s="53" t="s">
        <v>885</v>
      </c>
    </row>
    <row r="238" customFormat="false" ht="11.25" hidden="false" customHeight="true" outlineLevel="0" collapsed="false">
      <c r="A238" s="53" t="s">
        <v>2376</v>
      </c>
      <c r="B238" s="53" t="s">
        <v>16</v>
      </c>
      <c r="C238" s="53" t="s">
        <v>2518</v>
      </c>
      <c r="D238" s="53" t="s">
        <v>2519</v>
      </c>
      <c r="E238" s="53" t="s">
        <v>2520</v>
      </c>
      <c r="F238" s="53" t="s">
        <v>2521</v>
      </c>
      <c r="I238" s="53" t="s">
        <v>885</v>
      </c>
    </row>
    <row r="239" customFormat="false" ht="11.25" hidden="false" customHeight="true" outlineLevel="0" collapsed="false">
      <c r="A239" s="53" t="s">
        <v>2376</v>
      </c>
      <c r="B239" s="53" t="s">
        <v>16</v>
      </c>
      <c r="C239" s="53" t="s">
        <v>2898</v>
      </c>
      <c r="D239" s="53" t="s">
        <v>2899</v>
      </c>
      <c r="E239" s="53" t="s">
        <v>2900</v>
      </c>
      <c r="F239" s="53" t="s">
        <v>2410</v>
      </c>
      <c r="G239" s="53" t="s">
        <v>2901</v>
      </c>
      <c r="I239" s="53" t="s">
        <v>885</v>
      </c>
    </row>
    <row r="240" customFormat="false" ht="11.25" hidden="false" customHeight="true" outlineLevel="0" collapsed="false">
      <c r="A240" s="53" t="s">
        <v>2376</v>
      </c>
      <c r="B240" s="53" t="s">
        <v>16</v>
      </c>
      <c r="C240" s="53" t="s">
        <v>2902</v>
      </c>
      <c r="D240" s="53" t="s">
        <v>2903</v>
      </c>
      <c r="E240" s="53" t="s">
        <v>2904</v>
      </c>
      <c r="F240" s="53" t="s">
        <v>2494</v>
      </c>
      <c r="G240" s="53" t="s">
        <v>2905</v>
      </c>
      <c r="I240" s="53" t="s">
        <v>885</v>
      </c>
    </row>
    <row r="241" customFormat="false" ht="11.25" hidden="false" customHeight="true" outlineLevel="0" collapsed="false">
      <c r="A241" s="53" t="s">
        <v>2376</v>
      </c>
      <c r="B241" s="53" t="s">
        <v>16</v>
      </c>
      <c r="C241" s="53" t="s">
        <v>2526</v>
      </c>
      <c r="D241" s="53" t="s">
        <v>2527</v>
      </c>
      <c r="E241" s="53" t="s">
        <v>2528</v>
      </c>
      <c r="F241" s="53" t="s">
        <v>2529</v>
      </c>
      <c r="I241" s="53" t="s">
        <v>885</v>
      </c>
    </row>
    <row r="242" customFormat="false" ht="11.25" hidden="false" customHeight="true" outlineLevel="0" collapsed="false">
      <c r="A242" s="53" t="s">
        <v>2376</v>
      </c>
      <c r="B242" s="53" t="s">
        <v>16</v>
      </c>
      <c r="C242" s="53" t="s">
        <v>2906</v>
      </c>
      <c r="D242" s="53" t="s">
        <v>2907</v>
      </c>
      <c r="E242" s="53" t="s">
        <v>2908</v>
      </c>
      <c r="F242" s="53" t="s">
        <v>2410</v>
      </c>
      <c r="I242" s="53" t="s">
        <v>885</v>
      </c>
    </row>
    <row r="243" customFormat="false" ht="11.25" hidden="false" customHeight="true" outlineLevel="0" collapsed="false">
      <c r="A243" s="53" t="s">
        <v>2376</v>
      </c>
      <c r="B243" s="53" t="s">
        <v>16</v>
      </c>
      <c r="C243" s="53" t="s">
        <v>2541</v>
      </c>
      <c r="D243" s="53" t="s">
        <v>2542</v>
      </c>
      <c r="E243" s="53" t="s">
        <v>2543</v>
      </c>
      <c r="F243" s="53" t="s">
        <v>2410</v>
      </c>
      <c r="I243" s="53" t="s">
        <v>885</v>
      </c>
    </row>
    <row r="244" customFormat="false" ht="11.25" hidden="false" customHeight="true" outlineLevel="0" collapsed="false">
      <c r="A244" s="53" t="s">
        <v>2376</v>
      </c>
      <c r="B244" s="53" t="s">
        <v>16</v>
      </c>
      <c r="C244" s="53" t="s">
        <v>2551</v>
      </c>
      <c r="D244" s="53" t="s">
        <v>2552</v>
      </c>
      <c r="E244" s="53" t="s">
        <v>2553</v>
      </c>
      <c r="F244" s="53" t="s">
        <v>2490</v>
      </c>
      <c r="I244" s="53" t="s">
        <v>885</v>
      </c>
    </row>
    <row r="245" customFormat="false" ht="11.25" hidden="false" customHeight="true" outlineLevel="0" collapsed="false">
      <c r="A245" s="53" t="s">
        <v>2376</v>
      </c>
      <c r="B245" s="53" t="s">
        <v>16</v>
      </c>
      <c r="C245" s="53" t="s">
        <v>2554</v>
      </c>
      <c r="D245" s="53" t="s">
        <v>2555</v>
      </c>
      <c r="E245" s="53" t="s">
        <v>2556</v>
      </c>
      <c r="F245" s="53" t="s">
        <v>2533</v>
      </c>
      <c r="I245" s="53" t="s">
        <v>885</v>
      </c>
    </row>
    <row r="246" customFormat="false" ht="11.25" hidden="false" customHeight="true" outlineLevel="0" collapsed="false">
      <c r="A246" s="53" t="s">
        <v>2376</v>
      </c>
      <c r="B246" s="53" t="s">
        <v>16</v>
      </c>
      <c r="C246" s="53" t="s">
        <v>2561</v>
      </c>
      <c r="D246" s="53" t="s">
        <v>2562</v>
      </c>
      <c r="E246" s="53" t="s">
        <v>2563</v>
      </c>
      <c r="F246" s="53" t="s">
        <v>2564</v>
      </c>
      <c r="I246" s="53" t="s">
        <v>885</v>
      </c>
    </row>
    <row r="247" customFormat="false" ht="11.25" hidden="false" customHeight="true" outlineLevel="0" collapsed="false">
      <c r="A247" s="53" t="s">
        <v>2376</v>
      </c>
      <c r="B247" s="53" t="s">
        <v>16</v>
      </c>
      <c r="C247" s="53" t="s">
        <v>2565</v>
      </c>
      <c r="D247" s="53" t="s">
        <v>2566</v>
      </c>
      <c r="E247" s="53" t="s">
        <v>2567</v>
      </c>
      <c r="F247" s="53" t="s">
        <v>2490</v>
      </c>
      <c r="I247" s="53" t="s">
        <v>885</v>
      </c>
    </row>
    <row r="248" customFormat="false" ht="11.25" hidden="false" customHeight="true" outlineLevel="0" collapsed="false">
      <c r="A248" s="53" t="s">
        <v>2376</v>
      </c>
      <c r="B248" s="53" t="s">
        <v>16</v>
      </c>
      <c r="C248" s="53" t="s">
        <v>2571</v>
      </c>
      <c r="D248" s="53" t="s">
        <v>2572</v>
      </c>
      <c r="E248" s="53" t="s">
        <v>2573</v>
      </c>
      <c r="F248" s="53" t="s">
        <v>2434</v>
      </c>
      <c r="I248" s="53" t="s">
        <v>885</v>
      </c>
    </row>
    <row r="249" customFormat="false" ht="11.25" hidden="false" customHeight="true" outlineLevel="0" collapsed="false">
      <c r="A249" s="53" t="s">
        <v>2376</v>
      </c>
      <c r="B249" s="53" t="s">
        <v>16</v>
      </c>
      <c r="C249" s="53" t="s">
        <v>2574</v>
      </c>
      <c r="D249" s="53" t="s">
        <v>2575</v>
      </c>
      <c r="E249" s="53" t="s">
        <v>2576</v>
      </c>
      <c r="F249" s="53" t="s">
        <v>2434</v>
      </c>
      <c r="I249" s="53" t="s">
        <v>885</v>
      </c>
    </row>
    <row r="250" customFormat="false" ht="11.25" hidden="false" customHeight="true" outlineLevel="0" collapsed="false">
      <c r="A250" s="53" t="s">
        <v>2376</v>
      </c>
      <c r="B250" s="53" t="s">
        <v>16</v>
      </c>
      <c r="C250" s="53" t="s">
        <v>2581</v>
      </c>
      <c r="D250" s="53" t="s">
        <v>2582</v>
      </c>
      <c r="E250" s="53" t="s">
        <v>2583</v>
      </c>
      <c r="F250" s="53" t="s">
        <v>2442</v>
      </c>
      <c r="I250" s="53" t="s">
        <v>885</v>
      </c>
    </row>
    <row r="251" customFormat="false" ht="11.25" hidden="false" customHeight="true" outlineLevel="0" collapsed="false">
      <c r="A251" s="53" t="s">
        <v>2376</v>
      </c>
      <c r="B251" s="53" t="s">
        <v>16</v>
      </c>
      <c r="C251" s="53" t="s">
        <v>2587</v>
      </c>
      <c r="D251" s="53" t="s">
        <v>2588</v>
      </c>
      <c r="E251" s="53" t="s">
        <v>2589</v>
      </c>
      <c r="F251" s="53" t="s">
        <v>2494</v>
      </c>
      <c r="I251" s="53" t="s">
        <v>885</v>
      </c>
    </row>
    <row r="252" customFormat="false" ht="11.25" hidden="false" customHeight="true" outlineLevel="0" collapsed="false">
      <c r="A252" s="53" t="s">
        <v>2376</v>
      </c>
      <c r="B252" s="53" t="s">
        <v>16</v>
      </c>
      <c r="C252" s="53" t="s">
        <v>2593</v>
      </c>
      <c r="D252" s="53" t="s">
        <v>2594</v>
      </c>
      <c r="E252" s="53" t="s">
        <v>2595</v>
      </c>
      <c r="F252" s="53" t="s">
        <v>2406</v>
      </c>
      <c r="I252" s="53" t="s">
        <v>885</v>
      </c>
    </row>
    <row r="253" customFormat="false" ht="11.25" hidden="false" customHeight="true" outlineLevel="0" collapsed="false">
      <c r="A253" s="53" t="s">
        <v>2376</v>
      </c>
      <c r="B253" s="53" t="s">
        <v>16</v>
      </c>
      <c r="C253" s="53" t="s">
        <v>2909</v>
      </c>
      <c r="D253" s="53" t="s">
        <v>2910</v>
      </c>
      <c r="E253" s="53" t="s">
        <v>2911</v>
      </c>
      <c r="F253" s="53" t="s">
        <v>2490</v>
      </c>
      <c r="I253" s="53" t="s">
        <v>885</v>
      </c>
    </row>
    <row r="254" customFormat="false" ht="11.25" hidden="false" customHeight="true" outlineLevel="0" collapsed="false">
      <c r="A254" s="53" t="s">
        <v>2376</v>
      </c>
      <c r="B254" s="53" t="s">
        <v>16</v>
      </c>
      <c r="C254" s="53" t="s">
        <v>2596</v>
      </c>
      <c r="D254" s="53" t="s">
        <v>2597</v>
      </c>
      <c r="E254" s="53" t="s">
        <v>2598</v>
      </c>
      <c r="F254" s="53" t="s">
        <v>2402</v>
      </c>
      <c r="I254" s="53" t="s">
        <v>885</v>
      </c>
    </row>
    <row r="255" customFormat="false" ht="11.25" hidden="false" customHeight="true" outlineLevel="0" collapsed="false">
      <c r="A255" s="53" t="s">
        <v>2376</v>
      </c>
      <c r="B255" s="53" t="s">
        <v>16</v>
      </c>
      <c r="C255" s="53" t="s">
        <v>2912</v>
      </c>
      <c r="D255" s="53" t="s">
        <v>2913</v>
      </c>
      <c r="E255" s="53" t="s">
        <v>2914</v>
      </c>
      <c r="F255" s="53" t="s">
        <v>2434</v>
      </c>
      <c r="G255" s="53" t="s">
        <v>2915</v>
      </c>
      <c r="I255" s="53" t="s">
        <v>885</v>
      </c>
    </row>
    <row r="256" customFormat="false" ht="11.25" hidden="false" customHeight="true" outlineLevel="0" collapsed="false">
      <c r="A256" s="53" t="s">
        <v>2376</v>
      </c>
      <c r="B256" s="53" t="s">
        <v>16</v>
      </c>
      <c r="C256" s="53" t="s">
        <v>2602</v>
      </c>
      <c r="D256" s="53" t="s">
        <v>2603</v>
      </c>
      <c r="E256" s="53" t="s">
        <v>2604</v>
      </c>
      <c r="F256" s="53" t="s">
        <v>2494</v>
      </c>
      <c r="I256" s="53" t="s">
        <v>885</v>
      </c>
    </row>
    <row r="257" customFormat="false" ht="11.25" hidden="false" customHeight="true" outlineLevel="0" collapsed="false">
      <c r="A257" s="53" t="s">
        <v>2376</v>
      </c>
      <c r="B257" s="53" t="s">
        <v>16</v>
      </c>
      <c r="C257" s="53" t="s">
        <v>2916</v>
      </c>
      <c r="D257" s="53" t="s">
        <v>2917</v>
      </c>
      <c r="E257" s="53" t="s">
        <v>2918</v>
      </c>
      <c r="F257" s="53" t="s">
        <v>2483</v>
      </c>
      <c r="I257" s="53" t="s">
        <v>885</v>
      </c>
    </row>
    <row r="258" customFormat="false" ht="11.25" hidden="false" customHeight="true" outlineLevel="0" collapsed="false">
      <c r="A258" s="53" t="s">
        <v>2376</v>
      </c>
      <c r="B258" s="53" t="s">
        <v>16</v>
      </c>
      <c r="C258" s="53" t="s">
        <v>2919</v>
      </c>
      <c r="D258" s="53" t="s">
        <v>2920</v>
      </c>
      <c r="E258" s="53" t="s">
        <v>2921</v>
      </c>
      <c r="F258" s="53" t="s">
        <v>2533</v>
      </c>
      <c r="I258" s="53" t="s">
        <v>885</v>
      </c>
    </row>
    <row r="259" customFormat="false" ht="11.25" hidden="false" customHeight="true" outlineLevel="0" collapsed="false">
      <c r="A259" s="53" t="s">
        <v>2376</v>
      </c>
      <c r="B259" s="53" t="s">
        <v>16</v>
      </c>
      <c r="C259" s="53" t="s">
        <v>2922</v>
      </c>
      <c r="D259" s="53" t="s">
        <v>2923</v>
      </c>
      <c r="E259" s="53" t="s">
        <v>2924</v>
      </c>
      <c r="F259" s="53" t="s">
        <v>2434</v>
      </c>
      <c r="G259" s="53" t="s">
        <v>2925</v>
      </c>
      <c r="I259" s="53" t="s">
        <v>885</v>
      </c>
    </row>
    <row r="260" customFormat="false" ht="11.25" hidden="false" customHeight="true" outlineLevel="0" collapsed="false">
      <c r="A260" s="53" t="s">
        <v>2376</v>
      </c>
      <c r="B260" s="53" t="s">
        <v>16</v>
      </c>
      <c r="C260" s="53" t="s">
        <v>2926</v>
      </c>
      <c r="D260" s="53" t="s">
        <v>2927</v>
      </c>
      <c r="E260" s="53" t="s">
        <v>2928</v>
      </c>
      <c r="F260" s="53" t="s">
        <v>49</v>
      </c>
      <c r="G260" s="53" t="s">
        <v>2929</v>
      </c>
      <c r="I260" s="53" t="s">
        <v>885</v>
      </c>
    </row>
    <row r="261" customFormat="false" ht="11.25" hidden="false" customHeight="true" outlineLevel="0" collapsed="false">
      <c r="A261" s="53" t="s">
        <v>2376</v>
      </c>
      <c r="B261" s="53" t="s">
        <v>16</v>
      </c>
      <c r="C261" s="53" t="s">
        <v>2638</v>
      </c>
      <c r="D261" s="53" t="s">
        <v>2639</v>
      </c>
      <c r="E261" s="53" t="s">
        <v>2640</v>
      </c>
      <c r="F261" s="53" t="s">
        <v>2494</v>
      </c>
      <c r="G261" s="53" t="s">
        <v>2641</v>
      </c>
      <c r="I261" s="53" t="s">
        <v>885</v>
      </c>
    </row>
    <row r="262" customFormat="false" ht="11.25" hidden="false" customHeight="true" outlineLevel="0" collapsed="false">
      <c r="A262" s="53" t="s">
        <v>2376</v>
      </c>
      <c r="B262" s="53" t="s">
        <v>16</v>
      </c>
      <c r="C262" s="53" t="s">
        <v>2930</v>
      </c>
      <c r="D262" s="53" t="s">
        <v>2931</v>
      </c>
      <c r="E262" s="53" t="s">
        <v>2932</v>
      </c>
      <c r="F262" s="53" t="s">
        <v>49</v>
      </c>
      <c r="I262" s="53" t="s">
        <v>885</v>
      </c>
    </row>
    <row r="263" customFormat="false" ht="11.25" hidden="false" customHeight="true" outlineLevel="0" collapsed="false">
      <c r="A263" s="53" t="s">
        <v>2376</v>
      </c>
      <c r="B263" s="53" t="s">
        <v>16</v>
      </c>
      <c r="C263" s="53" t="s">
        <v>2933</v>
      </c>
      <c r="D263" s="53" t="s">
        <v>2934</v>
      </c>
      <c r="E263" s="53" t="s">
        <v>2935</v>
      </c>
      <c r="F263" s="53" t="s">
        <v>2936</v>
      </c>
      <c r="I263" s="53" t="s">
        <v>885</v>
      </c>
    </row>
    <row r="264" customFormat="false" ht="11.25" hidden="false" customHeight="true" outlineLevel="0" collapsed="false">
      <c r="A264" s="53" t="s">
        <v>2376</v>
      </c>
      <c r="B264" s="53" t="s">
        <v>16</v>
      </c>
      <c r="C264" s="53" t="s">
        <v>2679</v>
      </c>
      <c r="D264" s="53" t="s">
        <v>2680</v>
      </c>
      <c r="E264" s="53" t="s">
        <v>2681</v>
      </c>
      <c r="F264" s="53" t="s">
        <v>2682</v>
      </c>
      <c r="I264" s="53" t="s">
        <v>885</v>
      </c>
    </row>
    <row r="265" customFormat="false" ht="11.25" hidden="false" customHeight="true" outlineLevel="0" collapsed="false">
      <c r="A265" s="53" t="s">
        <v>2376</v>
      </c>
      <c r="B265" s="53" t="s">
        <v>16</v>
      </c>
      <c r="C265" s="53" t="s">
        <v>2937</v>
      </c>
      <c r="D265" s="53" t="s">
        <v>2938</v>
      </c>
      <c r="E265" s="53" t="s">
        <v>2939</v>
      </c>
      <c r="F265" s="53" t="s">
        <v>2394</v>
      </c>
      <c r="I265" s="53" t="s">
        <v>885</v>
      </c>
    </row>
    <row r="266" customFormat="false" ht="11.25" hidden="false" customHeight="true" outlineLevel="0" collapsed="false">
      <c r="A266" s="53" t="s">
        <v>2376</v>
      </c>
      <c r="B266" s="53" t="s">
        <v>16</v>
      </c>
      <c r="C266" s="53" t="s">
        <v>2940</v>
      </c>
      <c r="D266" s="53" t="s">
        <v>2941</v>
      </c>
      <c r="E266" s="53" t="s">
        <v>2942</v>
      </c>
      <c r="F266" s="53" t="s">
        <v>2398</v>
      </c>
      <c r="I266" s="53" t="s">
        <v>885</v>
      </c>
    </row>
    <row r="267" customFormat="false" ht="11.25" hidden="false" customHeight="true" outlineLevel="0" collapsed="false">
      <c r="A267" s="53" t="s">
        <v>2376</v>
      </c>
      <c r="B267" s="53" t="s">
        <v>16</v>
      </c>
      <c r="C267" s="53" t="s">
        <v>2710</v>
      </c>
      <c r="D267" s="53" t="s">
        <v>2711</v>
      </c>
      <c r="E267" s="53" t="s">
        <v>2712</v>
      </c>
      <c r="F267" s="53" t="s">
        <v>2490</v>
      </c>
      <c r="I267" s="53" t="s">
        <v>885</v>
      </c>
    </row>
    <row r="268" customFormat="false" ht="11.25" hidden="false" customHeight="true" outlineLevel="0" collapsed="false">
      <c r="A268" s="53" t="s">
        <v>2376</v>
      </c>
      <c r="B268" s="53" t="s">
        <v>16</v>
      </c>
      <c r="C268" s="53" t="s">
        <v>2943</v>
      </c>
      <c r="D268" s="53" t="s">
        <v>2944</v>
      </c>
      <c r="E268" s="53" t="s">
        <v>2945</v>
      </c>
      <c r="F268" s="53" t="s">
        <v>2533</v>
      </c>
      <c r="I268" s="53" t="s">
        <v>885</v>
      </c>
    </row>
    <row r="269" customFormat="false" ht="11.25" hidden="false" customHeight="true" outlineLevel="0" collapsed="false">
      <c r="A269" s="53" t="s">
        <v>2376</v>
      </c>
      <c r="B269" s="53" t="s">
        <v>16</v>
      </c>
      <c r="C269" s="53" t="s">
        <v>2946</v>
      </c>
      <c r="D269" s="53" t="s">
        <v>2947</v>
      </c>
      <c r="E269" s="53" t="s">
        <v>2948</v>
      </c>
      <c r="F269" s="53" t="s">
        <v>2442</v>
      </c>
      <c r="G269" s="53" t="s">
        <v>2949</v>
      </c>
      <c r="I269" s="53" t="s">
        <v>885</v>
      </c>
    </row>
    <row r="270" customFormat="false" ht="11.25" hidden="false" customHeight="true" outlineLevel="0" collapsed="false">
      <c r="A270" s="53" t="s">
        <v>2376</v>
      </c>
      <c r="B270" s="53" t="s">
        <v>16</v>
      </c>
      <c r="C270" s="53" t="s">
        <v>2728</v>
      </c>
      <c r="D270" s="53" t="s">
        <v>2729</v>
      </c>
      <c r="E270" s="53" t="s">
        <v>2730</v>
      </c>
      <c r="F270" s="53" t="s">
        <v>2494</v>
      </c>
      <c r="G270" s="53" t="s">
        <v>2731</v>
      </c>
      <c r="I270" s="53" t="s">
        <v>885</v>
      </c>
    </row>
    <row r="271" customFormat="false" ht="11.25" hidden="false" customHeight="true" outlineLevel="0" collapsed="false">
      <c r="A271" s="53" t="s">
        <v>2376</v>
      </c>
      <c r="B271" s="53" t="s">
        <v>16</v>
      </c>
      <c r="C271" s="53" t="s">
        <v>2950</v>
      </c>
      <c r="D271" s="53" t="s">
        <v>2951</v>
      </c>
      <c r="E271" s="53" t="s">
        <v>2952</v>
      </c>
      <c r="F271" s="53" t="s">
        <v>2953</v>
      </c>
      <c r="I271" s="53" t="s">
        <v>885</v>
      </c>
    </row>
    <row r="272" customFormat="false" ht="11.25" hidden="false" customHeight="true" outlineLevel="0" collapsed="false">
      <c r="A272" s="53" t="s">
        <v>2376</v>
      </c>
      <c r="B272" s="53" t="s">
        <v>16</v>
      </c>
      <c r="C272" s="53" t="s">
        <v>2954</v>
      </c>
      <c r="D272" s="53" t="s">
        <v>2955</v>
      </c>
      <c r="E272" s="53" t="s">
        <v>2956</v>
      </c>
      <c r="F272" s="53" t="s">
        <v>2533</v>
      </c>
      <c r="G272" s="53" t="s">
        <v>2957</v>
      </c>
      <c r="I272" s="53" t="s">
        <v>885</v>
      </c>
    </row>
    <row r="273" customFormat="false" ht="11.25" hidden="false" customHeight="true" outlineLevel="0" collapsed="false">
      <c r="A273" s="53" t="s">
        <v>2376</v>
      </c>
      <c r="B273" s="53" t="s">
        <v>16</v>
      </c>
      <c r="C273" s="53" t="s">
        <v>2758</v>
      </c>
      <c r="D273" s="53" t="s">
        <v>2759</v>
      </c>
      <c r="E273" s="53" t="s">
        <v>2760</v>
      </c>
      <c r="F273" s="53" t="s">
        <v>2442</v>
      </c>
      <c r="I273" s="53" t="s">
        <v>885</v>
      </c>
    </row>
    <row r="274" customFormat="false" ht="11.25" hidden="false" customHeight="true" outlineLevel="0" collapsed="false">
      <c r="A274" s="53" t="s">
        <v>2376</v>
      </c>
      <c r="B274" s="53" t="s">
        <v>16</v>
      </c>
      <c r="C274" s="53" t="s">
        <v>2761</v>
      </c>
      <c r="D274" s="53" t="s">
        <v>2762</v>
      </c>
      <c r="E274" s="53" t="s">
        <v>2763</v>
      </c>
      <c r="F274" s="53" t="s">
        <v>2533</v>
      </c>
      <c r="G274" s="53" t="s">
        <v>2764</v>
      </c>
      <c r="I274" s="53" t="s">
        <v>885</v>
      </c>
    </row>
    <row r="275" customFormat="false" ht="11.25" hidden="false" customHeight="true" outlineLevel="0" collapsed="false">
      <c r="A275" s="53" t="s">
        <v>2376</v>
      </c>
      <c r="B275" s="53" t="s">
        <v>16</v>
      </c>
      <c r="C275" s="53" t="s">
        <v>2958</v>
      </c>
      <c r="D275" s="53" t="s">
        <v>2959</v>
      </c>
      <c r="E275" s="53" t="s">
        <v>2960</v>
      </c>
      <c r="F275" s="53" t="s">
        <v>2494</v>
      </c>
      <c r="I275" s="53" t="s">
        <v>885</v>
      </c>
    </row>
    <row r="276" customFormat="false" ht="11.25" hidden="false" customHeight="true" outlineLevel="0" collapsed="false">
      <c r="A276" s="53" t="s">
        <v>2376</v>
      </c>
      <c r="B276" s="53" t="s">
        <v>16</v>
      </c>
      <c r="C276" s="53" t="s">
        <v>2961</v>
      </c>
      <c r="D276" s="53" t="s">
        <v>2962</v>
      </c>
      <c r="E276" s="53" t="s">
        <v>2963</v>
      </c>
      <c r="F276" s="53" t="s">
        <v>2442</v>
      </c>
      <c r="G276" s="53" t="s">
        <v>2964</v>
      </c>
      <c r="I276" s="53" t="s">
        <v>885</v>
      </c>
    </row>
    <row r="277" customFormat="false" ht="11.25" hidden="false" customHeight="true" outlineLevel="0" collapsed="false">
      <c r="A277" s="53" t="s">
        <v>2376</v>
      </c>
      <c r="B277" s="53" t="s">
        <v>16</v>
      </c>
      <c r="C277" s="53" t="s">
        <v>2965</v>
      </c>
      <c r="D277" s="53" t="s">
        <v>2966</v>
      </c>
      <c r="E277" s="53" t="s">
        <v>2967</v>
      </c>
      <c r="F277" s="53" t="s">
        <v>2434</v>
      </c>
      <c r="G277" s="53" t="s">
        <v>2968</v>
      </c>
      <c r="I277" s="53" t="s">
        <v>885</v>
      </c>
    </row>
    <row r="278" customFormat="false" ht="11.25" hidden="false" customHeight="true" outlineLevel="0" collapsed="false">
      <c r="A278" s="53" t="s">
        <v>2376</v>
      </c>
      <c r="B278" s="53" t="s">
        <v>16</v>
      </c>
      <c r="C278" s="53" t="s">
        <v>2791</v>
      </c>
      <c r="D278" s="53" t="s">
        <v>2792</v>
      </c>
      <c r="E278" s="53" t="s">
        <v>2793</v>
      </c>
      <c r="F278" s="53" t="s">
        <v>2533</v>
      </c>
      <c r="I278" s="53" t="s">
        <v>885</v>
      </c>
    </row>
    <row r="279" customFormat="false" ht="11.25" hidden="false" customHeight="true" outlineLevel="0" collapsed="false">
      <c r="A279" s="53" t="s">
        <v>2376</v>
      </c>
      <c r="B279" s="53" t="s">
        <v>16</v>
      </c>
      <c r="C279" s="53" t="s">
        <v>2797</v>
      </c>
      <c r="D279" s="53" t="s">
        <v>2798</v>
      </c>
      <c r="E279" s="53" t="s">
        <v>2799</v>
      </c>
      <c r="F279" s="53" t="s">
        <v>2414</v>
      </c>
      <c r="I279" s="53" t="s">
        <v>885</v>
      </c>
    </row>
    <row r="280" customFormat="false" ht="11.25" hidden="false" customHeight="true" outlineLevel="0" collapsed="false">
      <c r="A280" s="53" t="s">
        <v>2376</v>
      </c>
      <c r="B280" s="53" t="s">
        <v>16</v>
      </c>
      <c r="C280" s="53" t="s">
        <v>2800</v>
      </c>
      <c r="D280" s="53" t="s">
        <v>2798</v>
      </c>
      <c r="E280" s="53" t="s">
        <v>2799</v>
      </c>
      <c r="F280" s="53" t="s">
        <v>2494</v>
      </c>
      <c r="G280" s="53" t="s">
        <v>2801</v>
      </c>
      <c r="I280" s="53" t="s">
        <v>885</v>
      </c>
    </row>
    <row r="281" customFormat="false" ht="11.25" hidden="false" customHeight="true" outlineLevel="0" collapsed="false">
      <c r="A281" s="53" t="s">
        <v>2376</v>
      </c>
      <c r="B281" s="53" t="s">
        <v>16</v>
      </c>
      <c r="C281" s="53" t="s">
        <v>2969</v>
      </c>
      <c r="D281" s="53" t="s">
        <v>2970</v>
      </c>
      <c r="E281" s="53" t="s">
        <v>2971</v>
      </c>
      <c r="F281" s="53" t="s">
        <v>2972</v>
      </c>
      <c r="G281" s="53" t="s">
        <v>2973</v>
      </c>
      <c r="I281" s="53" t="s">
        <v>885</v>
      </c>
    </row>
    <row r="282" customFormat="false" ht="11.25" hidden="false" customHeight="true" outlineLevel="0" collapsed="false">
      <c r="A282" s="53" t="s">
        <v>2376</v>
      </c>
      <c r="B282" s="53" t="s">
        <v>16</v>
      </c>
      <c r="C282" s="53" t="s">
        <v>2974</v>
      </c>
      <c r="D282" s="53" t="s">
        <v>2975</v>
      </c>
      <c r="E282" s="53" t="s">
        <v>2388</v>
      </c>
      <c r="F282" s="53" t="s">
        <v>2976</v>
      </c>
      <c r="I282" s="53" t="s">
        <v>885</v>
      </c>
    </row>
    <row r="283" customFormat="false" ht="11.25" hidden="false" customHeight="true" outlineLevel="0" collapsed="false">
      <c r="A283" s="53" t="s">
        <v>2376</v>
      </c>
      <c r="B283" s="53" t="s">
        <v>16</v>
      </c>
      <c r="C283" s="53" t="s">
        <v>2977</v>
      </c>
      <c r="D283" s="53" t="s">
        <v>2978</v>
      </c>
      <c r="E283" s="53" t="s">
        <v>2979</v>
      </c>
      <c r="F283" s="53" t="s">
        <v>2980</v>
      </c>
      <c r="I283" s="53" t="s">
        <v>885</v>
      </c>
    </row>
    <row r="284" customFormat="false" ht="11.25" hidden="false" customHeight="true" outlineLevel="0" collapsed="false">
      <c r="A284" s="53" t="s">
        <v>2376</v>
      </c>
      <c r="B284" s="53" t="s">
        <v>16</v>
      </c>
      <c r="C284" s="53" t="s">
        <v>2806</v>
      </c>
      <c r="D284" s="53" t="s">
        <v>2807</v>
      </c>
      <c r="E284" s="53" t="s">
        <v>2808</v>
      </c>
      <c r="F284" s="53" t="s">
        <v>2402</v>
      </c>
      <c r="I284" s="53" t="s">
        <v>885</v>
      </c>
    </row>
    <row r="285" customFormat="false" ht="11.25" hidden="false" customHeight="true" outlineLevel="0" collapsed="false">
      <c r="A285" s="53" t="s">
        <v>2376</v>
      </c>
      <c r="B285" s="53" t="s">
        <v>16</v>
      </c>
      <c r="C285" s="53" t="s">
        <v>2812</v>
      </c>
      <c r="D285" s="53" t="s">
        <v>2813</v>
      </c>
      <c r="E285" s="53" t="s">
        <v>2814</v>
      </c>
      <c r="F285" s="53" t="s">
        <v>2402</v>
      </c>
      <c r="I285" s="53" t="s">
        <v>885</v>
      </c>
    </row>
    <row r="286" customFormat="false" ht="11.25" hidden="false" customHeight="true" outlineLevel="0" collapsed="false">
      <c r="A286" s="53" t="s">
        <v>2376</v>
      </c>
      <c r="B286" s="53" t="s">
        <v>16</v>
      </c>
      <c r="C286" s="53" t="s">
        <v>2981</v>
      </c>
      <c r="D286" s="53" t="s">
        <v>2982</v>
      </c>
      <c r="E286" s="53" t="s">
        <v>2983</v>
      </c>
      <c r="F286" s="53" t="s">
        <v>2438</v>
      </c>
      <c r="G286" s="53" t="s">
        <v>2984</v>
      </c>
      <c r="I286" s="53" t="s">
        <v>885</v>
      </c>
    </row>
    <row r="287" customFormat="false" ht="11.25" hidden="false" customHeight="true" outlineLevel="0" collapsed="false">
      <c r="A287" s="53" t="s">
        <v>2376</v>
      </c>
      <c r="B287" s="53" t="s">
        <v>16</v>
      </c>
      <c r="C287" s="53" t="s">
        <v>2815</v>
      </c>
      <c r="D287" s="53" t="s">
        <v>2816</v>
      </c>
      <c r="E287" s="53" t="s">
        <v>2817</v>
      </c>
      <c r="F287" s="53" t="s">
        <v>2406</v>
      </c>
      <c r="I287" s="53" t="s">
        <v>885</v>
      </c>
    </row>
    <row r="288" customFormat="false" ht="11.25" hidden="false" customHeight="true" outlineLevel="0" collapsed="false">
      <c r="A288" s="53" t="s">
        <v>2376</v>
      </c>
      <c r="B288" s="53" t="s">
        <v>16</v>
      </c>
      <c r="C288" s="53" t="s">
        <v>2818</v>
      </c>
      <c r="D288" s="53" t="s">
        <v>2816</v>
      </c>
      <c r="E288" s="53" t="s">
        <v>2817</v>
      </c>
      <c r="F288" s="53" t="s">
        <v>2819</v>
      </c>
      <c r="I288" s="53" t="s">
        <v>885</v>
      </c>
    </row>
    <row r="289" customFormat="false" ht="11.25" hidden="false" customHeight="true" outlineLevel="0" collapsed="false">
      <c r="A289" s="53" t="s">
        <v>2376</v>
      </c>
      <c r="B289" s="53" t="s">
        <v>16</v>
      </c>
      <c r="C289" s="53" t="s">
        <v>2824</v>
      </c>
      <c r="D289" s="53" t="s">
        <v>2825</v>
      </c>
      <c r="E289" s="53" t="s">
        <v>2826</v>
      </c>
      <c r="F289" s="53" t="s">
        <v>2827</v>
      </c>
      <c r="I289" s="53" t="s">
        <v>885</v>
      </c>
    </row>
    <row r="290" customFormat="false" ht="11.25" hidden="false" customHeight="true" outlineLevel="0" collapsed="false">
      <c r="A290" s="53" t="s">
        <v>2376</v>
      </c>
      <c r="B290" s="53" t="s">
        <v>16</v>
      </c>
      <c r="C290" s="53" t="s">
        <v>2828</v>
      </c>
      <c r="D290" s="53" t="s">
        <v>2829</v>
      </c>
      <c r="E290" s="53" t="s">
        <v>2830</v>
      </c>
      <c r="F290" s="53" t="s">
        <v>2438</v>
      </c>
      <c r="I290" s="53" t="s">
        <v>885</v>
      </c>
    </row>
    <row r="291" customFormat="false" ht="11.25" hidden="false" customHeight="true" outlineLevel="0" collapsed="false">
      <c r="A291" s="53" t="s">
        <v>2376</v>
      </c>
      <c r="B291" s="53" t="s">
        <v>16</v>
      </c>
      <c r="C291" s="53" t="s">
        <v>2985</v>
      </c>
      <c r="D291" s="53" t="s">
        <v>2986</v>
      </c>
      <c r="E291" s="53" t="s">
        <v>2987</v>
      </c>
      <c r="F291" s="53" t="s">
        <v>2414</v>
      </c>
      <c r="I291" s="53" t="s">
        <v>885</v>
      </c>
    </row>
    <row r="292" customFormat="false" ht="11.25" hidden="false" customHeight="true" outlineLevel="0" collapsed="false">
      <c r="A292" s="53" t="s">
        <v>2376</v>
      </c>
      <c r="B292" s="53" t="s">
        <v>16</v>
      </c>
      <c r="C292" s="53" t="s">
        <v>2988</v>
      </c>
      <c r="D292" s="53" t="s">
        <v>2989</v>
      </c>
      <c r="E292" s="53" t="s">
        <v>2990</v>
      </c>
      <c r="F292" s="53" t="s">
        <v>2490</v>
      </c>
      <c r="I292" s="53" t="s">
        <v>885</v>
      </c>
    </row>
    <row r="293" customFormat="false" ht="11.25" hidden="false" customHeight="true" outlineLevel="0" collapsed="false">
      <c r="A293" s="53" t="s">
        <v>2376</v>
      </c>
      <c r="B293" s="53" t="s">
        <v>16</v>
      </c>
      <c r="C293" s="53" t="s">
        <v>2991</v>
      </c>
      <c r="D293" s="53" t="s">
        <v>2992</v>
      </c>
      <c r="E293" s="53" t="s">
        <v>2993</v>
      </c>
      <c r="F293" s="53" t="s">
        <v>2394</v>
      </c>
      <c r="I293" s="53" t="s">
        <v>885</v>
      </c>
    </row>
    <row r="294" customFormat="false" ht="11.25" hidden="false" customHeight="true" outlineLevel="0" collapsed="false">
      <c r="A294" s="53" t="s">
        <v>2376</v>
      </c>
      <c r="B294" s="53" t="s">
        <v>16</v>
      </c>
      <c r="C294" s="53" t="s">
        <v>2831</v>
      </c>
      <c r="D294" s="53" t="s">
        <v>2832</v>
      </c>
      <c r="E294" s="53" t="s">
        <v>2833</v>
      </c>
      <c r="F294" s="53" t="s">
        <v>2834</v>
      </c>
      <c r="I294" s="53" t="s">
        <v>885</v>
      </c>
    </row>
    <row r="295" customFormat="false" ht="11.25" hidden="false" customHeight="true" outlineLevel="0" collapsed="false">
      <c r="A295" s="53" t="s">
        <v>2376</v>
      </c>
      <c r="B295" s="53" t="s">
        <v>16</v>
      </c>
      <c r="C295" s="53" t="s">
        <v>2835</v>
      </c>
      <c r="D295" s="53" t="s">
        <v>2836</v>
      </c>
      <c r="E295" s="53" t="s">
        <v>2837</v>
      </c>
      <c r="F295" s="53" t="s">
        <v>2838</v>
      </c>
      <c r="I295" s="53" t="s">
        <v>885</v>
      </c>
    </row>
    <row r="296" customFormat="false" ht="11.25" hidden="false" customHeight="true" outlineLevel="0" collapsed="false">
      <c r="A296" s="53" t="s">
        <v>2376</v>
      </c>
      <c r="B296" s="53" t="s">
        <v>16</v>
      </c>
      <c r="C296" s="53" t="s">
        <v>2994</v>
      </c>
      <c r="D296" s="53" t="s">
        <v>2995</v>
      </c>
      <c r="E296" s="53" t="s">
        <v>2996</v>
      </c>
      <c r="F296" s="53" t="s">
        <v>2533</v>
      </c>
      <c r="I296" s="53" t="s">
        <v>885</v>
      </c>
    </row>
    <row r="297" customFormat="false" ht="11.25" hidden="false" customHeight="true" outlineLevel="0" collapsed="false">
      <c r="A297" s="53" t="s">
        <v>2376</v>
      </c>
      <c r="B297" s="53" t="s">
        <v>16</v>
      </c>
      <c r="C297" s="53" t="s">
        <v>2852</v>
      </c>
      <c r="D297" s="53" t="s">
        <v>2853</v>
      </c>
      <c r="E297" s="53" t="s">
        <v>2826</v>
      </c>
      <c r="F297" s="53" t="s">
        <v>2854</v>
      </c>
      <c r="G297" s="53" t="s">
        <v>2855</v>
      </c>
      <c r="I297" s="53" t="s">
        <v>885</v>
      </c>
    </row>
    <row r="298" customFormat="false" ht="11.25" hidden="false" customHeight="true" outlineLevel="0" collapsed="false">
      <c r="A298" s="53" t="s">
        <v>2376</v>
      </c>
      <c r="B298" s="53" t="s">
        <v>16</v>
      </c>
      <c r="C298" s="53" t="s">
        <v>2856</v>
      </c>
      <c r="D298" s="53" t="s">
        <v>2857</v>
      </c>
      <c r="E298" s="53" t="s">
        <v>2858</v>
      </c>
      <c r="F298" s="53" t="s">
        <v>2859</v>
      </c>
      <c r="I298" s="53" t="s">
        <v>885</v>
      </c>
    </row>
    <row r="299" customFormat="false" ht="11.25" hidden="false" customHeight="true" outlineLevel="0" collapsed="false">
      <c r="A299" s="53" t="s">
        <v>2376</v>
      </c>
      <c r="B299" s="53" t="s">
        <v>16</v>
      </c>
      <c r="C299" s="53" t="s">
        <v>2860</v>
      </c>
      <c r="D299" s="53" t="s">
        <v>2861</v>
      </c>
      <c r="E299" s="53" t="s">
        <v>2862</v>
      </c>
      <c r="F299" s="53" t="s">
        <v>2863</v>
      </c>
      <c r="I299" s="53" t="s">
        <v>885</v>
      </c>
    </row>
    <row r="300" customFormat="false" ht="11.25" hidden="false" customHeight="true" outlineLevel="0" collapsed="false">
      <c r="A300" s="53" t="s">
        <v>2376</v>
      </c>
      <c r="B300" s="53" t="s">
        <v>16</v>
      </c>
      <c r="C300" s="53" t="s">
        <v>2381</v>
      </c>
      <c r="D300" s="53" t="s">
        <v>2382</v>
      </c>
      <c r="E300" s="53" t="s">
        <v>2383</v>
      </c>
      <c r="F300" s="53" t="s">
        <v>2384</v>
      </c>
      <c r="G300" s="53" t="s">
        <v>2385</v>
      </c>
      <c r="I300" s="53" t="s">
        <v>938</v>
      </c>
    </row>
    <row r="301" customFormat="false" ht="11.25" hidden="false" customHeight="true" outlineLevel="0" collapsed="false">
      <c r="A301" s="53" t="s">
        <v>2376</v>
      </c>
      <c r="B301" s="53" t="s">
        <v>16</v>
      </c>
      <c r="C301" s="53" t="s">
        <v>2386</v>
      </c>
      <c r="D301" s="53" t="s">
        <v>2387</v>
      </c>
      <c r="E301" s="53" t="s">
        <v>2388</v>
      </c>
      <c r="F301" s="53" t="s">
        <v>2389</v>
      </c>
      <c r="G301" s="53" t="s">
        <v>2390</v>
      </c>
      <c r="I301" s="53" t="s">
        <v>938</v>
      </c>
    </row>
    <row r="302" customFormat="false" ht="11.25" hidden="false" customHeight="true" outlineLevel="0" collapsed="false">
      <c r="A302" s="53" t="s">
        <v>2376</v>
      </c>
      <c r="B302" s="53" t="s">
        <v>16</v>
      </c>
      <c r="C302" s="53" t="s">
        <v>2395</v>
      </c>
      <c r="D302" s="53" t="s">
        <v>2396</v>
      </c>
      <c r="E302" s="53" t="s">
        <v>2397</v>
      </c>
      <c r="F302" s="53" t="s">
        <v>2398</v>
      </c>
      <c r="I302" s="53" t="s">
        <v>938</v>
      </c>
    </row>
    <row r="303" customFormat="false" ht="11.25" hidden="false" customHeight="true" outlineLevel="0" collapsed="false">
      <c r="A303" s="53" t="s">
        <v>2376</v>
      </c>
      <c r="B303" s="53" t="s">
        <v>16</v>
      </c>
      <c r="C303" s="53" t="s">
        <v>2399</v>
      </c>
      <c r="D303" s="53" t="s">
        <v>2400</v>
      </c>
      <c r="E303" s="53" t="s">
        <v>2401</v>
      </c>
      <c r="F303" s="53" t="s">
        <v>2402</v>
      </c>
      <c r="I303" s="53" t="s">
        <v>938</v>
      </c>
    </row>
    <row r="304" customFormat="false" ht="11.25" hidden="false" customHeight="true" outlineLevel="0" collapsed="false">
      <c r="A304" s="53" t="s">
        <v>2376</v>
      </c>
      <c r="B304" s="53" t="s">
        <v>16</v>
      </c>
      <c r="C304" s="53" t="s">
        <v>2873</v>
      </c>
      <c r="D304" s="53" t="s">
        <v>2874</v>
      </c>
      <c r="E304" s="53" t="s">
        <v>2875</v>
      </c>
      <c r="F304" s="53" t="s">
        <v>2438</v>
      </c>
      <c r="I304" s="53" t="s">
        <v>938</v>
      </c>
    </row>
    <row r="305" customFormat="false" ht="11.25" hidden="false" customHeight="true" outlineLevel="0" collapsed="false">
      <c r="A305" s="53" t="s">
        <v>2376</v>
      </c>
      <c r="B305" s="53" t="s">
        <v>16</v>
      </c>
      <c r="C305" s="53" t="s">
        <v>2407</v>
      </c>
      <c r="D305" s="53" t="s">
        <v>2408</v>
      </c>
      <c r="E305" s="53" t="s">
        <v>2409</v>
      </c>
      <c r="F305" s="53" t="s">
        <v>2410</v>
      </c>
      <c r="I305" s="53" t="s">
        <v>938</v>
      </c>
    </row>
    <row r="306" customFormat="false" ht="11.25" hidden="false" customHeight="true" outlineLevel="0" collapsed="false">
      <c r="A306" s="53" t="s">
        <v>2376</v>
      </c>
      <c r="B306" s="53" t="s">
        <v>16</v>
      </c>
      <c r="C306" s="53" t="s">
        <v>2415</v>
      </c>
      <c r="D306" s="53" t="s">
        <v>2416</v>
      </c>
      <c r="E306" s="53" t="s">
        <v>2417</v>
      </c>
      <c r="F306" s="53" t="s">
        <v>2418</v>
      </c>
      <c r="I306" s="53" t="s">
        <v>938</v>
      </c>
    </row>
    <row r="307" customFormat="false" ht="11.25" hidden="false" customHeight="true" outlineLevel="0" collapsed="false">
      <c r="A307" s="53" t="s">
        <v>2376</v>
      </c>
      <c r="B307" s="53" t="s">
        <v>16</v>
      </c>
      <c r="C307" s="53" t="s">
        <v>2423</v>
      </c>
      <c r="D307" s="53" t="s">
        <v>2424</v>
      </c>
      <c r="E307" s="53" t="s">
        <v>2425</v>
      </c>
      <c r="F307" s="53" t="s">
        <v>2394</v>
      </c>
      <c r="I307" s="53" t="s">
        <v>938</v>
      </c>
    </row>
    <row r="308" customFormat="false" ht="11.25" hidden="false" customHeight="true" outlineLevel="0" collapsed="false">
      <c r="A308" s="53" t="s">
        <v>2376</v>
      </c>
      <c r="B308" s="53" t="s">
        <v>16</v>
      </c>
      <c r="C308" s="53" t="s">
        <v>2876</v>
      </c>
      <c r="D308" s="53" t="s">
        <v>2877</v>
      </c>
      <c r="E308" s="53" t="s">
        <v>2878</v>
      </c>
      <c r="F308" s="53" t="s">
        <v>2490</v>
      </c>
      <c r="I308" s="53" t="s">
        <v>938</v>
      </c>
    </row>
    <row r="309" customFormat="false" ht="11.25" hidden="false" customHeight="true" outlineLevel="0" collapsed="false">
      <c r="A309" s="53" t="s">
        <v>2376</v>
      </c>
      <c r="B309" s="53" t="s">
        <v>16</v>
      </c>
      <c r="C309" s="53" t="s">
        <v>2997</v>
      </c>
      <c r="D309" s="53" t="s">
        <v>2998</v>
      </c>
      <c r="E309" s="53" t="s">
        <v>2999</v>
      </c>
      <c r="F309" s="53" t="s">
        <v>2434</v>
      </c>
      <c r="I309" s="53" t="s">
        <v>938</v>
      </c>
    </row>
    <row r="310" customFormat="false" ht="11.25" hidden="false" customHeight="true" outlineLevel="0" collapsed="false">
      <c r="A310" s="53" t="s">
        <v>2376</v>
      </c>
      <c r="B310" s="53" t="s">
        <v>16</v>
      </c>
      <c r="C310" s="53" t="s">
        <v>2446</v>
      </c>
      <c r="D310" s="53" t="s">
        <v>2447</v>
      </c>
      <c r="E310" s="53" t="s">
        <v>2448</v>
      </c>
      <c r="F310" s="53" t="s">
        <v>2414</v>
      </c>
      <c r="G310" s="53" t="s">
        <v>2449</v>
      </c>
      <c r="I310" s="53" t="s">
        <v>938</v>
      </c>
    </row>
    <row r="311" customFormat="false" ht="11.25" hidden="false" customHeight="true" outlineLevel="0" collapsed="false">
      <c r="A311" s="53" t="s">
        <v>2376</v>
      </c>
      <c r="B311" s="53" t="s">
        <v>16</v>
      </c>
      <c r="C311" s="53" t="s">
        <v>2450</v>
      </c>
      <c r="D311" s="53" t="s">
        <v>2451</v>
      </c>
      <c r="E311" s="53" t="s">
        <v>2452</v>
      </c>
      <c r="F311" s="53" t="s">
        <v>2406</v>
      </c>
      <c r="I311" s="53" t="s">
        <v>938</v>
      </c>
    </row>
    <row r="312" customFormat="false" ht="11.25" hidden="false" customHeight="true" outlineLevel="0" collapsed="false">
      <c r="A312" s="53" t="s">
        <v>2376</v>
      </c>
      <c r="B312" s="53" t="s">
        <v>16</v>
      </c>
      <c r="C312" s="53" t="s">
        <v>2879</v>
      </c>
      <c r="D312" s="53" t="s">
        <v>2880</v>
      </c>
      <c r="E312" s="53" t="s">
        <v>2881</v>
      </c>
      <c r="F312" s="53" t="s">
        <v>2434</v>
      </c>
      <c r="I312" s="53" t="s">
        <v>938</v>
      </c>
    </row>
    <row r="313" customFormat="false" ht="11.25" hidden="false" customHeight="true" outlineLevel="0" collapsed="false">
      <c r="A313" s="53" t="s">
        <v>2376</v>
      </c>
      <c r="B313" s="53" t="s">
        <v>16</v>
      </c>
      <c r="C313" s="53" t="s">
        <v>2460</v>
      </c>
      <c r="D313" s="53" t="s">
        <v>2461</v>
      </c>
      <c r="E313" s="53" t="s">
        <v>2462</v>
      </c>
      <c r="F313" s="53" t="s">
        <v>49</v>
      </c>
      <c r="I313" s="53" t="s">
        <v>938</v>
      </c>
    </row>
    <row r="314" customFormat="false" ht="11.25" hidden="false" customHeight="true" outlineLevel="0" collapsed="false">
      <c r="A314" s="53" t="s">
        <v>2376</v>
      </c>
      <c r="B314" s="53" t="s">
        <v>16</v>
      </c>
      <c r="C314" s="53" t="s">
        <v>2882</v>
      </c>
      <c r="D314" s="53" t="s">
        <v>2883</v>
      </c>
      <c r="E314" s="53" t="s">
        <v>2884</v>
      </c>
      <c r="F314" s="53" t="s">
        <v>2406</v>
      </c>
      <c r="I314" s="53" t="s">
        <v>938</v>
      </c>
    </row>
    <row r="315" customFormat="false" ht="11.25" hidden="false" customHeight="true" outlineLevel="0" collapsed="false">
      <c r="A315" s="53" t="s">
        <v>2376</v>
      </c>
      <c r="B315" s="53" t="s">
        <v>16</v>
      </c>
      <c r="C315" s="53" t="s">
        <v>2467</v>
      </c>
      <c r="D315" s="53" t="s">
        <v>2468</v>
      </c>
      <c r="E315" s="53" t="s">
        <v>2469</v>
      </c>
      <c r="F315" s="53" t="s">
        <v>2394</v>
      </c>
      <c r="I315" s="53" t="s">
        <v>938</v>
      </c>
    </row>
    <row r="316" customFormat="false" ht="11.25" hidden="false" customHeight="true" outlineLevel="0" collapsed="false">
      <c r="A316" s="53" t="s">
        <v>2376</v>
      </c>
      <c r="B316" s="53" t="s">
        <v>16</v>
      </c>
      <c r="C316" s="53" t="s">
        <v>3000</v>
      </c>
      <c r="D316" s="53" t="s">
        <v>3001</v>
      </c>
      <c r="E316" s="53" t="s">
        <v>3002</v>
      </c>
      <c r="F316" s="53" t="s">
        <v>2394</v>
      </c>
      <c r="I316" s="53" t="s">
        <v>938</v>
      </c>
    </row>
    <row r="317" customFormat="false" ht="11.25" hidden="false" customHeight="true" outlineLevel="0" collapsed="false">
      <c r="A317" s="53" t="s">
        <v>2376</v>
      </c>
      <c r="B317" s="53" t="s">
        <v>16</v>
      </c>
      <c r="C317" s="53" t="s">
        <v>3003</v>
      </c>
      <c r="D317" s="53" t="s">
        <v>3004</v>
      </c>
      <c r="E317" s="53" t="s">
        <v>3005</v>
      </c>
      <c r="F317" s="53" t="s">
        <v>2438</v>
      </c>
      <c r="I317" s="53" t="s">
        <v>938</v>
      </c>
    </row>
    <row r="318" customFormat="false" ht="11.25" hidden="false" customHeight="true" outlineLevel="0" collapsed="false">
      <c r="A318" s="53" t="s">
        <v>2376</v>
      </c>
      <c r="B318" s="53" t="s">
        <v>16</v>
      </c>
      <c r="C318" s="53" t="s">
        <v>2470</v>
      </c>
      <c r="D318" s="53" t="s">
        <v>2471</v>
      </c>
      <c r="E318" s="53" t="s">
        <v>2472</v>
      </c>
      <c r="F318" s="53" t="s">
        <v>2434</v>
      </c>
      <c r="I318" s="53" t="s">
        <v>938</v>
      </c>
    </row>
    <row r="319" customFormat="false" ht="11.25" hidden="false" customHeight="true" outlineLevel="0" collapsed="false">
      <c r="A319" s="53" t="s">
        <v>2376</v>
      </c>
      <c r="B319" s="53" t="s">
        <v>16</v>
      </c>
      <c r="C319" s="53" t="s">
        <v>2473</v>
      </c>
      <c r="D319" s="53" t="s">
        <v>2474</v>
      </c>
      <c r="E319" s="53" t="s">
        <v>2475</v>
      </c>
      <c r="F319" s="53" t="s">
        <v>49</v>
      </c>
      <c r="I319" s="53" t="s">
        <v>938</v>
      </c>
    </row>
    <row r="320" customFormat="false" ht="11.25" hidden="false" customHeight="true" outlineLevel="0" collapsed="false">
      <c r="A320" s="53" t="s">
        <v>2376</v>
      </c>
      <c r="B320" s="53" t="s">
        <v>16</v>
      </c>
      <c r="C320" s="53" t="s">
        <v>2480</v>
      </c>
      <c r="D320" s="53" t="s">
        <v>2481</v>
      </c>
      <c r="E320" s="53" t="s">
        <v>2482</v>
      </c>
      <c r="F320" s="53" t="s">
        <v>2483</v>
      </c>
      <c r="I320" s="53" t="s">
        <v>938</v>
      </c>
    </row>
    <row r="321" customFormat="false" ht="11.25" hidden="false" customHeight="true" outlineLevel="0" collapsed="false">
      <c r="A321" s="53" t="s">
        <v>2376</v>
      </c>
      <c r="B321" s="53" t="s">
        <v>16</v>
      </c>
      <c r="C321" s="53" t="s">
        <v>2885</v>
      </c>
      <c r="D321" s="53" t="s">
        <v>2886</v>
      </c>
      <c r="E321" s="53" t="s">
        <v>2887</v>
      </c>
      <c r="F321" s="53" t="s">
        <v>2402</v>
      </c>
      <c r="I321" s="53" t="s">
        <v>938</v>
      </c>
    </row>
    <row r="322" customFormat="false" ht="11.25" hidden="false" customHeight="true" outlineLevel="0" collapsed="false">
      <c r="A322" s="53" t="s">
        <v>2376</v>
      </c>
      <c r="B322" s="53" t="s">
        <v>16</v>
      </c>
      <c r="C322" s="53" t="s">
        <v>2498</v>
      </c>
      <c r="D322" s="53" t="s">
        <v>2499</v>
      </c>
      <c r="E322" s="53" t="s">
        <v>2500</v>
      </c>
      <c r="F322" s="53" t="s">
        <v>49</v>
      </c>
      <c r="I322" s="53" t="s">
        <v>938</v>
      </c>
    </row>
    <row r="323" customFormat="false" ht="11.25" hidden="false" customHeight="true" outlineLevel="0" collapsed="false">
      <c r="A323" s="53" t="s">
        <v>2376</v>
      </c>
      <c r="B323" s="53" t="s">
        <v>16</v>
      </c>
      <c r="C323" s="53" t="s">
        <v>2501</v>
      </c>
      <c r="D323" s="53" t="s">
        <v>2502</v>
      </c>
      <c r="E323" s="53" t="s">
        <v>2503</v>
      </c>
      <c r="F323" s="53" t="s">
        <v>2504</v>
      </c>
      <c r="I323" s="53" t="s">
        <v>938</v>
      </c>
    </row>
    <row r="324" customFormat="false" ht="11.25" hidden="false" customHeight="true" outlineLevel="0" collapsed="false">
      <c r="A324" s="53" t="s">
        <v>2376</v>
      </c>
      <c r="B324" s="53" t="s">
        <v>16</v>
      </c>
      <c r="D324" s="53" t="s">
        <v>2505</v>
      </c>
      <c r="E324" s="53" t="s">
        <v>2506</v>
      </c>
      <c r="F324" s="53" t="s">
        <v>2438</v>
      </c>
      <c r="I324" s="53" t="s">
        <v>938</v>
      </c>
    </row>
    <row r="325" customFormat="false" ht="11.25" hidden="false" customHeight="true" outlineLevel="0" collapsed="false">
      <c r="A325" s="53" t="s">
        <v>2376</v>
      </c>
      <c r="B325" s="53" t="s">
        <v>16</v>
      </c>
      <c r="C325" s="53" t="s">
        <v>2888</v>
      </c>
      <c r="D325" s="53" t="s">
        <v>2889</v>
      </c>
      <c r="E325" s="53" t="s">
        <v>2890</v>
      </c>
      <c r="F325" s="53" t="s">
        <v>2494</v>
      </c>
      <c r="G325" s="53" t="s">
        <v>2891</v>
      </c>
      <c r="I325" s="53" t="s">
        <v>938</v>
      </c>
    </row>
    <row r="326" customFormat="false" ht="11.25" hidden="false" customHeight="true" outlineLevel="0" collapsed="false">
      <c r="A326" s="53" t="s">
        <v>2376</v>
      </c>
      <c r="B326" s="53" t="s">
        <v>16</v>
      </c>
      <c r="C326" s="53" t="s">
        <v>3006</v>
      </c>
      <c r="D326" s="53" t="s">
        <v>3007</v>
      </c>
      <c r="E326" s="53" t="s">
        <v>3008</v>
      </c>
      <c r="F326" s="53" t="s">
        <v>2494</v>
      </c>
      <c r="I326" s="53" t="s">
        <v>938</v>
      </c>
    </row>
    <row r="327" customFormat="false" ht="11.25" hidden="false" customHeight="true" outlineLevel="0" collapsed="false">
      <c r="A327" s="53" t="s">
        <v>2376</v>
      </c>
      <c r="B327" s="53" t="s">
        <v>16</v>
      </c>
      <c r="C327" s="53" t="s">
        <v>2892</v>
      </c>
      <c r="D327" s="53" t="s">
        <v>2893</v>
      </c>
      <c r="E327" s="53" t="s">
        <v>2894</v>
      </c>
      <c r="F327" s="53" t="s">
        <v>2490</v>
      </c>
      <c r="I327" s="53" t="s">
        <v>938</v>
      </c>
    </row>
    <row r="328" customFormat="false" ht="11.25" hidden="false" customHeight="true" outlineLevel="0" collapsed="false">
      <c r="A328" s="53" t="s">
        <v>2376</v>
      </c>
      <c r="B328" s="53" t="s">
        <v>16</v>
      </c>
      <c r="C328" s="53" t="s">
        <v>2895</v>
      </c>
      <c r="D328" s="53" t="s">
        <v>2896</v>
      </c>
      <c r="E328" s="53" t="s">
        <v>2897</v>
      </c>
      <c r="F328" s="53" t="s">
        <v>2410</v>
      </c>
      <c r="I328" s="53" t="s">
        <v>938</v>
      </c>
    </row>
    <row r="329" customFormat="false" ht="11.25" hidden="false" customHeight="true" outlineLevel="0" collapsed="false">
      <c r="A329" s="53" t="s">
        <v>2376</v>
      </c>
      <c r="B329" s="53" t="s">
        <v>16</v>
      </c>
      <c r="C329" s="53" t="s">
        <v>2514</v>
      </c>
      <c r="D329" s="53" t="s">
        <v>2515</v>
      </c>
      <c r="E329" s="53" t="s">
        <v>2516</v>
      </c>
      <c r="F329" s="53" t="s">
        <v>2517</v>
      </c>
      <c r="I329" s="53" t="s">
        <v>938</v>
      </c>
    </row>
    <row r="330" customFormat="false" ht="11.25" hidden="false" customHeight="true" outlineLevel="0" collapsed="false">
      <c r="A330" s="53" t="s">
        <v>2376</v>
      </c>
      <c r="B330" s="53" t="s">
        <v>16</v>
      </c>
      <c r="C330" s="53" t="s">
        <v>2518</v>
      </c>
      <c r="D330" s="53" t="s">
        <v>2519</v>
      </c>
      <c r="E330" s="53" t="s">
        <v>2520</v>
      </c>
      <c r="F330" s="53" t="s">
        <v>2521</v>
      </c>
      <c r="I330" s="53" t="s">
        <v>938</v>
      </c>
    </row>
    <row r="331" customFormat="false" ht="11.25" hidden="false" customHeight="true" outlineLevel="0" collapsed="false">
      <c r="A331" s="53" t="s">
        <v>2376</v>
      </c>
      <c r="B331" s="53" t="s">
        <v>16</v>
      </c>
      <c r="C331" s="53" t="s">
        <v>2898</v>
      </c>
      <c r="D331" s="53" t="s">
        <v>2899</v>
      </c>
      <c r="E331" s="53" t="s">
        <v>2900</v>
      </c>
      <c r="F331" s="53" t="s">
        <v>2410</v>
      </c>
      <c r="G331" s="53" t="s">
        <v>2901</v>
      </c>
      <c r="I331" s="53" t="s">
        <v>938</v>
      </c>
    </row>
    <row r="332" customFormat="false" ht="11.25" hidden="false" customHeight="true" outlineLevel="0" collapsed="false">
      <c r="A332" s="53" t="s">
        <v>2376</v>
      </c>
      <c r="B332" s="53" t="s">
        <v>16</v>
      </c>
      <c r="C332" s="53" t="s">
        <v>2902</v>
      </c>
      <c r="D332" s="53" t="s">
        <v>2903</v>
      </c>
      <c r="E332" s="53" t="s">
        <v>2904</v>
      </c>
      <c r="F332" s="53" t="s">
        <v>2494</v>
      </c>
      <c r="G332" s="53" t="s">
        <v>2905</v>
      </c>
      <c r="I332" s="53" t="s">
        <v>938</v>
      </c>
    </row>
    <row r="333" customFormat="false" ht="11.25" hidden="false" customHeight="true" outlineLevel="0" collapsed="false">
      <c r="A333" s="53" t="s">
        <v>2376</v>
      </c>
      <c r="B333" s="53" t="s">
        <v>16</v>
      </c>
      <c r="C333" s="53" t="s">
        <v>2526</v>
      </c>
      <c r="D333" s="53" t="s">
        <v>2527</v>
      </c>
      <c r="E333" s="53" t="s">
        <v>2528</v>
      </c>
      <c r="F333" s="53" t="s">
        <v>2529</v>
      </c>
      <c r="I333" s="53" t="s">
        <v>938</v>
      </c>
    </row>
    <row r="334" customFormat="false" ht="11.25" hidden="false" customHeight="true" outlineLevel="0" collapsed="false">
      <c r="A334" s="53" t="s">
        <v>2376</v>
      </c>
      <c r="B334" s="53" t="s">
        <v>16</v>
      </c>
      <c r="C334" s="53" t="s">
        <v>2906</v>
      </c>
      <c r="D334" s="53" t="s">
        <v>2907</v>
      </c>
      <c r="E334" s="53" t="s">
        <v>2908</v>
      </c>
      <c r="F334" s="53" t="s">
        <v>2410</v>
      </c>
      <c r="I334" s="53" t="s">
        <v>938</v>
      </c>
    </row>
    <row r="335" customFormat="false" ht="11.25" hidden="false" customHeight="true" outlineLevel="0" collapsed="false">
      <c r="A335" s="53" t="s">
        <v>2376</v>
      </c>
      <c r="B335" s="53" t="s">
        <v>16</v>
      </c>
      <c r="C335" s="53" t="s">
        <v>2541</v>
      </c>
      <c r="D335" s="53" t="s">
        <v>2542</v>
      </c>
      <c r="E335" s="53" t="s">
        <v>2543</v>
      </c>
      <c r="F335" s="53" t="s">
        <v>2410</v>
      </c>
      <c r="I335" s="53" t="s">
        <v>938</v>
      </c>
    </row>
    <row r="336" customFormat="false" ht="11.25" hidden="false" customHeight="true" outlineLevel="0" collapsed="false">
      <c r="A336" s="53" t="s">
        <v>2376</v>
      </c>
      <c r="B336" s="53" t="s">
        <v>16</v>
      </c>
      <c r="C336" s="53" t="s">
        <v>2554</v>
      </c>
      <c r="D336" s="53" t="s">
        <v>2555</v>
      </c>
      <c r="E336" s="53" t="s">
        <v>2556</v>
      </c>
      <c r="F336" s="53" t="s">
        <v>2533</v>
      </c>
      <c r="I336" s="53" t="s">
        <v>938</v>
      </c>
    </row>
    <row r="337" customFormat="false" ht="11.25" hidden="false" customHeight="true" outlineLevel="0" collapsed="false">
      <c r="A337" s="53" t="s">
        <v>2376</v>
      </c>
      <c r="B337" s="53" t="s">
        <v>16</v>
      </c>
      <c r="C337" s="53" t="s">
        <v>2561</v>
      </c>
      <c r="D337" s="53" t="s">
        <v>2562</v>
      </c>
      <c r="E337" s="53" t="s">
        <v>2563</v>
      </c>
      <c r="F337" s="53" t="s">
        <v>2564</v>
      </c>
      <c r="I337" s="53" t="s">
        <v>938</v>
      </c>
    </row>
    <row r="338" customFormat="false" ht="11.25" hidden="false" customHeight="true" outlineLevel="0" collapsed="false">
      <c r="A338" s="53" t="s">
        <v>2376</v>
      </c>
      <c r="B338" s="53" t="s">
        <v>16</v>
      </c>
      <c r="C338" s="53" t="s">
        <v>2565</v>
      </c>
      <c r="D338" s="53" t="s">
        <v>2566</v>
      </c>
      <c r="E338" s="53" t="s">
        <v>2567</v>
      </c>
      <c r="F338" s="53" t="s">
        <v>2490</v>
      </c>
      <c r="I338" s="53" t="s">
        <v>938</v>
      </c>
    </row>
    <row r="339" customFormat="false" ht="11.25" hidden="false" customHeight="true" outlineLevel="0" collapsed="false">
      <c r="A339" s="53" t="s">
        <v>2376</v>
      </c>
      <c r="B339" s="53" t="s">
        <v>16</v>
      </c>
      <c r="C339" s="53" t="s">
        <v>2571</v>
      </c>
      <c r="D339" s="53" t="s">
        <v>2572</v>
      </c>
      <c r="E339" s="53" t="s">
        <v>2573</v>
      </c>
      <c r="F339" s="53" t="s">
        <v>2434</v>
      </c>
      <c r="I339" s="53" t="s">
        <v>938</v>
      </c>
    </row>
    <row r="340" customFormat="false" ht="11.25" hidden="false" customHeight="true" outlineLevel="0" collapsed="false">
      <c r="A340" s="53" t="s">
        <v>2376</v>
      </c>
      <c r="B340" s="53" t="s">
        <v>16</v>
      </c>
      <c r="C340" s="53" t="s">
        <v>2577</v>
      </c>
      <c r="D340" s="53" t="s">
        <v>2578</v>
      </c>
      <c r="E340" s="53" t="s">
        <v>2579</v>
      </c>
      <c r="F340" s="53" t="s">
        <v>2442</v>
      </c>
      <c r="G340" s="53" t="s">
        <v>2580</v>
      </c>
      <c r="I340" s="53" t="s">
        <v>938</v>
      </c>
    </row>
    <row r="341" customFormat="false" ht="11.25" hidden="false" customHeight="true" outlineLevel="0" collapsed="false">
      <c r="A341" s="53" t="s">
        <v>2376</v>
      </c>
      <c r="B341" s="53" t="s">
        <v>16</v>
      </c>
      <c r="C341" s="53" t="s">
        <v>2581</v>
      </c>
      <c r="D341" s="53" t="s">
        <v>2582</v>
      </c>
      <c r="E341" s="53" t="s">
        <v>2583</v>
      </c>
      <c r="F341" s="53" t="s">
        <v>2442</v>
      </c>
      <c r="I341" s="53" t="s">
        <v>938</v>
      </c>
    </row>
    <row r="342" customFormat="false" ht="11.25" hidden="false" customHeight="true" outlineLevel="0" collapsed="false">
      <c r="A342" s="53" t="s">
        <v>2376</v>
      </c>
      <c r="B342" s="53" t="s">
        <v>16</v>
      </c>
      <c r="C342" s="53" t="s">
        <v>2587</v>
      </c>
      <c r="D342" s="53" t="s">
        <v>2588</v>
      </c>
      <c r="E342" s="53" t="s">
        <v>2589</v>
      </c>
      <c r="F342" s="53" t="s">
        <v>2494</v>
      </c>
      <c r="I342" s="53" t="s">
        <v>938</v>
      </c>
    </row>
    <row r="343" customFormat="false" ht="11.25" hidden="false" customHeight="true" outlineLevel="0" collapsed="false">
      <c r="A343" s="53" t="s">
        <v>2376</v>
      </c>
      <c r="B343" s="53" t="s">
        <v>16</v>
      </c>
      <c r="C343" s="53" t="s">
        <v>2593</v>
      </c>
      <c r="D343" s="53" t="s">
        <v>2594</v>
      </c>
      <c r="E343" s="53" t="s">
        <v>2595</v>
      </c>
      <c r="F343" s="53" t="s">
        <v>2406</v>
      </c>
      <c r="I343" s="53" t="s">
        <v>938</v>
      </c>
    </row>
    <row r="344" customFormat="false" ht="11.25" hidden="false" customHeight="true" outlineLevel="0" collapsed="false">
      <c r="A344" s="53" t="s">
        <v>2376</v>
      </c>
      <c r="B344" s="53" t="s">
        <v>16</v>
      </c>
      <c r="C344" s="53" t="s">
        <v>2596</v>
      </c>
      <c r="D344" s="53" t="s">
        <v>2597</v>
      </c>
      <c r="E344" s="53" t="s">
        <v>2598</v>
      </c>
      <c r="F344" s="53" t="s">
        <v>2402</v>
      </c>
      <c r="I344" s="53" t="s">
        <v>938</v>
      </c>
    </row>
    <row r="345" customFormat="false" ht="11.25" hidden="false" customHeight="true" outlineLevel="0" collapsed="false">
      <c r="A345" s="53" t="s">
        <v>2376</v>
      </c>
      <c r="B345" s="53" t="s">
        <v>16</v>
      </c>
      <c r="C345" s="53" t="s">
        <v>2912</v>
      </c>
      <c r="D345" s="53" t="s">
        <v>2913</v>
      </c>
      <c r="E345" s="53" t="s">
        <v>2914</v>
      </c>
      <c r="F345" s="53" t="s">
        <v>2434</v>
      </c>
      <c r="G345" s="53" t="s">
        <v>2915</v>
      </c>
      <c r="I345" s="53" t="s">
        <v>938</v>
      </c>
    </row>
    <row r="346" customFormat="false" ht="11.25" hidden="false" customHeight="true" outlineLevel="0" collapsed="false">
      <c r="A346" s="53" t="s">
        <v>2376</v>
      </c>
      <c r="B346" s="53" t="s">
        <v>16</v>
      </c>
      <c r="C346" s="53" t="s">
        <v>2602</v>
      </c>
      <c r="D346" s="53" t="s">
        <v>2603</v>
      </c>
      <c r="E346" s="53" t="s">
        <v>2604</v>
      </c>
      <c r="F346" s="53" t="s">
        <v>2494</v>
      </c>
      <c r="I346" s="53" t="s">
        <v>938</v>
      </c>
    </row>
    <row r="347" customFormat="false" ht="11.25" hidden="false" customHeight="true" outlineLevel="0" collapsed="false">
      <c r="A347" s="53" t="s">
        <v>2376</v>
      </c>
      <c r="B347" s="53" t="s">
        <v>16</v>
      </c>
      <c r="C347" s="53" t="s">
        <v>3009</v>
      </c>
      <c r="D347" s="53" t="s">
        <v>3010</v>
      </c>
      <c r="E347" s="53" t="s">
        <v>3011</v>
      </c>
      <c r="F347" s="53" t="s">
        <v>2442</v>
      </c>
      <c r="G347" s="53" t="s">
        <v>3012</v>
      </c>
      <c r="I347" s="53" t="s">
        <v>938</v>
      </c>
    </row>
    <row r="348" customFormat="false" ht="11.25" hidden="false" customHeight="true" outlineLevel="0" collapsed="false">
      <c r="A348" s="53" t="s">
        <v>2376</v>
      </c>
      <c r="B348" s="53" t="s">
        <v>16</v>
      </c>
      <c r="C348" s="53" t="s">
        <v>2916</v>
      </c>
      <c r="D348" s="53" t="s">
        <v>2917</v>
      </c>
      <c r="E348" s="53" t="s">
        <v>2918</v>
      </c>
      <c r="F348" s="53" t="s">
        <v>2483</v>
      </c>
      <c r="I348" s="53" t="s">
        <v>938</v>
      </c>
    </row>
    <row r="349" customFormat="false" ht="11.25" hidden="false" customHeight="true" outlineLevel="0" collapsed="false">
      <c r="A349" s="53" t="s">
        <v>2376</v>
      </c>
      <c r="B349" s="53" t="s">
        <v>16</v>
      </c>
      <c r="C349" s="53" t="s">
        <v>3013</v>
      </c>
      <c r="D349" s="53" t="s">
        <v>3014</v>
      </c>
      <c r="E349" s="53" t="s">
        <v>3015</v>
      </c>
      <c r="F349" s="53" t="s">
        <v>2442</v>
      </c>
      <c r="G349" s="53" t="s">
        <v>2925</v>
      </c>
      <c r="I349" s="53" t="s">
        <v>938</v>
      </c>
    </row>
    <row r="350" customFormat="false" ht="11.25" hidden="false" customHeight="true" outlineLevel="0" collapsed="false">
      <c r="A350" s="53" t="s">
        <v>2376</v>
      </c>
      <c r="B350" s="53" t="s">
        <v>16</v>
      </c>
      <c r="C350" s="53" t="s">
        <v>2922</v>
      </c>
      <c r="D350" s="53" t="s">
        <v>2923</v>
      </c>
      <c r="E350" s="53" t="s">
        <v>2924</v>
      </c>
      <c r="F350" s="53" t="s">
        <v>2434</v>
      </c>
      <c r="G350" s="53" t="s">
        <v>2925</v>
      </c>
      <c r="I350" s="53" t="s">
        <v>938</v>
      </c>
    </row>
    <row r="351" customFormat="false" ht="11.25" hidden="false" customHeight="true" outlineLevel="0" collapsed="false">
      <c r="A351" s="53" t="s">
        <v>2376</v>
      </c>
      <c r="B351" s="53" t="s">
        <v>16</v>
      </c>
      <c r="C351" s="53" t="s">
        <v>3016</v>
      </c>
      <c r="D351" s="53" t="s">
        <v>3017</v>
      </c>
      <c r="E351" s="53" t="s">
        <v>3018</v>
      </c>
      <c r="F351" s="53" t="s">
        <v>2442</v>
      </c>
      <c r="G351" s="53" t="s">
        <v>2964</v>
      </c>
      <c r="I351" s="53" t="s">
        <v>938</v>
      </c>
    </row>
    <row r="352" customFormat="false" ht="11.25" hidden="false" customHeight="true" outlineLevel="0" collapsed="false">
      <c r="A352" s="53" t="s">
        <v>2376</v>
      </c>
      <c r="B352" s="53" t="s">
        <v>16</v>
      </c>
      <c r="C352" s="53" t="s">
        <v>2926</v>
      </c>
      <c r="D352" s="53" t="s">
        <v>2927</v>
      </c>
      <c r="E352" s="53" t="s">
        <v>2928</v>
      </c>
      <c r="F352" s="53" t="s">
        <v>49</v>
      </c>
      <c r="G352" s="53" t="s">
        <v>2929</v>
      </c>
      <c r="I352" s="53" t="s">
        <v>938</v>
      </c>
    </row>
    <row r="353" customFormat="false" ht="11.25" hidden="false" customHeight="true" outlineLevel="0" collapsed="false">
      <c r="A353" s="53" t="s">
        <v>2376</v>
      </c>
      <c r="B353" s="53" t="s">
        <v>16</v>
      </c>
      <c r="C353" s="53" t="s">
        <v>2638</v>
      </c>
      <c r="D353" s="53" t="s">
        <v>2639</v>
      </c>
      <c r="E353" s="53" t="s">
        <v>2640</v>
      </c>
      <c r="F353" s="53" t="s">
        <v>2494</v>
      </c>
      <c r="G353" s="53" t="s">
        <v>2641</v>
      </c>
      <c r="I353" s="53" t="s">
        <v>938</v>
      </c>
    </row>
    <row r="354" customFormat="false" ht="11.25" hidden="false" customHeight="true" outlineLevel="0" collapsed="false">
      <c r="A354" s="53" t="s">
        <v>2376</v>
      </c>
      <c r="B354" s="53" t="s">
        <v>16</v>
      </c>
      <c r="C354" s="53" t="s">
        <v>3019</v>
      </c>
      <c r="D354" s="53" t="s">
        <v>3020</v>
      </c>
      <c r="E354" s="53" t="s">
        <v>3021</v>
      </c>
      <c r="F354" s="53" t="s">
        <v>2529</v>
      </c>
      <c r="I354" s="53" t="s">
        <v>938</v>
      </c>
    </row>
    <row r="355" customFormat="false" ht="11.25" hidden="false" customHeight="true" outlineLevel="0" collapsed="false">
      <c r="A355" s="53" t="s">
        <v>2376</v>
      </c>
      <c r="B355" s="53" t="s">
        <v>16</v>
      </c>
      <c r="C355" s="53" t="s">
        <v>2930</v>
      </c>
      <c r="D355" s="53" t="s">
        <v>2931</v>
      </c>
      <c r="E355" s="53" t="s">
        <v>2932</v>
      </c>
      <c r="F355" s="53" t="s">
        <v>49</v>
      </c>
      <c r="I355" s="53" t="s">
        <v>938</v>
      </c>
    </row>
    <row r="356" customFormat="false" ht="11.25" hidden="false" customHeight="true" outlineLevel="0" collapsed="false">
      <c r="A356" s="53" t="s">
        <v>2376</v>
      </c>
      <c r="B356" s="53" t="s">
        <v>16</v>
      </c>
      <c r="C356" s="53" t="s">
        <v>2658</v>
      </c>
      <c r="D356" s="53" t="s">
        <v>2659</v>
      </c>
      <c r="E356" s="53" t="s">
        <v>2660</v>
      </c>
      <c r="F356" s="53" t="s">
        <v>2494</v>
      </c>
      <c r="I356" s="53" t="s">
        <v>938</v>
      </c>
    </row>
    <row r="357" customFormat="false" ht="11.25" hidden="false" customHeight="true" outlineLevel="0" collapsed="false">
      <c r="A357" s="53" t="s">
        <v>2376</v>
      </c>
      <c r="B357" s="53" t="s">
        <v>16</v>
      </c>
      <c r="C357" s="53" t="s">
        <v>3022</v>
      </c>
      <c r="D357" s="53" t="s">
        <v>3023</v>
      </c>
      <c r="E357" s="53" t="s">
        <v>3024</v>
      </c>
      <c r="F357" s="53" t="s">
        <v>2438</v>
      </c>
      <c r="G357" s="53" t="s">
        <v>3025</v>
      </c>
      <c r="I357" s="53" t="s">
        <v>938</v>
      </c>
    </row>
    <row r="358" customFormat="false" ht="11.25" hidden="false" customHeight="true" outlineLevel="0" collapsed="false">
      <c r="A358" s="53" t="s">
        <v>2376</v>
      </c>
      <c r="B358" s="53" t="s">
        <v>16</v>
      </c>
      <c r="C358" s="53" t="s">
        <v>3026</v>
      </c>
      <c r="D358" s="53" t="s">
        <v>2673</v>
      </c>
      <c r="E358" s="53" t="s">
        <v>3027</v>
      </c>
      <c r="F358" s="53" t="s">
        <v>2494</v>
      </c>
      <c r="G358" s="53" t="s">
        <v>3028</v>
      </c>
      <c r="I358" s="53" t="s">
        <v>938</v>
      </c>
    </row>
    <row r="359" customFormat="false" ht="11.25" hidden="false" customHeight="true" outlineLevel="0" collapsed="false">
      <c r="A359" s="53" t="s">
        <v>2376</v>
      </c>
      <c r="B359" s="53" t="s">
        <v>16</v>
      </c>
      <c r="C359" s="53" t="s">
        <v>2672</v>
      </c>
      <c r="D359" s="53" t="s">
        <v>2673</v>
      </c>
      <c r="E359" s="53" t="s">
        <v>2674</v>
      </c>
      <c r="F359" s="53" t="s">
        <v>2494</v>
      </c>
      <c r="G359" s="53" t="s">
        <v>2675</v>
      </c>
      <c r="I359" s="53" t="s">
        <v>938</v>
      </c>
    </row>
    <row r="360" customFormat="false" ht="11.25" hidden="false" customHeight="true" outlineLevel="0" collapsed="false">
      <c r="A360" s="53" t="s">
        <v>2376</v>
      </c>
      <c r="B360" s="53" t="s">
        <v>16</v>
      </c>
      <c r="C360" s="53" t="s">
        <v>2679</v>
      </c>
      <c r="D360" s="53" t="s">
        <v>2680</v>
      </c>
      <c r="E360" s="53" t="s">
        <v>2681</v>
      </c>
      <c r="F360" s="53" t="s">
        <v>2682</v>
      </c>
      <c r="I360" s="53" t="s">
        <v>938</v>
      </c>
    </row>
    <row r="361" customFormat="false" ht="11.25" hidden="false" customHeight="true" outlineLevel="0" collapsed="false">
      <c r="A361" s="53" t="s">
        <v>2376</v>
      </c>
      <c r="B361" s="53" t="s">
        <v>16</v>
      </c>
      <c r="C361" s="53" t="s">
        <v>2937</v>
      </c>
      <c r="D361" s="53" t="s">
        <v>2938</v>
      </c>
      <c r="E361" s="53" t="s">
        <v>2939</v>
      </c>
      <c r="F361" s="53" t="s">
        <v>2394</v>
      </c>
      <c r="I361" s="53" t="s">
        <v>938</v>
      </c>
    </row>
    <row r="362" customFormat="false" ht="11.25" hidden="false" customHeight="true" outlineLevel="0" collapsed="false">
      <c r="A362" s="53" t="s">
        <v>2376</v>
      </c>
      <c r="B362" s="53" t="s">
        <v>16</v>
      </c>
      <c r="C362" s="53" t="s">
        <v>2710</v>
      </c>
      <c r="D362" s="53" t="s">
        <v>2711</v>
      </c>
      <c r="E362" s="53" t="s">
        <v>2712</v>
      </c>
      <c r="F362" s="53" t="s">
        <v>2490</v>
      </c>
      <c r="I362" s="53" t="s">
        <v>938</v>
      </c>
    </row>
    <row r="363" customFormat="false" ht="11.25" hidden="false" customHeight="true" outlineLevel="0" collapsed="false">
      <c r="A363" s="53" t="s">
        <v>2376</v>
      </c>
      <c r="B363" s="53" t="s">
        <v>16</v>
      </c>
      <c r="C363" s="53" t="s">
        <v>3029</v>
      </c>
      <c r="D363" s="53" t="s">
        <v>3030</v>
      </c>
      <c r="E363" s="53" t="s">
        <v>3031</v>
      </c>
      <c r="F363" s="53" t="s">
        <v>2490</v>
      </c>
      <c r="H363" s="53" t="s">
        <v>3032</v>
      </c>
      <c r="I363" s="53" t="s">
        <v>938</v>
      </c>
    </row>
    <row r="364" customFormat="false" ht="11.25" hidden="false" customHeight="true" outlineLevel="0" collapsed="false">
      <c r="A364" s="53" t="s">
        <v>2376</v>
      </c>
      <c r="B364" s="53" t="s">
        <v>16</v>
      </c>
      <c r="C364" s="53" t="s">
        <v>2946</v>
      </c>
      <c r="D364" s="53" t="s">
        <v>2947</v>
      </c>
      <c r="E364" s="53" t="s">
        <v>2948</v>
      </c>
      <c r="F364" s="53" t="s">
        <v>2442</v>
      </c>
      <c r="G364" s="53" t="s">
        <v>2949</v>
      </c>
      <c r="I364" s="53" t="s">
        <v>938</v>
      </c>
    </row>
    <row r="365" customFormat="false" ht="11.25" hidden="false" customHeight="true" outlineLevel="0" collapsed="false">
      <c r="A365" s="53" t="s">
        <v>2376</v>
      </c>
      <c r="B365" s="53" t="s">
        <v>16</v>
      </c>
      <c r="C365" s="53" t="s">
        <v>2728</v>
      </c>
      <c r="D365" s="53" t="s">
        <v>2729</v>
      </c>
      <c r="E365" s="53" t="s">
        <v>2730</v>
      </c>
      <c r="F365" s="53" t="s">
        <v>2494</v>
      </c>
      <c r="G365" s="53" t="s">
        <v>2731</v>
      </c>
      <c r="I365" s="53" t="s">
        <v>938</v>
      </c>
    </row>
    <row r="366" customFormat="false" ht="11.25" hidden="false" customHeight="true" outlineLevel="0" collapsed="false">
      <c r="A366" s="53" t="s">
        <v>2376</v>
      </c>
      <c r="B366" s="53" t="s">
        <v>16</v>
      </c>
      <c r="C366" s="53" t="s">
        <v>2732</v>
      </c>
      <c r="D366" s="53" t="s">
        <v>2733</v>
      </c>
      <c r="E366" s="53" t="s">
        <v>2734</v>
      </c>
      <c r="F366" s="53" t="s">
        <v>2494</v>
      </c>
      <c r="G366" s="53" t="s">
        <v>2735</v>
      </c>
      <c r="I366" s="53" t="s">
        <v>938</v>
      </c>
    </row>
    <row r="367" customFormat="false" ht="11.25" hidden="false" customHeight="true" outlineLevel="0" collapsed="false">
      <c r="A367" s="53" t="s">
        <v>2376</v>
      </c>
      <c r="B367" s="53" t="s">
        <v>16</v>
      </c>
      <c r="C367" s="53" t="s">
        <v>2950</v>
      </c>
      <c r="D367" s="53" t="s">
        <v>2951</v>
      </c>
      <c r="E367" s="53" t="s">
        <v>2952</v>
      </c>
      <c r="F367" s="53" t="s">
        <v>2953</v>
      </c>
      <c r="I367" s="53" t="s">
        <v>938</v>
      </c>
    </row>
    <row r="368" customFormat="false" ht="11.25" hidden="false" customHeight="true" outlineLevel="0" collapsed="false">
      <c r="A368" s="53" t="s">
        <v>2376</v>
      </c>
      <c r="B368" s="53" t="s">
        <v>16</v>
      </c>
      <c r="C368" s="53" t="s">
        <v>2954</v>
      </c>
      <c r="D368" s="53" t="s">
        <v>2955</v>
      </c>
      <c r="E368" s="53" t="s">
        <v>2956</v>
      </c>
      <c r="F368" s="53" t="s">
        <v>2533</v>
      </c>
      <c r="G368" s="53" t="s">
        <v>2957</v>
      </c>
      <c r="I368" s="53" t="s">
        <v>938</v>
      </c>
    </row>
    <row r="369" customFormat="false" ht="11.25" hidden="false" customHeight="true" outlineLevel="0" collapsed="false">
      <c r="A369" s="53" t="s">
        <v>2376</v>
      </c>
      <c r="B369" s="53" t="s">
        <v>16</v>
      </c>
      <c r="C369" s="53" t="s">
        <v>2758</v>
      </c>
      <c r="D369" s="53" t="s">
        <v>2759</v>
      </c>
      <c r="E369" s="53" t="s">
        <v>2760</v>
      </c>
      <c r="F369" s="53" t="s">
        <v>2442</v>
      </c>
      <c r="I369" s="53" t="s">
        <v>938</v>
      </c>
    </row>
    <row r="370" customFormat="false" ht="11.25" hidden="false" customHeight="true" outlineLevel="0" collapsed="false">
      <c r="A370" s="53" t="s">
        <v>2376</v>
      </c>
      <c r="B370" s="53" t="s">
        <v>16</v>
      </c>
      <c r="C370" s="53" t="s">
        <v>2761</v>
      </c>
      <c r="D370" s="53" t="s">
        <v>2762</v>
      </c>
      <c r="E370" s="53" t="s">
        <v>2763</v>
      </c>
      <c r="F370" s="53" t="s">
        <v>2533</v>
      </c>
      <c r="G370" s="53" t="s">
        <v>2764</v>
      </c>
      <c r="I370" s="53" t="s">
        <v>938</v>
      </c>
    </row>
    <row r="371" customFormat="false" ht="11.25" hidden="false" customHeight="true" outlineLevel="0" collapsed="false">
      <c r="A371" s="53" t="s">
        <v>2376</v>
      </c>
      <c r="B371" s="53" t="s">
        <v>16</v>
      </c>
      <c r="C371" s="53" t="s">
        <v>2776</v>
      </c>
      <c r="D371" s="53" t="s">
        <v>2777</v>
      </c>
      <c r="E371" s="53" t="s">
        <v>2778</v>
      </c>
      <c r="F371" s="53" t="s">
        <v>2434</v>
      </c>
      <c r="I371" s="53" t="s">
        <v>938</v>
      </c>
    </row>
    <row r="372" customFormat="false" ht="11.25" hidden="false" customHeight="true" outlineLevel="0" collapsed="false">
      <c r="A372" s="53" t="s">
        <v>2376</v>
      </c>
      <c r="B372" s="53" t="s">
        <v>16</v>
      </c>
      <c r="C372" s="53" t="s">
        <v>2958</v>
      </c>
      <c r="D372" s="53" t="s">
        <v>2959</v>
      </c>
      <c r="E372" s="53" t="s">
        <v>2960</v>
      </c>
      <c r="F372" s="53" t="s">
        <v>2494</v>
      </c>
      <c r="I372" s="53" t="s">
        <v>938</v>
      </c>
    </row>
    <row r="373" customFormat="false" ht="11.25" hidden="false" customHeight="true" outlineLevel="0" collapsed="false">
      <c r="A373" s="53" t="s">
        <v>2376</v>
      </c>
      <c r="B373" s="53" t="s">
        <v>16</v>
      </c>
      <c r="C373" s="53" t="s">
        <v>2965</v>
      </c>
      <c r="D373" s="53" t="s">
        <v>2966</v>
      </c>
      <c r="E373" s="53" t="s">
        <v>2967</v>
      </c>
      <c r="F373" s="53" t="s">
        <v>2434</v>
      </c>
      <c r="G373" s="53" t="s">
        <v>2968</v>
      </c>
      <c r="I373" s="53" t="s">
        <v>938</v>
      </c>
    </row>
    <row r="374" customFormat="false" ht="11.25" hidden="false" customHeight="true" outlineLevel="0" collapsed="false">
      <c r="A374" s="53" t="s">
        <v>2376</v>
      </c>
      <c r="B374" s="53" t="s">
        <v>16</v>
      </c>
      <c r="C374" s="53" t="s">
        <v>2791</v>
      </c>
      <c r="D374" s="53" t="s">
        <v>2792</v>
      </c>
      <c r="E374" s="53" t="s">
        <v>2793</v>
      </c>
      <c r="F374" s="53" t="s">
        <v>2533</v>
      </c>
      <c r="I374" s="53" t="s">
        <v>938</v>
      </c>
    </row>
    <row r="375" customFormat="false" ht="11.25" hidden="false" customHeight="true" outlineLevel="0" collapsed="false">
      <c r="A375" s="53" t="s">
        <v>2376</v>
      </c>
      <c r="B375" s="53" t="s">
        <v>16</v>
      </c>
      <c r="C375" s="53" t="s">
        <v>3033</v>
      </c>
      <c r="D375" s="53" t="s">
        <v>3034</v>
      </c>
      <c r="E375" s="53" t="s">
        <v>3035</v>
      </c>
      <c r="F375" s="53" t="s">
        <v>2406</v>
      </c>
      <c r="I375" s="53" t="s">
        <v>938</v>
      </c>
    </row>
    <row r="376" customFormat="false" ht="11.25" hidden="false" customHeight="true" outlineLevel="0" collapsed="false">
      <c r="A376" s="53" t="s">
        <v>2376</v>
      </c>
      <c r="B376" s="53" t="s">
        <v>16</v>
      </c>
      <c r="C376" s="53" t="s">
        <v>2797</v>
      </c>
      <c r="D376" s="53" t="s">
        <v>2798</v>
      </c>
      <c r="E376" s="53" t="s">
        <v>2799</v>
      </c>
      <c r="F376" s="53" t="s">
        <v>2414</v>
      </c>
      <c r="I376" s="53" t="s">
        <v>938</v>
      </c>
    </row>
    <row r="377" customFormat="false" ht="11.25" hidden="false" customHeight="true" outlineLevel="0" collapsed="false">
      <c r="A377" s="53" t="s">
        <v>2376</v>
      </c>
      <c r="B377" s="53" t="s">
        <v>16</v>
      </c>
      <c r="C377" s="53" t="s">
        <v>2800</v>
      </c>
      <c r="D377" s="53" t="s">
        <v>2798</v>
      </c>
      <c r="E377" s="53" t="s">
        <v>2799</v>
      </c>
      <c r="F377" s="53" t="s">
        <v>2494</v>
      </c>
      <c r="G377" s="53" t="s">
        <v>2801</v>
      </c>
      <c r="I377" s="53" t="s">
        <v>938</v>
      </c>
    </row>
    <row r="378" customFormat="false" ht="11.25" hidden="false" customHeight="true" outlineLevel="0" collapsed="false">
      <c r="A378" s="53" t="s">
        <v>2376</v>
      </c>
      <c r="B378" s="53" t="s">
        <v>16</v>
      </c>
      <c r="C378" s="53" t="s">
        <v>2969</v>
      </c>
      <c r="D378" s="53" t="s">
        <v>2970</v>
      </c>
      <c r="E378" s="53" t="s">
        <v>2971</v>
      </c>
      <c r="F378" s="53" t="s">
        <v>2972</v>
      </c>
      <c r="G378" s="53" t="s">
        <v>2973</v>
      </c>
      <c r="I378" s="53" t="s">
        <v>938</v>
      </c>
    </row>
    <row r="379" customFormat="false" ht="11.25" hidden="false" customHeight="true" outlineLevel="0" collapsed="false">
      <c r="A379" s="53" t="s">
        <v>2376</v>
      </c>
      <c r="B379" s="53" t="s">
        <v>16</v>
      </c>
      <c r="C379" s="53" t="s">
        <v>2977</v>
      </c>
      <c r="D379" s="53" t="s">
        <v>2978</v>
      </c>
      <c r="E379" s="53" t="s">
        <v>2979</v>
      </c>
      <c r="F379" s="53" t="s">
        <v>2980</v>
      </c>
      <c r="I379" s="53" t="s">
        <v>938</v>
      </c>
    </row>
    <row r="380" customFormat="false" ht="11.25" hidden="false" customHeight="true" outlineLevel="0" collapsed="false">
      <c r="A380" s="53" t="s">
        <v>2376</v>
      </c>
      <c r="B380" s="53" t="s">
        <v>16</v>
      </c>
      <c r="C380" s="53" t="s">
        <v>2806</v>
      </c>
      <c r="D380" s="53" t="s">
        <v>2807</v>
      </c>
      <c r="E380" s="53" t="s">
        <v>2808</v>
      </c>
      <c r="F380" s="53" t="s">
        <v>2402</v>
      </c>
      <c r="I380" s="53" t="s">
        <v>938</v>
      </c>
    </row>
    <row r="381" customFormat="false" ht="11.25" hidden="false" customHeight="true" outlineLevel="0" collapsed="false">
      <c r="A381" s="53" t="s">
        <v>2376</v>
      </c>
      <c r="B381" s="53" t="s">
        <v>16</v>
      </c>
      <c r="C381" s="53" t="s">
        <v>2812</v>
      </c>
      <c r="D381" s="53" t="s">
        <v>2813</v>
      </c>
      <c r="E381" s="53" t="s">
        <v>2814</v>
      </c>
      <c r="F381" s="53" t="s">
        <v>2402</v>
      </c>
      <c r="I381" s="53" t="s">
        <v>938</v>
      </c>
    </row>
    <row r="382" customFormat="false" ht="11.25" hidden="false" customHeight="true" outlineLevel="0" collapsed="false">
      <c r="A382" s="53" t="s">
        <v>2376</v>
      </c>
      <c r="B382" s="53" t="s">
        <v>16</v>
      </c>
      <c r="C382" s="53" t="s">
        <v>2981</v>
      </c>
      <c r="D382" s="53" t="s">
        <v>2982</v>
      </c>
      <c r="E382" s="53" t="s">
        <v>2983</v>
      </c>
      <c r="F382" s="53" t="s">
        <v>2438</v>
      </c>
      <c r="G382" s="53" t="s">
        <v>2984</v>
      </c>
      <c r="I382" s="53" t="s">
        <v>938</v>
      </c>
    </row>
    <row r="383" customFormat="false" ht="11.25" hidden="false" customHeight="true" outlineLevel="0" collapsed="false">
      <c r="A383" s="53" t="s">
        <v>2376</v>
      </c>
      <c r="B383" s="53" t="s">
        <v>16</v>
      </c>
      <c r="C383" s="53" t="s">
        <v>2815</v>
      </c>
      <c r="D383" s="53" t="s">
        <v>2816</v>
      </c>
      <c r="E383" s="53" t="s">
        <v>2817</v>
      </c>
      <c r="F383" s="53" t="s">
        <v>2406</v>
      </c>
      <c r="I383" s="53" t="s">
        <v>938</v>
      </c>
    </row>
    <row r="384" customFormat="false" ht="11.25" hidden="false" customHeight="true" outlineLevel="0" collapsed="false">
      <c r="A384" s="53" t="s">
        <v>2376</v>
      </c>
      <c r="B384" s="53" t="s">
        <v>16</v>
      </c>
      <c r="C384" s="53" t="s">
        <v>2818</v>
      </c>
      <c r="D384" s="53" t="s">
        <v>2816</v>
      </c>
      <c r="E384" s="53" t="s">
        <v>2817</v>
      </c>
      <c r="F384" s="53" t="s">
        <v>2819</v>
      </c>
      <c r="I384" s="53" t="s">
        <v>938</v>
      </c>
    </row>
    <row r="385" customFormat="false" ht="11.25" hidden="false" customHeight="true" outlineLevel="0" collapsed="false">
      <c r="A385" s="53" t="s">
        <v>2376</v>
      </c>
      <c r="B385" s="53" t="s">
        <v>16</v>
      </c>
      <c r="C385" s="53" t="s">
        <v>2824</v>
      </c>
      <c r="D385" s="53" t="s">
        <v>2825</v>
      </c>
      <c r="E385" s="53" t="s">
        <v>2826</v>
      </c>
      <c r="F385" s="53" t="s">
        <v>2827</v>
      </c>
      <c r="I385" s="53" t="s">
        <v>938</v>
      </c>
    </row>
    <row r="386" customFormat="false" ht="11.25" hidden="false" customHeight="true" outlineLevel="0" collapsed="false">
      <c r="A386" s="53" t="s">
        <v>2376</v>
      </c>
      <c r="B386" s="53" t="s">
        <v>16</v>
      </c>
      <c r="C386" s="53" t="s">
        <v>2828</v>
      </c>
      <c r="D386" s="53" t="s">
        <v>2829</v>
      </c>
      <c r="E386" s="53" t="s">
        <v>2830</v>
      </c>
      <c r="F386" s="53" t="s">
        <v>2438</v>
      </c>
      <c r="I386" s="53" t="s">
        <v>938</v>
      </c>
    </row>
    <row r="387" customFormat="false" ht="11.25" hidden="false" customHeight="true" outlineLevel="0" collapsed="false">
      <c r="A387" s="53" t="s">
        <v>2376</v>
      </c>
      <c r="B387" s="53" t="s">
        <v>16</v>
      </c>
      <c r="C387" s="53" t="s">
        <v>2985</v>
      </c>
      <c r="D387" s="53" t="s">
        <v>2986</v>
      </c>
      <c r="E387" s="53" t="s">
        <v>2987</v>
      </c>
      <c r="F387" s="53" t="s">
        <v>2414</v>
      </c>
      <c r="I387" s="53" t="s">
        <v>938</v>
      </c>
    </row>
    <row r="388" customFormat="false" ht="11.25" hidden="false" customHeight="true" outlineLevel="0" collapsed="false">
      <c r="A388" s="53" t="s">
        <v>2376</v>
      </c>
      <c r="B388" s="53" t="s">
        <v>16</v>
      </c>
      <c r="C388" s="53" t="s">
        <v>2831</v>
      </c>
      <c r="D388" s="53" t="s">
        <v>2832</v>
      </c>
      <c r="E388" s="53" t="s">
        <v>2833</v>
      </c>
      <c r="F388" s="53" t="s">
        <v>2834</v>
      </c>
      <c r="I388" s="53" t="s">
        <v>938</v>
      </c>
    </row>
    <row r="389" customFormat="false" ht="11.25" hidden="false" customHeight="true" outlineLevel="0" collapsed="false">
      <c r="A389" s="53" t="s">
        <v>2376</v>
      </c>
      <c r="B389" s="53" t="s">
        <v>16</v>
      </c>
      <c r="C389" s="53" t="s">
        <v>2835</v>
      </c>
      <c r="D389" s="53" t="s">
        <v>2836</v>
      </c>
      <c r="E389" s="53" t="s">
        <v>2837</v>
      </c>
      <c r="F389" s="53" t="s">
        <v>2838</v>
      </c>
      <c r="I389" s="53" t="s">
        <v>938</v>
      </c>
    </row>
    <row r="390" customFormat="false" ht="11.25" hidden="false" customHeight="true" outlineLevel="0" collapsed="false">
      <c r="A390" s="53" t="s">
        <v>2376</v>
      </c>
      <c r="B390" s="53" t="s">
        <v>16</v>
      </c>
      <c r="C390" s="53" t="s">
        <v>2994</v>
      </c>
      <c r="D390" s="53" t="s">
        <v>2995</v>
      </c>
      <c r="E390" s="53" t="s">
        <v>2996</v>
      </c>
      <c r="F390" s="53" t="s">
        <v>2533</v>
      </c>
      <c r="I390" s="53" t="s">
        <v>938</v>
      </c>
    </row>
    <row r="391" customFormat="false" ht="11.25" hidden="false" customHeight="true" outlineLevel="0" collapsed="false">
      <c r="A391" s="53" t="s">
        <v>2376</v>
      </c>
      <c r="B391" s="53" t="s">
        <v>16</v>
      </c>
      <c r="C391" s="53" t="s">
        <v>2852</v>
      </c>
      <c r="D391" s="53" t="s">
        <v>2853</v>
      </c>
      <c r="E391" s="53" t="s">
        <v>2826</v>
      </c>
      <c r="F391" s="53" t="s">
        <v>2854</v>
      </c>
      <c r="G391" s="53" t="s">
        <v>2855</v>
      </c>
      <c r="I391" s="53" t="s">
        <v>938</v>
      </c>
    </row>
    <row r="392" customFormat="false" ht="11.25" hidden="false" customHeight="true" outlineLevel="0" collapsed="false">
      <c r="A392" s="53" t="s">
        <v>2376</v>
      </c>
      <c r="B392" s="53" t="s">
        <v>16</v>
      </c>
      <c r="C392" s="53" t="s">
        <v>2860</v>
      </c>
      <c r="D392" s="53" t="s">
        <v>2861</v>
      </c>
      <c r="E392" s="53" t="s">
        <v>2862</v>
      </c>
      <c r="F392" s="53" t="s">
        <v>2863</v>
      </c>
      <c r="I392" s="53" t="s">
        <v>938</v>
      </c>
    </row>
    <row r="393" customFormat="false" ht="11.25" hidden="false" customHeight="true" outlineLevel="0" collapsed="false">
      <c r="A393" s="53" t="s">
        <v>2376</v>
      </c>
      <c r="B393" s="53" t="s">
        <v>16</v>
      </c>
      <c r="C393" s="53" t="s">
        <v>2415</v>
      </c>
      <c r="D393" s="53" t="s">
        <v>2416</v>
      </c>
      <c r="E393" s="53" t="s">
        <v>2417</v>
      </c>
      <c r="F393" s="53" t="s">
        <v>2418</v>
      </c>
      <c r="I393" s="53" t="s">
        <v>1754</v>
      </c>
    </row>
    <row r="394" customFormat="false" ht="11.25" hidden="false" customHeight="true" outlineLevel="0" collapsed="false">
      <c r="A394" s="53" t="s">
        <v>2376</v>
      </c>
      <c r="B394" s="53" t="s">
        <v>16</v>
      </c>
      <c r="C394" s="53" t="s">
        <v>3036</v>
      </c>
      <c r="D394" s="53" t="s">
        <v>3037</v>
      </c>
      <c r="E394" s="53" t="s">
        <v>3038</v>
      </c>
      <c r="F394" s="53" t="s">
        <v>2494</v>
      </c>
      <c r="I394" s="53" t="s">
        <v>1754</v>
      </c>
    </row>
    <row r="395" customFormat="false" ht="11.25" hidden="false" customHeight="true" outlineLevel="0" collapsed="false">
      <c r="A395" s="53" t="s">
        <v>2376</v>
      </c>
      <c r="B395" s="53" t="s">
        <v>16</v>
      </c>
      <c r="C395" s="53" t="s">
        <v>3039</v>
      </c>
      <c r="D395" s="53" t="s">
        <v>3040</v>
      </c>
      <c r="E395" s="53" t="s">
        <v>3041</v>
      </c>
      <c r="F395" s="53" t="s">
        <v>2438</v>
      </c>
      <c r="I395" s="53" t="s">
        <v>1754</v>
      </c>
    </row>
    <row r="396" customFormat="false" ht="11.25" hidden="false" customHeight="true" outlineLevel="0" collapsed="false">
      <c r="A396" s="53" t="s">
        <v>2376</v>
      </c>
      <c r="B396" s="53" t="s">
        <v>16</v>
      </c>
      <c r="C396" s="53" t="s">
        <v>3042</v>
      </c>
      <c r="D396" s="53" t="s">
        <v>3043</v>
      </c>
      <c r="E396" s="53" t="s">
        <v>3044</v>
      </c>
      <c r="F396" s="53" t="s">
        <v>591</v>
      </c>
      <c r="I396" s="53" t="s">
        <v>1754</v>
      </c>
    </row>
    <row r="397" customFormat="false" ht="11.25" hidden="false" customHeight="true" outlineLevel="0" collapsed="false">
      <c r="A397" s="53" t="s">
        <v>2376</v>
      </c>
      <c r="B397" s="53" t="s">
        <v>16</v>
      </c>
      <c r="C397" s="53" t="s">
        <v>2501</v>
      </c>
      <c r="D397" s="53" t="s">
        <v>2502</v>
      </c>
      <c r="E397" s="53" t="s">
        <v>2503</v>
      </c>
      <c r="F397" s="53" t="s">
        <v>2504</v>
      </c>
      <c r="I397" s="53" t="s">
        <v>1754</v>
      </c>
    </row>
    <row r="398" customFormat="false" ht="11.25" hidden="false" customHeight="true" outlineLevel="0" collapsed="false">
      <c r="A398" s="53" t="s">
        <v>2376</v>
      </c>
      <c r="B398" s="53" t="s">
        <v>16</v>
      </c>
      <c r="D398" s="53" t="s">
        <v>2505</v>
      </c>
      <c r="E398" s="53" t="s">
        <v>2506</v>
      </c>
      <c r="F398" s="53" t="s">
        <v>2438</v>
      </c>
      <c r="I398" s="53" t="s">
        <v>1754</v>
      </c>
    </row>
    <row r="399" customFormat="false" ht="11.25" hidden="false" customHeight="true" outlineLevel="0" collapsed="false">
      <c r="A399" s="53" t="s">
        <v>2376</v>
      </c>
      <c r="B399" s="53" t="s">
        <v>16</v>
      </c>
      <c r="C399" s="53" t="s">
        <v>2514</v>
      </c>
      <c r="D399" s="53" t="s">
        <v>2515</v>
      </c>
      <c r="E399" s="53" t="s">
        <v>2516</v>
      </c>
      <c r="F399" s="53" t="s">
        <v>2517</v>
      </c>
      <c r="I399" s="53" t="s">
        <v>1754</v>
      </c>
    </row>
    <row r="400" customFormat="false" ht="11.25" hidden="false" customHeight="true" outlineLevel="0" collapsed="false">
      <c r="A400" s="53" t="s">
        <v>2376</v>
      </c>
      <c r="B400" s="53" t="s">
        <v>16</v>
      </c>
      <c r="C400" s="53" t="s">
        <v>2526</v>
      </c>
      <c r="D400" s="53" t="s">
        <v>2527</v>
      </c>
      <c r="E400" s="53" t="s">
        <v>2528</v>
      </c>
      <c r="F400" s="53" t="s">
        <v>2529</v>
      </c>
      <c r="I400" s="53" t="s">
        <v>1754</v>
      </c>
    </row>
    <row r="401" customFormat="false" ht="11.25" hidden="false" customHeight="true" outlineLevel="0" collapsed="false">
      <c r="A401" s="53" t="s">
        <v>2376</v>
      </c>
      <c r="B401" s="53" t="s">
        <v>16</v>
      </c>
      <c r="C401" s="53" t="s">
        <v>3045</v>
      </c>
      <c r="D401" s="53" t="s">
        <v>3046</v>
      </c>
      <c r="E401" s="53" t="s">
        <v>3047</v>
      </c>
      <c r="F401" s="53" t="s">
        <v>2529</v>
      </c>
      <c r="I401" s="53" t="s">
        <v>1754</v>
      </c>
    </row>
    <row r="402" customFormat="false" ht="11.25" hidden="false" customHeight="true" outlineLevel="0" collapsed="false">
      <c r="A402" s="53" t="s">
        <v>2376</v>
      </c>
      <c r="B402" s="53" t="s">
        <v>16</v>
      </c>
      <c r="C402" s="53" t="s">
        <v>3048</v>
      </c>
      <c r="D402" s="53" t="s">
        <v>3049</v>
      </c>
      <c r="E402" s="53" t="s">
        <v>3050</v>
      </c>
      <c r="F402" s="53" t="s">
        <v>2434</v>
      </c>
      <c r="I402" s="53" t="s">
        <v>1754</v>
      </c>
    </row>
    <row r="403" customFormat="false" ht="11.25" hidden="false" customHeight="true" outlineLevel="0" collapsed="false">
      <c r="A403" s="53" t="s">
        <v>2376</v>
      </c>
      <c r="B403" s="53" t="s">
        <v>16</v>
      </c>
      <c r="C403" s="53" t="s">
        <v>2561</v>
      </c>
      <c r="D403" s="53" t="s">
        <v>2562</v>
      </c>
      <c r="E403" s="53" t="s">
        <v>2563</v>
      </c>
      <c r="F403" s="53" t="s">
        <v>2564</v>
      </c>
      <c r="I403" s="53" t="s">
        <v>1754</v>
      </c>
    </row>
    <row r="404" customFormat="false" ht="11.25" hidden="false" customHeight="true" outlineLevel="0" collapsed="false">
      <c r="A404" s="53" t="s">
        <v>2376</v>
      </c>
      <c r="B404" s="53" t="s">
        <v>16</v>
      </c>
      <c r="C404" s="53" t="s">
        <v>3051</v>
      </c>
      <c r="D404" s="53" t="s">
        <v>3052</v>
      </c>
      <c r="E404" s="53" t="s">
        <v>3053</v>
      </c>
      <c r="F404" s="53" t="s">
        <v>2402</v>
      </c>
      <c r="I404" s="53" t="s">
        <v>1754</v>
      </c>
    </row>
    <row r="405" customFormat="false" ht="11.25" hidden="false" customHeight="true" outlineLevel="0" collapsed="false">
      <c r="A405" s="53" t="s">
        <v>2376</v>
      </c>
      <c r="B405" s="53" t="s">
        <v>16</v>
      </c>
      <c r="C405" s="53" t="s">
        <v>3054</v>
      </c>
      <c r="D405" s="53" t="s">
        <v>3055</v>
      </c>
      <c r="E405" s="53" t="s">
        <v>3056</v>
      </c>
      <c r="F405" s="53" t="s">
        <v>2434</v>
      </c>
      <c r="I405" s="53" t="s">
        <v>1754</v>
      </c>
    </row>
    <row r="406" customFormat="false" ht="11.25" hidden="false" customHeight="true" outlineLevel="0" collapsed="false">
      <c r="A406" s="53" t="s">
        <v>2376</v>
      </c>
      <c r="B406" s="53" t="s">
        <v>16</v>
      </c>
      <c r="C406" s="53" t="s">
        <v>3057</v>
      </c>
      <c r="D406" s="53" t="s">
        <v>3058</v>
      </c>
      <c r="E406" s="53" t="s">
        <v>3059</v>
      </c>
      <c r="F406" s="53" t="s">
        <v>2529</v>
      </c>
      <c r="G406" s="53" t="s">
        <v>3060</v>
      </c>
      <c r="I406" s="53" t="s">
        <v>1754</v>
      </c>
    </row>
    <row r="407" customFormat="false" ht="11.25" hidden="false" customHeight="true" outlineLevel="0" collapsed="false">
      <c r="A407" s="53" t="s">
        <v>2376</v>
      </c>
      <c r="B407" s="53" t="s">
        <v>16</v>
      </c>
      <c r="C407" s="53" t="s">
        <v>3061</v>
      </c>
      <c r="D407" s="53" t="s">
        <v>3062</v>
      </c>
      <c r="E407" s="53" t="s">
        <v>3063</v>
      </c>
      <c r="F407" s="53" t="s">
        <v>2414</v>
      </c>
      <c r="I407" s="53" t="s">
        <v>1754</v>
      </c>
    </row>
    <row r="408" customFormat="false" ht="11.25" hidden="false" customHeight="true" outlineLevel="0" collapsed="false">
      <c r="A408" s="53" t="s">
        <v>2376</v>
      </c>
      <c r="B408" s="53" t="s">
        <v>16</v>
      </c>
      <c r="C408" s="53" t="s">
        <v>3064</v>
      </c>
      <c r="D408" s="53" t="s">
        <v>3065</v>
      </c>
      <c r="E408" s="53" t="s">
        <v>3066</v>
      </c>
      <c r="F408" s="53" t="s">
        <v>2394</v>
      </c>
      <c r="I408" s="53" t="s">
        <v>1754</v>
      </c>
    </row>
    <row r="409" customFormat="false" ht="11.25" hidden="false" customHeight="true" outlineLevel="0" collapsed="false">
      <c r="A409" s="53" t="s">
        <v>2376</v>
      </c>
      <c r="B409" s="53" t="s">
        <v>16</v>
      </c>
      <c r="C409" s="53" t="s">
        <v>3067</v>
      </c>
      <c r="D409" s="53" t="s">
        <v>3068</v>
      </c>
      <c r="E409" s="53" t="s">
        <v>3069</v>
      </c>
      <c r="F409" s="53" t="s">
        <v>3070</v>
      </c>
      <c r="G409" s="53" t="s">
        <v>3071</v>
      </c>
      <c r="I409" s="53" t="s">
        <v>1754</v>
      </c>
    </row>
    <row r="410" customFormat="false" ht="11.25" hidden="false" customHeight="true" outlineLevel="0" collapsed="false">
      <c r="A410" s="53" t="s">
        <v>2376</v>
      </c>
      <c r="B410" s="53" t="s">
        <v>16</v>
      </c>
      <c r="C410" s="53" t="s">
        <v>3072</v>
      </c>
      <c r="D410" s="53" t="s">
        <v>3073</v>
      </c>
      <c r="E410" s="53" t="s">
        <v>3074</v>
      </c>
      <c r="F410" s="53" t="s">
        <v>2414</v>
      </c>
      <c r="I410" s="53" t="s">
        <v>1754</v>
      </c>
    </row>
    <row r="411" customFormat="false" ht="11.25" hidden="false" customHeight="true" outlineLevel="0" collapsed="false">
      <c r="A411" s="53" t="s">
        <v>2376</v>
      </c>
      <c r="B411" s="53" t="s">
        <v>16</v>
      </c>
      <c r="C411" s="53" t="s">
        <v>3075</v>
      </c>
      <c r="D411" s="53" t="s">
        <v>3076</v>
      </c>
      <c r="E411" s="53" t="s">
        <v>3077</v>
      </c>
      <c r="F411" s="53" t="s">
        <v>2521</v>
      </c>
      <c r="G411" s="53" t="s">
        <v>3078</v>
      </c>
      <c r="I411" s="53" t="s">
        <v>1754</v>
      </c>
    </row>
    <row r="412" customFormat="false" ht="11.25" hidden="false" customHeight="true" outlineLevel="0" collapsed="false">
      <c r="A412" s="53" t="s">
        <v>2376</v>
      </c>
      <c r="B412" s="53" t="s">
        <v>16</v>
      </c>
      <c r="C412" s="53" t="s">
        <v>3079</v>
      </c>
      <c r="D412" s="53" t="s">
        <v>3080</v>
      </c>
      <c r="E412" s="53" t="s">
        <v>3081</v>
      </c>
      <c r="F412" s="53" t="s">
        <v>2442</v>
      </c>
      <c r="I412" s="53" t="s">
        <v>1754</v>
      </c>
    </row>
    <row r="413" customFormat="false" ht="11.25" hidden="false" customHeight="true" outlineLevel="0" collapsed="false">
      <c r="A413" s="53" t="s">
        <v>2376</v>
      </c>
      <c r="B413" s="53" t="s">
        <v>16</v>
      </c>
      <c r="C413" s="53" t="s">
        <v>3082</v>
      </c>
      <c r="D413" s="53" t="s">
        <v>3083</v>
      </c>
      <c r="E413" s="53" t="s">
        <v>3084</v>
      </c>
      <c r="F413" s="53" t="s">
        <v>2414</v>
      </c>
      <c r="G413" s="53" t="s">
        <v>3085</v>
      </c>
      <c r="I413" s="53" t="s">
        <v>1754</v>
      </c>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9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cols>
    <col collapsed="false" customWidth="true" hidden="false" outlineLevel="0" max="1" min="1" style="53" width="9.14"/>
  </cols>
  <sheetData>
    <row r="1" customFormat="false" ht="11.25" hidden="false" customHeight="true" outlineLevel="0" collapsed="false">
      <c r="A1" s="53" t="s">
        <v>3086</v>
      </c>
      <c r="B1" s="174" t="s">
        <v>3087</v>
      </c>
      <c r="C1" s="174" t="s">
        <v>3088</v>
      </c>
      <c r="D1" s="174" t="s">
        <v>3089</v>
      </c>
      <c r="E1" s="174" t="s">
        <v>3090</v>
      </c>
      <c r="F1" s="174" t="s">
        <v>3091</v>
      </c>
      <c r="G1" s="174" t="s">
        <v>3092</v>
      </c>
    </row>
    <row r="2" customFormat="false" ht="11.25" hidden="false" customHeight="true" outlineLevel="0" collapsed="false">
      <c r="A2" s="53" t="s">
        <v>16</v>
      </c>
      <c r="B2" s="53" t="s">
        <v>3093</v>
      </c>
      <c r="C2" s="53" t="s">
        <v>3094</v>
      </c>
      <c r="D2" s="53" t="s">
        <v>3095</v>
      </c>
      <c r="E2" s="53" t="s">
        <v>3096</v>
      </c>
      <c r="F2" s="53" t="s">
        <v>3097</v>
      </c>
      <c r="G2" s="53" t="s">
        <v>120</v>
      </c>
    </row>
    <row r="3" customFormat="false" ht="11.25" hidden="false" customHeight="true" outlineLevel="0" collapsed="false">
      <c r="A3" s="53" t="s">
        <v>16</v>
      </c>
      <c r="B3" s="53" t="s">
        <v>3093</v>
      </c>
      <c r="C3" s="53" t="s">
        <v>3094</v>
      </c>
      <c r="D3" s="53" t="s">
        <v>3093</v>
      </c>
      <c r="E3" s="53" t="s">
        <v>3094</v>
      </c>
      <c r="F3" s="53" t="s">
        <v>3098</v>
      </c>
      <c r="G3" s="53" t="s">
        <v>102</v>
      </c>
    </row>
    <row r="4" customFormat="false" ht="11.25" hidden="false" customHeight="true" outlineLevel="0" collapsed="false">
      <c r="A4" s="53" t="s">
        <v>16</v>
      </c>
      <c r="B4" s="53" t="s">
        <v>3093</v>
      </c>
      <c r="C4" s="53" t="s">
        <v>3094</v>
      </c>
      <c r="D4" s="53" t="s">
        <v>3099</v>
      </c>
      <c r="E4" s="53" t="s">
        <v>3100</v>
      </c>
      <c r="F4" s="53" t="s">
        <v>3097</v>
      </c>
      <c r="G4" s="53" t="s">
        <v>89</v>
      </c>
    </row>
    <row r="5" customFormat="false" ht="11.25" hidden="false" customHeight="true" outlineLevel="0" collapsed="false">
      <c r="A5" s="53" t="s">
        <v>16</v>
      </c>
      <c r="B5" s="53" t="s">
        <v>3093</v>
      </c>
      <c r="C5" s="53" t="s">
        <v>3094</v>
      </c>
      <c r="D5" s="53" t="s">
        <v>3101</v>
      </c>
      <c r="E5" s="53" t="s">
        <v>3102</v>
      </c>
      <c r="F5" s="53" t="s">
        <v>3097</v>
      </c>
      <c r="G5" s="53" t="s">
        <v>90</v>
      </c>
    </row>
    <row r="6" customFormat="false" ht="11.25" hidden="false" customHeight="true" outlineLevel="0" collapsed="false">
      <c r="A6" s="53" t="s">
        <v>16</v>
      </c>
      <c r="B6" s="53" t="s">
        <v>3103</v>
      </c>
      <c r="C6" s="53" t="s">
        <v>3104</v>
      </c>
      <c r="D6" s="53" t="s">
        <v>3105</v>
      </c>
      <c r="E6" s="53" t="s">
        <v>3106</v>
      </c>
      <c r="F6" s="53" t="s">
        <v>3097</v>
      </c>
      <c r="G6" s="53" t="s">
        <v>121</v>
      </c>
    </row>
    <row r="7" customFormat="false" ht="11.25" hidden="false" customHeight="true" outlineLevel="0" collapsed="false">
      <c r="A7" s="53" t="s">
        <v>16</v>
      </c>
      <c r="B7" s="53" t="s">
        <v>3103</v>
      </c>
      <c r="C7" s="53" t="s">
        <v>3104</v>
      </c>
      <c r="D7" s="53" t="s">
        <v>3103</v>
      </c>
      <c r="E7" s="53" t="s">
        <v>3104</v>
      </c>
      <c r="F7" s="53" t="s">
        <v>3098</v>
      </c>
      <c r="G7" s="53" t="s">
        <v>91</v>
      </c>
    </row>
    <row r="8" customFormat="false" ht="11.25" hidden="false" customHeight="true" outlineLevel="0" collapsed="false">
      <c r="A8" s="53" t="s">
        <v>16</v>
      </c>
      <c r="B8" s="53" t="s">
        <v>3103</v>
      </c>
      <c r="C8" s="53" t="s">
        <v>3104</v>
      </c>
      <c r="D8" s="53" t="s">
        <v>3107</v>
      </c>
      <c r="E8" s="53" t="s">
        <v>3108</v>
      </c>
      <c r="F8" s="53" t="s">
        <v>3097</v>
      </c>
      <c r="G8" s="53" t="s">
        <v>92</v>
      </c>
    </row>
    <row r="9" customFormat="false" ht="11.25" hidden="false" customHeight="true" outlineLevel="0" collapsed="false">
      <c r="A9" s="53" t="s">
        <v>16</v>
      </c>
      <c r="B9" s="53" t="s">
        <v>3103</v>
      </c>
      <c r="C9" s="53" t="s">
        <v>3104</v>
      </c>
      <c r="D9" s="53" t="s">
        <v>3109</v>
      </c>
      <c r="E9" s="53" t="s">
        <v>3110</v>
      </c>
      <c r="F9" s="53" t="s">
        <v>3097</v>
      </c>
      <c r="G9" s="53" t="s">
        <v>122</v>
      </c>
    </row>
    <row r="10" customFormat="false" ht="11.25" hidden="false" customHeight="true" outlineLevel="0" collapsed="false">
      <c r="A10" s="53" t="s">
        <v>16</v>
      </c>
      <c r="B10" s="53" t="s">
        <v>3103</v>
      </c>
      <c r="C10" s="53" t="s">
        <v>3104</v>
      </c>
      <c r="D10" s="53" t="s">
        <v>3111</v>
      </c>
      <c r="E10" s="53" t="s">
        <v>3112</v>
      </c>
      <c r="F10" s="53" t="s">
        <v>3097</v>
      </c>
      <c r="G10" s="53" t="s">
        <v>163</v>
      </c>
    </row>
    <row r="11" customFormat="false" ht="11.25" hidden="false" customHeight="true" outlineLevel="0" collapsed="false">
      <c r="A11" s="53" t="s">
        <v>16</v>
      </c>
      <c r="B11" s="53" t="s">
        <v>3103</v>
      </c>
      <c r="C11" s="53" t="s">
        <v>3104</v>
      </c>
      <c r="D11" s="53" t="s">
        <v>3113</v>
      </c>
      <c r="E11" s="53" t="s">
        <v>3114</v>
      </c>
      <c r="F11" s="53" t="s">
        <v>3097</v>
      </c>
      <c r="G11" s="53" t="s">
        <v>164</v>
      </c>
    </row>
    <row r="12" customFormat="false" ht="11.25" hidden="false" customHeight="true" outlineLevel="0" collapsed="false">
      <c r="A12" s="53" t="s">
        <v>16</v>
      </c>
      <c r="B12" s="53" t="s">
        <v>3115</v>
      </c>
      <c r="C12" s="53" t="s">
        <v>3116</v>
      </c>
      <c r="D12" s="53" t="s">
        <v>3115</v>
      </c>
      <c r="E12" s="53" t="s">
        <v>3116</v>
      </c>
      <c r="F12" s="53" t="s">
        <v>3098</v>
      </c>
      <c r="G12" s="53" t="s">
        <v>165</v>
      </c>
    </row>
    <row r="13" customFormat="false" ht="11.25" hidden="false" customHeight="true" outlineLevel="0" collapsed="false">
      <c r="A13" s="53" t="s">
        <v>16</v>
      </c>
      <c r="B13" s="53" t="s">
        <v>3115</v>
      </c>
      <c r="C13" s="53" t="s">
        <v>3116</v>
      </c>
      <c r="D13" s="53" t="s">
        <v>3117</v>
      </c>
      <c r="E13" s="53" t="s">
        <v>3118</v>
      </c>
      <c r="F13" s="53" t="s">
        <v>3097</v>
      </c>
      <c r="G13" s="53" t="s">
        <v>166</v>
      </c>
    </row>
    <row r="14" customFormat="false" ht="11.25" hidden="false" customHeight="true" outlineLevel="0" collapsed="false">
      <c r="A14" s="53" t="s">
        <v>16</v>
      </c>
      <c r="B14" s="53" t="s">
        <v>3115</v>
      </c>
      <c r="C14" s="53" t="s">
        <v>3116</v>
      </c>
      <c r="D14" s="53" t="s">
        <v>3119</v>
      </c>
      <c r="E14" s="53" t="s">
        <v>3120</v>
      </c>
      <c r="F14" s="53" t="s">
        <v>3097</v>
      </c>
      <c r="G14" s="53" t="s">
        <v>167</v>
      </c>
    </row>
    <row r="15" customFormat="false" ht="11.25" hidden="false" customHeight="true" outlineLevel="0" collapsed="false">
      <c r="A15" s="53" t="s">
        <v>16</v>
      </c>
      <c r="B15" s="53" t="s">
        <v>3115</v>
      </c>
      <c r="C15" s="53" t="s">
        <v>3116</v>
      </c>
      <c r="D15" s="53" t="s">
        <v>3121</v>
      </c>
      <c r="E15" s="53" t="s">
        <v>3122</v>
      </c>
      <c r="F15" s="53" t="s">
        <v>3097</v>
      </c>
      <c r="G15" s="53" t="s">
        <v>168</v>
      </c>
    </row>
    <row r="16" customFormat="false" ht="11.25" hidden="false" customHeight="true" outlineLevel="0" collapsed="false">
      <c r="A16" s="53" t="s">
        <v>16</v>
      </c>
      <c r="B16" s="53" t="s">
        <v>3123</v>
      </c>
      <c r="C16" s="53" t="s">
        <v>3124</v>
      </c>
      <c r="D16" s="53" t="s">
        <v>3125</v>
      </c>
      <c r="E16" s="53" t="s">
        <v>3126</v>
      </c>
      <c r="F16" s="53" t="s">
        <v>3097</v>
      </c>
      <c r="G16" s="53" t="s">
        <v>1094</v>
      </c>
    </row>
    <row r="17" customFormat="false" ht="11.25" hidden="false" customHeight="true" outlineLevel="0" collapsed="false">
      <c r="A17" s="53" t="s">
        <v>16</v>
      </c>
      <c r="B17" s="53" t="s">
        <v>3123</v>
      </c>
      <c r="C17" s="53" t="s">
        <v>3124</v>
      </c>
      <c r="D17" s="53" t="s">
        <v>3123</v>
      </c>
      <c r="E17" s="53" t="s">
        <v>3124</v>
      </c>
      <c r="F17" s="53" t="s">
        <v>3098</v>
      </c>
      <c r="G17" s="53" t="s">
        <v>1100</v>
      </c>
    </row>
    <row r="18" customFormat="false" ht="11.25" hidden="false" customHeight="true" outlineLevel="0" collapsed="false">
      <c r="A18" s="53" t="s">
        <v>16</v>
      </c>
      <c r="B18" s="53" t="s">
        <v>3123</v>
      </c>
      <c r="C18" s="53" t="s">
        <v>3124</v>
      </c>
      <c r="D18" s="53" t="s">
        <v>3127</v>
      </c>
      <c r="E18" s="53" t="s">
        <v>3128</v>
      </c>
      <c r="F18" s="53" t="s">
        <v>3129</v>
      </c>
      <c r="G18" s="53" t="s">
        <v>1102</v>
      </c>
    </row>
    <row r="19" customFormat="false" ht="11.25" hidden="false" customHeight="true" outlineLevel="0" collapsed="false">
      <c r="A19" s="53" t="s">
        <v>16</v>
      </c>
      <c r="B19" s="53" t="s">
        <v>3123</v>
      </c>
      <c r="C19" s="53" t="s">
        <v>3124</v>
      </c>
      <c r="D19" s="53" t="s">
        <v>3130</v>
      </c>
      <c r="E19" s="53" t="s">
        <v>3131</v>
      </c>
      <c r="F19" s="53" t="s">
        <v>3097</v>
      </c>
      <c r="G19" s="53" t="s">
        <v>1111</v>
      </c>
    </row>
    <row r="20" customFormat="false" ht="11.25" hidden="false" customHeight="true" outlineLevel="0" collapsed="false">
      <c r="A20" s="53" t="s">
        <v>16</v>
      </c>
      <c r="B20" s="53" t="s">
        <v>3123</v>
      </c>
      <c r="C20" s="53" t="s">
        <v>3124</v>
      </c>
      <c r="D20" s="53" t="s">
        <v>3132</v>
      </c>
      <c r="E20" s="53" t="s">
        <v>3133</v>
      </c>
      <c r="F20" s="53" t="s">
        <v>3097</v>
      </c>
      <c r="G20" s="53" t="s">
        <v>1114</v>
      </c>
    </row>
    <row r="21" customFormat="false" ht="11.25" hidden="false" customHeight="true" outlineLevel="0" collapsed="false">
      <c r="A21" s="53" t="s">
        <v>16</v>
      </c>
      <c r="B21" s="53" t="s">
        <v>3123</v>
      </c>
      <c r="C21" s="53" t="s">
        <v>3124</v>
      </c>
      <c r="D21" s="53" t="s">
        <v>3134</v>
      </c>
      <c r="E21" s="53" t="s">
        <v>3135</v>
      </c>
      <c r="F21" s="53" t="s">
        <v>3097</v>
      </c>
      <c r="G21" s="53" t="s">
        <v>1116</v>
      </c>
    </row>
    <row r="22" customFormat="false" ht="11.25" hidden="false" customHeight="true" outlineLevel="0" collapsed="false">
      <c r="A22" s="53" t="s">
        <v>16</v>
      </c>
      <c r="B22" s="53" t="s">
        <v>3136</v>
      </c>
      <c r="C22" s="53" t="s">
        <v>3137</v>
      </c>
      <c r="D22" s="53" t="s">
        <v>3138</v>
      </c>
      <c r="E22" s="53" t="s">
        <v>3139</v>
      </c>
      <c r="F22" s="53" t="s">
        <v>3129</v>
      </c>
      <c r="G22" s="53" t="s">
        <v>1124</v>
      </c>
    </row>
    <row r="23" customFormat="false" ht="11.25" hidden="false" customHeight="true" outlineLevel="0" collapsed="false">
      <c r="A23" s="53" t="s">
        <v>16</v>
      </c>
      <c r="B23" s="53" t="s">
        <v>3136</v>
      </c>
      <c r="C23" s="53" t="s">
        <v>3137</v>
      </c>
      <c r="D23" s="53" t="s">
        <v>3136</v>
      </c>
      <c r="E23" s="53" t="s">
        <v>3137</v>
      </c>
      <c r="F23" s="53" t="s">
        <v>3098</v>
      </c>
      <c r="G23" s="53" t="s">
        <v>1126</v>
      </c>
    </row>
    <row r="24" customFormat="false" ht="11.25" hidden="false" customHeight="true" outlineLevel="0" collapsed="false">
      <c r="A24" s="53" t="s">
        <v>16</v>
      </c>
      <c r="B24" s="53" t="s">
        <v>3136</v>
      </c>
      <c r="C24" s="53" t="s">
        <v>3137</v>
      </c>
      <c r="D24" s="53" t="s">
        <v>3140</v>
      </c>
      <c r="E24" s="53" t="s">
        <v>3141</v>
      </c>
      <c r="F24" s="53" t="s">
        <v>3097</v>
      </c>
      <c r="G24" s="53" t="s">
        <v>1128</v>
      </c>
    </row>
    <row r="25" customFormat="false" ht="11.25" hidden="false" customHeight="true" outlineLevel="0" collapsed="false">
      <c r="A25" s="53" t="s">
        <v>16</v>
      </c>
      <c r="B25" s="53" t="s">
        <v>3136</v>
      </c>
      <c r="C25" s="53" t="s">
        <v>3137</v>
      </c>
      <c r="D25" s="53" t="s">
        <v>3142</v>
      </c>
      <c r="E25" s="53" t="s">
        <v>3143</v>
      </c>
      <c r="F25" s="53" t="s">
        <v>3097</v>
      </c>
      <c r="G25" s="53" t="s">
        <v>1130</v>
      </c>
    </row>
    <row r="26" customFormat="false" ht="11.25" hidden="false" customHeight="true" outlineLevel="0" collapsed="false">
      <c r="A26" s="53" t="s">
        <v>16</v>
      </c>
      <c r="B26" s="53" t="s">
        <v>3136</v>
      </c>
      <c r="C26" s="53" t="s">
        <v>3137</v>
      </c>
      <c r="D26" s="53" t="s">
        <v>3144</v>
      </c>
      <c r="E26" s="53" t="s">
        <v>3145</v>
      </c>
      <c r="F26" s="53" t="s">
        <v>3097</v>
      </c>
      <c r="G26" s="53" t="s">
        <v>1132</v>
      </c>
    </row>
    <row r="27" customFormat="false" ht="11.25" hidden="false" customHeight="true" outlineLevel="0" collapsed="false">
      <c r="A27" s="53" t="s">
        <v>16</v>
      </c>
      <c r="B27" s="53" t="s">
        <v>3146</v>
      </c>
      <c r="C27" s="53" t="s">
        <v>3147</v>
      </c>
      <c r="D27" s="53" t="s">
        <v>3148</v>
      </c>
      <c r="E27" s="53" t="s">
        <v>3149</v>
      </c>
      <c r="F27" s="53" t="s">
        <v>3097</v>
      </c>
      <c r="G27" s="53" t="s">
        <v>1134</v>
      </c>
    </row>
    <row r="28" customFormat="false" ht="11.25" hidden="false" customHeight="true" outlineLevel="0" collapsed="false">
      <c r="A28" s="53" t="s">
        <v>16</v>
      </c>
      <c r="B28" s="53" t="s">
        <v>3146</v>
      </c>
      <c r="C28" s="53" t="s">
        <v>3147</v>
      </c>
      <c r="D28" s="53" t="s">
        <v>3150</v>
      </c>
      <c r="E28" s="53" t="s">
        <v>3151</v>
      </c>
      <c r="F28" s="53" t="s">
        <v>3129</v>
      </c>
      <c r="G28" s="53" t="s">
        <v>1148</v>
      </c>
    </row>
    <row r="29" customFormat="false" ht="11.25" hidden="false" customHeight="true" outlineLevel="0" collapsed="false">
      <c r="A29" s="53" t="s">
        <v>16</v>
      </c>
      <c r="B29" s="53" t="s">
        <v>3146</v>
      </c>
      <c r="C29" s="53" t="s">
        <v>3147</v>
      </c>
      <c r="D29" s="53" t="s">
        <v>3152</v>
      </c>
      <c r="E29" s="53" t="s">
        <v>3153</v>
      </c>
      <c r="F29" s="53" t="s">
        <v>3097</v>
      </c>
      <c r="G29" s="53" t="s">
        <v>1149</v>
      </c>
    </row>
    <row r="30" customFormat="false" ht="11.25" hidden="false" customHeight="true" outlineLevel="0" collapsed="false">
      <c r="A30" s="53" t="s">
        <v>16</v>
      </c>
      <c r="B30" s="53" t="s">
        <v>3146</v>
      </c>
      <c r="C30" s="53" t="s">
        <v>3147</v>
      </c>
      <c r="D30" s="53" t="s">
        <v>3146</v>
      </c>
      <c r="E30" s="53" t="s">
        <v>3147</v>
      </c>
      <c r="F30" s="53" t="s">
        <v>3098</v>
      </c>
      <c r="G30" s="53" t="s">
        <v>1150</v>
      </c>
    </row>
    <row r="31" customFormat="false" ht="11.25" hidden="false" customHeight="true" outlineLevel="0" collapsed="false">
      <c r="A31" s="53" t="s">
        <v>16</v>
      </c>
      <c r="B31" s="53" t="s">
        <v>3146</v>
      </c>
      <c r="C31" s="53" t="s">
        <v>3147</v>
      </c>
      <c r="D31" s="53" t="s">
        <v>3154</v>
      </c>
      <c r="E31" s="53" t="s">
        <v>3155</v>
      </c>
      <c r="F31" s="53" t="s">
        <v>3097</v>
      </c>
      <c r="G31" s="53" t="s">
        <v>1151</v>
      </c>
    </row>
    <row r="32" customFormat="false" ht="11.25" hidden="false" customHeight="true" outlineLevel="0" collapsed="false">
      <c r="A32" s="53" t="s">
        <v>16</v>
      </c>
      <c r="B32" s="53" t="s">
        <v>3156</v>
      </c>
      <c r="C32" s="53" t="s">
        <v>3157</v>
      </c>
      <c r="D32" s="53" t="s">
        <v>3158</v>
      </c>
      <c r="E32" s="53" t="s">
        <v>3159</v>
      </c>
      <c r="F32" s="53" t="s">
        <v>3129</v>
      </c>
      <c r="G32" s="53" t="s">
        <v>1152</v>
      </c>
    </row>
    <row r="33" customFormat="false" ht="11.25" hidden="false" customHeight="true" outlineLevel="0" collapsed="false">
      <c r="A33" s="53" t="s">
        <v>16</v>
      </c>
      <c r="B33" s="53" t="s">
        <v>3156</v>
      </c>
      <c r="C33" s="53" t="s">
        <v>3157</v>
      </c>
      <c r="D33" s="53" t="s">
        <v>3156</v>
      </c>
      <c r="E33" s="53" t="s">
        <v>3157</v>
      </c>
      <c r="F33" s="53" t="s">
        <v>3098</v>
      </c>
      <c r="G33" s="53" t="s">
        <v>1153</v>
      </c>
    </row>
    <row r="34" customFormat="false" ht="11.25" hidden="false" customHeight="true" outlineLevel="0" collapsed="false">
      <c r="A34" s="53" t="s">
        <v>16</v>
      </c>
      <c r="B34" s="53" t="s">
        <v>3156</v>
      </c>
      <c r="C34" s="53" t="s">
        <v>3157</v>
      </c>
      <c r="D34" s="53" t="s">
        <v>3160</v>
      </c>
      <c r="E34" s="53" t="s">
        <v>3161</v>
      </c>
      <c r="F34" s="53" t="s">
        <v>3097</v>
      </c>
      <c r="G34" s="53" t="s">
        <v>1722</v>
      </c>
    </row>
    <row r="35" customFormat="false" ht="11.25" hidden="false" customHeight="true" outlineLevel="0" collapsed="false">
      <c r="A35" s="53" t="s">
        <v>16</v>
      </c>
      <c r="B35" s="53" t="s">
        <v>3156</v>
      </c>
      <c r="C35" s="53" t="s">
        <v>3157</v>
      </c>
      <c r="D35" s="53" t="s">
        <v>3162</v>
      </c>
      <c r="E35" s="53" t="s">
        <v>3163</v>
      </c>
      <c r="F35" s="53" t="s">
        <v>3097</v>
      </c>
      <c r="G35" s="53" t="s">
        <v>1727</v>
      </c>
    </row>
    <row r="36" customFormat="false" ht="11.25" hidden="false" customHeight="true" outlineLevel="0" collapsed="false">
      <c r="A36" s="53" t="s">
        <v>16</v>
      </c>
      <c r="B36" s="53" t="s">
        <v>3164</v>
      </c>
      <c r="C36" s="53" t="s">
        <v>3165</v>
      </c>
      <c r="D36" s="53" t="s">
        <v>3166</v>
      </c>
      <c r="E36" s="53" t="s">
        <v>3167</v>
      </c>
      <c r="F36" s="53" t="s">
        <v>3097</v>
      </c>
      <c r="G36" s="53" t="s">
        <v>1732</v>
      </c>
    </row>
    <row r="37" customFormat="false" ht="11.25" hidden="false" customHeight="true" outlineLevel="0" collapsed="false">
      <c r="A37" s="53" t="s">
        <v>16</v>
      </c>
      <c r="B37" s="53" t="s">
        <v>3164</v>
      </c>
      <c r="C37" s="53" t="s">
        <v>3165</v>
      </c>
      <c r="D37" s="53" t="s">
        <v>3168</v>
      </c>
      <c r="E37" s="53" t="s">
        <v>3169</v>
      </c>
      <c r="F37" s="53" t="s">
        <v>3097</v>
      </c>
      <c r="G37" s="53" t="s">
        <v>1736</v>
      </c>
    </row>
    <row r="38" customFormat="false" ht="11.25" hidden="false" customHeight="true" outlineLevel="0" collapsed="false">
      <c r="A38" s="53" t="s">
        <v>16</v>
      </c>
      <c r="B38" s="53" t="s">
        <v>3164</v>
      </c>
      <c r="C38" s="53" t="s">
        <v>3165</v>
      </c>
      <c r="D38" s="53" t="s">
        <v>3164</v>
      </c>
      <c r="E38" s="53" t="s">
        <v>3165</v>
      </c>
      <c r="F38" s="53" t="s">
        <v>3098</v>
      </c>
      <c r="G38" s="53" t="s">
        <v>1744</v>
      </c>
    </row>
    <row r="39" customFormat="false" ht="11.25" hidden="false" customHeight="true" outlineLevel="0" collapsed="false">
      <c r="A39" s="53" t="s">
        <v>16</v>
      </c>
      <c r="B39" s="53" t="s">
        <v>3164</v>
      </c>
      <c r="C39" s="53" t="s">
        <v>3165</v>
      </c>
      <c r="D39" s="53" t="s">
        <v>3170</v>
      </c>
      <c r="E39" s="53" t="s">
        <v>3171</v>
      </c>
      <c r="F39" s="53" t="s">
        <v>3097</v>
      </c>
      <c r="G39" s="53" t="s">
        <v>1750</v>
      </c>
    </row>
    <row r="40" customFormat="false" ht="11.25" hidden="false" customHeight="true" outlineLevel="0" collapsed="false">
      <c r="A40" s="53" t="s">
        <v>16</v>
      </c>
      <c r="B40" s="53" t="s">
        <v>3164</v>
      </c>
      <c r="C40" s="53" t="s">
        <v>3165</v>
      </c>
      <c r="D40" s="53" t="s">
        <v>3172</v>
      </c>
      <c r="E40" s="53" t="s">
        <v>3173</v>
      </c>
      <c r="F40" s="53" t="s">
        <v>3097</v>
      </c>
      <c r="G40" s="53" t="s">
        <v>1755</v>
      </c>
    </row>
    <row r="41" customFormat="false" ht="11.25" hidden="false" customHeight="true" outlineLevel="0" collapsed="false">
      <c r="A41" s="53" t="s">
        <v>16</v>
      </c>
      <c r="B41" s="53" t="s">
        <v>3174</v>
      </c>
      <c r="C41" s="53" t="s">
        <v>3175</v>
      </c>
      <c r="D41" s="53" t="s">
        <v>3176</v>
      </c>
      <c r="E41" s="53" t="s">
        <v>3177</v>
      </c>
      <c r="F41" s="53" t="s">
        <v>3097</v>
      </c>
      <c r="G41" s="53" t="s">
        <v>1759</v>
      </c>
    </row>
    <row r="42" customFormat="false" ht="11.25" hidden="false" customHeight="true" outlineLevel="0" collapsed="false">
      <c r="A42" s="53" t="s">
        <v>16</v>
      </c>
      <c r="B42" s="53" t="s">
        <v>3174</v>
      </c>
      <c r="C42" s="53" t="s">
        <v>3175</v>
      </c>
      <c r="D42" s="53" t="s">
        <v>3178</v>
      </c>
      <c r="E42" s="53" t="s">
        <v>3179</v>
      </c>
      <c r="F42" s="53" t="s">
        <v>3097</v>
      </c>
      <c r="G42" s="53" t="s">
        <v>1762</v>
      </c>
    </row>
    <row r="43" customFormat="false" ht="11.25" hidden="false" customHeight="true" outlineLevel="0" collapsed="false">
      <c r="A43" s="53" t="s">
        <v>16</v>
      </c>
      <c r="B43" s="53" t="s">
        <v>3174</v>
      </c>
      <c r="C43" s="53" t="s">
        <v>3175</v>
      </c>
      <c r="D43" s="53" t="s">
        <v>3174</v>
      </c>
      <c r="E43" s="53" t="s">
        <v>3175</v>
      </c>
      <c r="F43" s="53" t="s">
        <v>3098</v>
      </c>
      <c r="G43" s="53" t="s">
        <v>1769</v>
      </c>
    </row>
    <row r="44" customFormat="false" ht="11.25" hidden="false" customHeight="true" outlineLevel="0" collapsed="false">
      <c r="A44" s="53" t="s">
        <v>16</v>
      </c>
      <c r="B44" s="53" t="s">
        <v>3174</v>
      </c>
      <c r="C44" s="53" t="s">
        <v>3175</v>
      </c>
      <c r="D44" s="53" t="s">
        <v>3180</v>
      </c>
      <c r="E44" s="53" t="s">
        <v>3181</v>
      </c>
      <c r="F44" s="53" t="s">
        <v>3097</v>
      </c>
      <c r="G44" s="53" t="s">
        <v>1778</v>
      </c>
    </row>
    <row r="45" customFormat="false" ht="11.25" hidden="false" customHeight="true" outlineLevel="0" collapsed="false">
      <c r="A45" s="53" t="s">
        <v>16</v>
      </c>
      <c r="B45" s="53" t="s">
        <v>3182</v>
      </c>
      <c r="C45" s="53" t="s">
        <v>3183</v>
      </c>
      <c r="D45" s="53" t="s">
        <v>3184</v>
      </c>
      <c r="E45" s="53" t="s">
        <v>3185</v>
      </c>
      <c r="F45" s="53" t="s">
        <v>3186</v>
      </c>
      <c r="G45" s="53" t="s">
        <v>1783</v>
      </c>
    </row>
    <row r="46" customFormat="false" ht="11.25" hidden="false" customHeight="true" outlineLevel="0" collapsed="false">
      <c r="A46" s="53" t="s">
        <v>16</v>
      </c>
      <c r="B46" s="53" t="s">
        <v>3182</v>
      </c>
      <c r="C46" s="53" t="s">
        <v>3183</v>
      </c>
      <c r="D46" s="53" t="s">
        <v>3187</v>
      </c>
      <c r="E46" s="53" t="s">
        <v>3188</v>
      </c>
      <c r="F46" s="53" t="s">
        <v>3097</v>
      </c>
      <c r="G46" s="53" t="s">
        <v>1787</v>
      </c>
    </row>
    <row r="47" customFormat="false" ht="11.25" hidden="false" customHeight="true" outlineLevel="0" collapsed="false">
      <c r="A47" s="53" t="s">
        <v>16</v>
      </c>
      <c r="B47" s="53" t="s">
        <v>3182</v>
      </c>
      <c r="C47" s="53" t="s">
        <v>3183</v>
      </c>
      <c r="D47" s="53" t="s">
        <v>3182</v>
      </c>
      <c r="E47" s="53" t="s">
        <v>3183</v>
      </c>
      <c r="F47" s="53" t="s">
        <v>3098</v>
      </c>
      <c r="G47" s="53" t="s">
        <v>1792</v>
      </c>
    </row>
    <row r="48" customFormat="false" ht="11.25" hidden="false" customHeight="true" outlineLevel="0" collapsed="false">
      <c r="A48" s="53" t="s">
        <v>16</v>
      </c>
      <c r="B48" s="53" t="s">
        <v>3182</v>
      </c>
      <c r="C48" s="53" t="s">
        <v>3183</v>
      </c>
      <c r="D48" s="53" t="s">
        <v>3189</v>
      </c>
      <c r="E48" s="53" t="s">
        <v>3190</v>
      </c>
      <c r="F48" s="53" t="s">
        <v>3097</v>
      </c>
      <c r="G48" s="53" t="s">
        <v>1797</v>
      </c>
    </row>
    <row r="49" customFormat="false" ht="11.25" hidden="false" customHeight="true" outlineLevel="0" collapsed="false">
      <c r="A49" s="53" t="s">
        <v>16</v>
      </c>
      <c r="B49" s="53" t="s">
        <v>3191</v>
      </c>
      <c r="C49" s="53" t="s">
        <v>3192</v>
      </c>
      <c r="D49" s="53" t="s">
        <v>3193</v>
      </c>
      <c r="E49" s="53" t="s">
        <v>3194</v>
      </c>
      <c r="F49" s="53" t="s">
        <v>3097</v>
      </c>
      <c r="G49" s="53" t="s">
        <v>1800</v>
      </c>
    </row>
    <row r="50" customFormat="false" ht="11.25" hidden="false" customHeight="true" outlineLevel="0" collapsed="false">
      <c r="A50" s="53" t="s">
        <v>16</v>
      </c>
      <c r="B50" s="53" t="s">
        <v>3191</v>
      </c>
      <c r="C50" s="53" t="s">
        <v>3192</v>
      </c>
      <c r="D50" s="53" t="s">
        <v>3195</v>
      </c>
      <c r="E50" s="53" t="s">
        <v>3196</v>
      </c>
      <c r="F50" s="53" t="s">
        <v>3129</v>
      </c>
      <c r="G50" s="53" t="s">
        <v>1804</v>
      </c>
    </row>
    <row r="51" customFormat="false" ht="11.25" hidden="false" customHeight="true" outlineLevel="0" collapsed="false">
      <c r="A51" s="53" t="s">
        <v>16</v>
      </c>
      <c r="B51" s="53" t="s">
        <v>3191</v>
      </c>
      <c r="C51" s="53" t="s">
        <v>3192</v>
      </c>
      <c r="D51" s="53" t="s">
        <v>3152</v>
      </c>
      <c r="E51" s="53" t="s">
        <v>3197</v>
      </c>
      <c r="F51" s="53" t="s">
        <v>3097</v>
      </c>
      <c r="G51" s="53" t="s">
        <v>1809</v>
      </c>
    </row>
    <row r="52" customFormat="false" ht="11.25" hidden="false" customHeight="true" outlineLevel="0" collapsed="false">
      <c r="A52" s="53" t="s">
        <v>16</v>
      </c>
      <c r="B52" s="53" t="s">
        <v>3191</v>
      </c>
      <c r="C52" s="53" t="s">
        <v>3192</v>
      </c>
      <c r="D52" s="53" t="s">
        <v>3198</v>
      </c>
      <c r="E52" s="53" t="s">
        <v>3199</v>
      </c>
      <c r="F52" s="53" t="s">
        <v>3097</v>
      </c>
      <c r="G52" s="53" t="s">
        <v>1813</v>
      </c>
    </row>
    <row r="53" customFormat="false" ht="11.25" hidden="false" customHeight="true" outlineLevel="0" collapsed="false">
      <c r="A53" s="53" t="s">
        <v>16</v>
      </c>
      <c r="B53" s="53" t="s">
        <v>3191</v>
      </c>
      <c r="C53" s="53" t="s">
        <v>3192</v>
      </c>
      <c r="D53" s="53" t="s">
        <v>3191</v>
      </c>
      <c r="E53" s="53" t="s">
        <v>3192</v>
      </c>
      <c r="F53" s="53" t="s">
        <v>3098</v>
      </c>
      <c r="G53" s="53" t="s">
        <v>1815</v>
      </c>
    </row>
    <row r="54" customFormat="false" ht="11.25" hidden="false" customHeight="true" outlineLevel="0" collapsed="false">
      <c r="A54" s="53" t="s">
        <v>16</v>
      </c>
      <c r="B54" s="53" t="s">
        <v>3191</v>
      </c>
      <c r="C54" s="53" t="s">
        <v>3192</v>
      </c>
      <c r="D54" s="53" t="s">
        <v>3200</v>
      </c>
      <c r="E54" s="53" t="s">
        <v>3201</v>
      </c>
      <c r="F54" s="53" t="s">
        <v>3097</v>
      </c>
      <c r="G54" s="53" t="s">
        <v>1818</v>
      </c>
    </row>
    <row r="55" customFormat="false" ht="11.25" hidden="false" customHeight="true" outlineLevel="0" collapsed="false">
      <c r="A55" s="53" t="s">
        <v>16</v>
      </c>
      <c r="B55" s="53" t="s">
        <v>106</v>
      </c>
      <c r="C55" s="53" t="s">
        <v>3202</v>
      </c>
      <c r="D55" s="53" t="s">
        <v>3203</v>
      </c>
      <c r="E55" s="53" t="s">
        <v>3204</v>
      </c>
      <c r="F55" s="53" t="s">
        <v>3129</v>
      </c>
      <c r="G55" s="53" t="s">
        <v>1823</v>
      </c>
    </row>
    <row r="56" customFormat="false" ht="11.25" hidden="false" customHeight="true" outlineLevel="0" collapsed="false">
      <c r="A56" s="53" t="s">
        <v>16</v>
      </c>
      <c r="B56" s="53" t="s">
        <v>106</v>
      </c>
      <c r="C56" s="53" t="s">
        <v>3202</v>
      </c>
      <c r="D56" s="53" t="s">
        <v>3205</v>
      </c>
      <c r="E56" s="53" t="s">
        <v>3206</v>
      </c>
      <c r="F56" s="53" t="s">
        <v>3097</v>
      </c>
      <c r="G56" s="53" t="s">
        <v>1827</v>
      </c>
    </row>
    <row r="57" customFormat="false" ht="11.25" hidden="false" customHeight="true" outlineLevel="0" collapsed="false">
      <c r="A57" s="53" t="s">
        <v>16</v>
      </c>
      <c r="B57" s="53" t="s">
        <v>106</v>
      </c>
      <c r="C57" s="53" t="s">
        <v>3202</v>
      </c>
      <c r="D57" s="53" t="s">
        <v>3207</v>
      </c>
      <c r="E57" s="53" t="s">
        <v>3208</v>
      </c>
      <c r="F57" s="53" t="s">
        <v>3097</v>
      </c>
      <c r="G57" s="53" t="s">
        <v>1830</v>
      </c>
    </row>
    <row r="58" customFormat="false" ht="11.25" hidden="false" customHeight="true" outlineLevel="0" collapsed="false">
      <c r="A58" s="53" t="s">
        <v>16</v>
      </c>
      <c r="B58" s="53" t="s">
        <v>106</v>
      </c>
      <c r="C58" s="53" t="s">
        <v>3202</v>
      </c>
      <c r="D58" s="53" t="s">
        <v>3209</v>
      </c>
      <c r="E58" s="53" t="s">
        <v>3210</v>
      </c>
      <c r="F58" s="53" t="s">
        <v>3097</v>
      </c>
      <c r="G58" s="53" t="s">
        <v>1833</v>
      </c>
    </row>
    <row r="59" customFormat="false" ht="11.25" hidden="false" customHeight="true" outlineLevel="0" collapsed="false">
      <c r="A59" s="53" t="s">
        <v>16</v>
      </c>
      <c r="B59" s="53" t="s">
        <v>106</v>
      </c>
      <c r="C59" s="53" t="s">
        <v>3202</v>
      </c>
      <c r="D59" s="53" t="s">
        <v>106</v>
      </c>
      <c r="E59" s="53" t="s">
        <v>3202</v>
      </c>
      <c r="F59" s="53" t="s">
        <v>3098</v>
      </c>
      <c r="G59" s="53" t="s">
        <v>1837</v>
      </c>
    </row>
    <row r="60" customFormat="false" ht="11.25" hidden="false" customHeight="true" outlineLevel="0" collapsed="false">
      <c r="A60" s="53" t="s">
        <v>16</v>
      </c>
      <c r="B60" s="53" t="s">
        <v>106</v>
      </c>
      <c r="C60" s="53" t="s">
        <v>3202</v>
      </c>
      <c r="D60" s="53" t="s">
        <v>107</v>
      </c>
      <c r="E60" s="53" t="s">
        <v>108</v>
      </c>
      <c r="F60" s="53" t="s">
        <v>3097</v>
      </c>
      <c r="G60" s="53" t="s">
        <v>105</v>
      </c>
    </row>
    <row r="61" customFormat="false" ht="11.25" hidden="false" customHeight="true" outlineLevel="0" collapsed="false">
      <c r="A61" s="53" t="s">
        <v>16</v>
      </c>
      <c r="B61" s="53" t="s">
        <v>3211</v>
      </c>
      <c r="C61" s="53" t="s">
        <v>3212</v>
      </c>
      <c r="D61" s="53" t="s">
        <v>3213</v>
      </c>
      <c r="E61" s="53" t="s">
        <v>3214</v>
      </c>
      <c r="F61" s="53" t="s">
        <v>3097</v>
      </c>
      <c r="G61" s="53" t="s">
        <v>3215</v>
      </c>
    </row>
    <row r="62" customFormat="false" ht="11.25" hidden="false" customHeight="true" outlineLevel="0" collapsed="false">
      <c r="A62" s="53" t="s">
        <v>16</v>
      </c>
      <c r="B62" s="53" t="s">
        <v>3211</v>
      </c>
      <c r="C62" s="53" t="s">
        <v>3212</v>
      </c>
      <c r="D62" s="53" t="s">
        <v>3168</v>
      </c>
      <c r="E62" s="53" t="s">
        <v>3216</v>
      </c>
      <c r="F62" s="53" t="s">
        <v>3097</v>
      </c>
      <c r="G62" s="53" t="s">
        <v>3217</v>
      </c>
    </row>
    <row r="63" customFormat="false" ht="11.25" hidden="false" customHeight="true" outlineLevel="0" collapsed="false">
      <c r="A63" s="53" t="s">
        <v>16</v>
      </c>
      <c r="B63" s="53" t="s">
        <v>3211</v>
      </c>
      <c r="C63" s="53" t="s">
        <v>3212</v>
      </c>
      <c r="D63" s="53" t="s">
        <v>3218</v>
      </c>
      <c r="E63" s="53" t="s">
        <v>3219</v>
      </c>
      <c r="F63" s="53" t="s">
        <v>3097</v>
      </c>
      <c r="G63" s="53" t="s">
        <v>3220</v>
      </c>
    </row>
    <row r="64" customFormat="false" ht="11.25" hidden="false" customHeight="true" outlineLevel="0" collapsed="false">
      <c r="A64" s="53" t="s">
        <v>16</v>
      </c>
      <c r="B64" s="53" t="s">
        <v>3211</v>
      </c>
      <c r="C64" s="53" t="s">
        <v>3212</v>
      </c>
      <c r="D64" s="53" t="s">
        <v>3221</v>
      </c>
      <c r="E64" s="53" t="s">
        <v>3222</v>
      </c>
      <c r="F64" s="53" t="s">
        <v>3097</v>
      </c>
      <c r="G64" s="53" t="s">
        <v>3223</v>
      </c>
    </row>
    <row r="65" customFormat="false" ht="11.25" hidden="false" customHeight="true" outlineLevel="0" collapsed="false">
      <c r="A65" s="53" t="s">
        <v>16</v>
      </c>
      <c r="B65" s="53" t="s">
        <v>3211</v>
      </c>
      <c r="C65" s="53" t="s">
        <v>3212</v>
      </c>
      <c r="D65" s="53" t="s">
        <v>3224</v>
      </c>
      <c r="E65" s="53" t="s">
        <v>3225</v>
      </c>
      <c r="F65" s="53" t="s">
        <v>3097</v>
      </c>
      <c r="G65" s="53" t="s">
        <v>3226</v>
      </c>
    </row>
    <row r="66" customFormat="false" ht="11.25" hidden="false" customHeight="true" outlineLevel="0" collapsed="false">
      <c r="A66" s="53" t="s">
        <v>16</v>
      </c>
      <c r="B66" s="53" t="s">
        <v>3211</v>
      </c>
      <c r="C66" s="53" t="s">
        <v>3212</v>
      </c>
      <c r="D66" s="53" t="s">
        <v>3227</v>
      </c>
      <c r="E66" s="53" t="s">
        <v>3228</v>
      </c>
      <c r="F66" s="53" t="s">
        <v>3097</v>
      </c>
      <c r="G66" s="53" t="s">
        <v>3229</v>
      </c>
    </row>
    <row r="67" customFormat="false" ht="11.25" hidden="false" customHeight="true" outlineLevel="0" collapsed="false">
      <c r="A67" s="53" t="s">
        <v>16</v>
      </c>
      <c r="B67" s="53" t="s">
        <v>3211</v>
      </c>
      <c r="C67" s="53" t="s">
        <v>3212</v>
      </c>
      <c r="D67" s="53" t="s">
        <v>3230</v>
      </c>
      <c r="E67" s="53" t="s">
        <v>3231</v>
      </c>
      <c r="F67" s="53" t="s">
        <v>3097</v>
      </c>
      <c r="G67" s="53" t="s">
        <v>2150</v>
      </c>
    </row>
    <row r="68" customFormat="false" ht="11.25" hidden="false" customHeight="true" outlineLevel="0" collapsed="false">
      <c r="A68" s="53" t="s">
        <v>16</v>
      </c>
      <c r="B68" s="53" t="s">
        <v>3211</v>
      </c>
      <c r="C68" s="53" t="s">
        <v>3212</v>
      </c>
      <c r="D68" s="53" t="s">
        <v>3172</v>
      </c>
      <c r="E68" s="53" t="s">
        <v>3232</v>
      </c>
      <c r="F68" s="53" t="s">
        <v>3097</v>
      </c>
      <c r="G68" s="53" t="s">
        <v>3233</v>
      </c>
    </row>
    <row r="69" customFormat="false" ht="11.25" hidden="false" customHeight="true" outlineLevel="0" collapsed="false">
      <c r="A69" s="53" t="s">
        <v>16</v>
      </c>
      <c r="B69" s="53" t="s">
        <v>3211</v>
      </c>
      <c r="C69" s="53" t="s">
        <v>3212</v>
      </c>
      <c r="D69" s="53" t="s">
        <v>3234</v>
      </c>
      <c r="E69" s="53" t="s">
        <v>3235</v>
      </c>
      <c r="F69" s="53" t="s">
        <v>3097</v>
      </c>
      <c r="G69" s="53" t="s">
        <v>2353</v>
      </c>
    </row>
    <row r="70" customFormat="false" ht="11.25" hidden="false" customHeight="true" outlineLevel="0" collapsed="false">
      <c r="A70" s="53" t="s">
        <v>16</v>
      </c>
      <c r="B70" s="53" t="s">
        <v>3211</v>
      </c>
      <c r="C70" s="53" t="s">
        <v>3212</v>
      </c>
      <c r="D70" s="53" t="s">
        <v>3211</v>
      </c>
      <c r="E70" s="53" t="s">
        <v>3212</v>
      </c>
      <c r="F70" s="53" t="s">
        <v>3098</v>
      </c>
      <c r="G70" s="53" t="s">
        <v>3236</v>
      </c>
    </row>
    <row r="71" customFormat="false" ht="11.25" hidden="false" customHeight="true" outlineLevel="0" collapsed="false">
      <c r="A71" s="53" t="s">
        <v>16</v>
      </c>
      <c r="B71" s="53" t="s">
        <v>3211</v>
      </c>
      <c r="C71" s="53" t="s">
        <v>3212</v>
      </c>
      <c r="D71" s="53" t="s">
        <v>3237</v>
      </c>
      <c r="E71" s="53" t="s">
        <v>3238</v>
      </c>
      <c r="F71" s="53" t="s">
        <v>3097</v>
      </c>
      <c r="G71" s="53" t="s">
        <v>3239</v>
      </c>
    </row>
    <row r="72" customFormat="false" ht="11.25" hidden="false" customHeight="true" outlineLevel="0" collapsed="false">
      <c r="A72" s="53" t="s">
        <v>16</v>
      </c>
      <c r="B72" s="53" t="s">
        <v>3211</v>
      </c>
      <c r="C72" s="53" t="s">
        <v>3212</v>
      </c>
      <c r="D72" s="53" t="s">
        <v>3240</v>
      </c>
      <c r="E72" s="53" t="s">
        <v>3241</v>
      </c>
      <c r="F72" s="53" t="s">
        <v>3097</v>
      </c>
      <c r="G72" s="53" t="s">
        <v>3242</v>
      </c>
    </row>
    <row r="73" customFormat="false" ht="11.25" hidden="false" customHeight="true" outlineLevel="0" collapsed="false">
      <c r="A73" s="53" t="s">
        <v>16</v>
      </c>
      <c r="B73" s="53" t="s">
        <v>3243</v>
      </c>
      <c r="C73" s="53" t="s">
        <v>3244</v>
      </c>
      <c r="D73" s="53" t="s">
        <v>3245</v>
      </c>
      <c r="E73" s="53" t="s">
        <v>3246</v>
      </c>
      <c r="F73" s="53" t="s">
        <v>3097</v>
      </c>
      <c r="G73" s="53" t="s">
        <v>3247</v>
      </c>
    </row>
    <row r="74" customFormat="false" ht="11.25" hidden="false" customHeight="true" outlineLevel="0" collapsed="false">
      <c r="A74" s="53" t="s">
        <v>16</v>
      </c>
      <c r="B74" s="53" t="s">
        <v>3243</v>
      </c>
      <c r="C74" s="53" t="s">
        <v>3244</v>
      </c>
      <c r="D74" s="53" t="s">
        <v>3248</v>
      </c>
      <c r="E74" s="53" t="s">
        <v>3249</v>
      </c>
      <c r="F74" s="53" t="s">
        <v>3129</v>
      </c>
      <c r="G74" s="53" t="s">
        <v>3250</v>
      </c>
    </row>
    <row r="75" customFormat="false" ht="11.25" hidden="false" customHeight="true" outlineLevel="0" collapsed="false">
      <c r="A75" s="53" t="s">
        <v>16</v>
      </c>
      <c r="B75" s="53" t="s">
        <v>3243</v>
      </c>
      <c r="C75" s="53" t="s">
        <v>3244</v>
      </c>
      <c r="D75" s="53" t="s">
        <v>3251</v>
      </c>
      <c r="E75" s="53" t="s">
        <v>3252</v>
      </c>
      <c r="F75" s="53" t="s">
        <v>3097</v>
      </c>
      <c r="G75" s="53" t="s">
        <v>3253</v>
      </c>
    </row>
    <row r="76" customFormat="false" ht="11.25" hidden="false" customHeight="true" outlineLevel="0" collapsed="false">
      <c r="A76" s="53" t="s">
        <v>16</v>
      </c>
      <c r="B76" s="53" t="s">
        <v>3243</v>
      </c>
      <c r="C76" s="53" t="s">
        <v>3244</v>
      </c>
      <c r="D76" s="53" t="s">
        <v>3254</v>
      </c>
      <c r="E76" s="53" t="s">
        <v>3255</v>
      </c>
      <c r="F76" s="53" t="s">
        <v>3097</v>
      </c>
      <c r="G76" s="53" t="s">
        <v>3256</v>
      </c>
    </row>
    <row r="77" customFormat="false" ht="11.25" hidden="false" customHeight="true" outlineLevel="0" collapsed="false">
      <c r="A77" s="53" t="s">
        <v>16</v>
      </c>
      <c r="B77" s="53" t="s">
        <v>3243</v>
      </c>
      <c r="C77" s="53" t="s">
        <v>3244</v>
      </c>
      <c r="D77" s="53" t="s">
        <v>3243</v>
      </c>
      <c r="E77" s="53" t="s">
        <v>3244</v>
      </c>
      <c r="F77" s="53" t="s">
        <v>3098</v>
      </c>
      <c r="G77" s="53" t="s">
        <v>3257</v>
      </c>
    </row>
    <row r="78" customFormat="false" ht="11.25" hidden="false" customHeight="true" outlineLevel="0" collapsed="false">
      <c r="A78" s="53" t="s">
        <v>16</v>
      </c>
      <c r="B78" s="53" t="s">
        <v>3243</v>
      </c>
      <c r="C78" s="53" t="s">
        <v>3244</v>
      </c>
      <c r="D78" s="53" t="s">
        <v>3258</v>
      </c>
      <c r="E78" s="53" t="s">
        <v>3259</v>
      </c>
      <c r="F78" s="53" t="s">
        <v>3097</v>
      </c>
      <c r="G78" s="53" t="s">
        <v>3260</v>
      </c>
    </row>
    <row r="79" customFormat="false" ht="11.25" hidden="false" customHeight="true" outlineLevel="0" collapsed="false">
      <c r="A79" s="53" t="s">
        <v>16</v>
      </c>
      <c r="B79" s="53" t="s">
        <v>111</v>
      </c>
      <c r="C79" s="53" t="s">
        <v>3261</v>
      </c>
      <c r="D79" s="53" t="s">
        <v>3262</v>
      </c>
      <c r="E79" s="53" t="s">
        <v>3263</v>
      </c>
      <c r="F79" s="53" t="s">
        <v>3097</v>
      </c>
      <c r="G79" s="53" t="s">
        <v>3264</v>
      </c>
    </row>
    <row r="80" customFormat="false" ht="11.25" hidden="false" customHeight="true" outlineLevel="0" collapsed="false">
      <c r="A80" s="53" t="s">
        <v>16</v>
      </c>
      <c r="B80" s="53" t="s">
        <v>111</v>
      </c>
      <c r="C80" s="53" t="s">
        <v>3261</v>
      </c>
      <c r="D80" s="53" t="s">
        <v>112</v>
      </c>
      <c r="E80" s="53" t="s">
        <v>113</v>
      </c>
      <c r="F80" s="53" t="s">
        <v>3129</v>
      </c>
      <c r="G80" s="53" t="s">
        <v>110</v>
      </c>
    </row>
    <row r="81" customFormat="false" ht="11.25" hidden="false" customHeight="true" outlineLevel="0" collapsed="false">
      <c r="A81" s="53" t="s">
        <v>16</v>
      </c>
      <c r="B81" s="53" t="s">
        <v>111</v>
      </c>
      <c r="C81" s="53" t="s">
        <v>3261</v>
      </c>
      <c r="D81" s="53" t="s">
        <v>3265</v>
      </c>
      <c r="E81" s="53" t="s">
        <v>3266</v>
      </c>
      <c r="F81" s="53" t="s">
        <v>3097</v>
      </c>
      <c r="G81" s="53" t="s">
        <v>3267</v>
      </c>
    </row>
    <row r="82" customFormat="false" ht="11.25" hidden="false" customHeight="true" outlineLevel="0" collapsed="false">
      <c r="A82" s="53" t="s">
        <v>16</v>
      </c>
      <c r="B82" s="53" t="s">
        <v>111</v>
      </c>
      <c r="C82" s="53" t="s">
        <v>3261</v>
      </c>
      <c r="D82" s="53" t="s">
        <v>3268</v>
      </c>
      <c r="E82" s="53" t="s">
        <v>3269</v>
      </c>
      <c r="F82" s="53" t="s">
        <v>3097</v>
      </c>
      <c r="G82" s="53" t="s">
        <v>3270</v>
      </c>
    </row>
    <row r="83" customFormat="false" ht="11.25" hidden="false" customHeight="true" outlineLevel="0" collapsed="false">
      <c r="A83" s="53" t="s">
        <v>16</v>
      </c>
      <c r="B83" s="53" t="s">
        <v>111</v>
      </c>
      <c r="C83" s="53" t="s">
        <v>3261</v>
      </c>
      <c r="D83" s="53" t="s">
        <v>3271</v>
      </c>
      <c r="E83" s="53" t="s">
        <v>3272</v>
      </c>
      <c r="F83" s="53" t="s">
        <v>3097</v>
      </c>
      <c r="G83" s="53" t="s">
        <v>3273</v>
      </c>
    </row>
    <row r="84" customFormat="false" ht="11.25" hidden="false" customHeight="true" outlineLevel="0" collapsed="false">
      <c r="A84" s="53" t="s">
        <v>16</v>
      </c>
      <c r="B84" s="53" t="s">
        <v>111</v>
      </c>
      <c r="C84" s="53" t="s">
        <v>3261</v>
      </c>
      <c r="D84" s="53" t="s">
        <v>111</v>
      </c>
      <c r="E84" s="53" t="s">
        <v>3261</v>
      </c>
      <c r="F84" s="53" t="s">
        <v>3098</v>
      </c>
      <c r="G84" s="53" t="s">
        <v>3274</v>
      </c>
    </row>
    <row r="85" customFormat="false" ht="11.25" hidden="false" customHeight="true" outlineLevel="0" collapsed="false">
      <c r="A85" s="53" t="s">
        <v>16</v>
      </c>
      <c r="B85" s="53" t="s">
        <v>111</v>
      </c>
      <c r="C85" s="53" t="s">
        <v>3261</v>
      </c>
      <c r="D85" s="53" t="s">
        <v>3275</v>
      </c>
      <c r="E85" s="53" t="s">
        <v>3276</v>
      </c>
      <c r="F85" s="53" t="s">
        <v>3097</v>
      </c>
      <c r="G85" s="53" t="s">
        <v>3277</v>
      </c>
    </row>
    <row r="86" customFormat="false" ht="11.25" hidden="false" customHeight="true" outlineLevel="0" collapsed="false">
      <c r="A86" s="53" t="s">
        <v>16</v>
      </c>
      <c r="B86" s="53" t="s">
        <v>3278</v>
      </c>
      <c r="C86" s="53" t="s">
        <v>3279</v>
      </c>
      <c r="D86" s="53" t="s">
        <v>3280</v>
      </c>
      <c r="E86" s="53" t="s">
        <v>3281</v>
      </c>
      <c r="F86" s="53" t="s">
        <v>3186</v>
      </c>
      <c r="G86" s="53" t="s">
        <v>3282</v>
      </c>
    </row>
    <row r="87" customFormat="false" ht="11.25" hidden="false" customHeight="true" outlineLevel="0" collapsed="false">
      <c r="A87" s="53" t="s">
        <v>16</v>
      </c>
      <c r="B87" s="53" t="s">
        <v>3278</v>
      </c>
      <c r="C87" s="53" t="s">
        <v>3279</v>
      </c>
      <c r="D87" s="53" t="s">
        <v>3283</v>
      </c>
      <c r="E87" s="53" t="s">
        <v>3284</v>
      </c>
      <c r="F87" s="53" t="s">
        <v>3097</v>
      </c>
      <c r="G87" s="53" t="s">
        <v>3285</v>
      </c>
    </row>
    <row r="88" customFormat="false" ht="11.25" hidden="false" customHeight="true" outlineLevel="0" collapsed="false">
      <c r="A88" s="53" t="s">
        <v>16</v>
      </c>
      <c r="B88" s="53" t="s">
        <v>3278</v>
      </c>
      <c r="C88" s="53" t="s">
        <v>3279</v>
      </c>
      <c r="D88" s="53" t="s">
        <v>3286</v>
      </c>
      <c r="E88" s="53" t="s">
        <v>3287</v>
      </c>
      <c r="F88" s="53" t="s">
        <v>3097</v>
      </c>
      <c r="G88" s="53" t="s">
        <v>3288</v>
      </c>
    </row>
    <row r="89" customFormat="false" ht="11.25" hidden="false" customHeight="true" outlineLevel="0" collapsed="false">
      <c r="A89" s="53" t="s">
        <v>16</v>
      </c>
      <c r="B89" s="53" t="s">
        <v>3278</v>
      </c>
      <c r="C89" s="53" t="s">
        <v>3279</v>
      </c>
      <c r="D89" s="53" t="s">
        <v>3289</v>
      </c>
      <c r="E89" s="53" t="s">
        <v>3290</v>
      </c>
      <c r="F89" s="53" t="s">
        <v>3097</v>
      </c>
      <c r="G89" s="53" t="s">
        <v>3291</v>
      </c>
    </row>
    <row r="90" customFormat="false" ht="11.25" hidden="false" customHeight="true" outlineLevel="0" collapsed="false">
      <c r="A90" s="53" t="s">
        <v>16</v>
      </c>
      <c r="B90" s="53" t="s">
        <v>3278</v>
      </c>
      <c r="C90" s="53" t="s">
        <v>3279</v>
      </c>
      <c r="D90" s="53" t="s">
        <v>3292</v>
      </c>
      <c r="E90" s="53" t="s">
        <v>3293</v>
      </c>
      <c r="F90" s="53" t="s">
        <v>3097</v>
      </c>
      <c r="G90" s="53" t="s">
        <v>3294</v>
      </c>
    </row>
    <row r="91" customFormat="false" ht="11.25" hidden="false" customHeight="true" outlineLevel="0" collapsed="false">
      <c r="A91" s="53" t="s">
        <v>16</v>
      </c>
      <c r="B91" s="53" t="s">
        <v>3278</v>
      </c>
      <c r="C91" s="53" t="s">
        <v>3279</v>
      </c>
      <c r="D91" s="53" t="s">
        <v>3295</v>
      </c>
      <c r="E91" s="53" t="s">
        <v>3296</v>
      </c>
      <c r="F91" s="53" t="s">
        <v>3097</v>
      </c>
      <c r="G91" s="53" t="s">
        <v>3297</v>
      </c>
    </row>
    <row r="92" customFormat="false" ht="11.25" hidden="false" customHeight="true" outlineLevel="0" collapsed="false">
      <c r="A92" s="53" t="s">
        <v>16</v>
      </c>
      <c r="B92" s="53" t="s">
        <v>3278</v>
      </c>
      <c r="C92" s="53" t="s">
        <v>3279</v>
      </c>
      <c r="D92" s="53" t="s">
        <v>3180</v>
      </c>
      <c r="E92" s="53" t="s">
        <v>3298</v>
      </c>
      <c r="F92" s="53" t="s">
        <v>3097</v>
      </c>
      <c r="G92" s="53" t="s">
        <v>3299</v>
      </c>
    </row>
    <row r="93" customFormat="false" ht="11.25" hidden="false" customHeight="true" outlineLevel="0" collapsed="false">
      <c r="A93" s="53" t="s">
        <v>16</v>
      </c>
      <c r="B93" s="53" t="s">
        <v>3278</v>
      </c>
      <c r="C93" s="53" t="s">
        <v>3279</v>
      </c>
      <c r="D93" s="53" t="s">
        <v>3300</v>
      </c>
      <c r="E93" s="53" t="s">
        <v>3301</v>
      </c>
      <c r="F93" s="53" t="s">
        <v>3097</v>
      </c>
      <c r="G93" s="53" t="s">
        <v>3302</v>
      </c>
    </row>
    <row r="94" customFormat="false" ht="11.25" hidden="false" customHeight="true" outlineLevel="0" collapsed="false">
      <c r="A94" s="53" t="s">
        <v>16</v>
      </c>
      <c r="B94" s="53" t="s">
        <v>3278</v>
      </c>
      <c r="C94" s="53" t="s">
        <v>3279</v>
      </c>
      <c r="D94" s="53" t="s">
        <v>3278</v>
      </c>
      <c r="E94" s="53" t="s">
        <v>3279</v>
      </c>
      <c r="F94" s="53" t="s">
        <v>3098</v>
      </c>
      <c r="G94" s="53" t="s">
        <v>3303</v>
      </c>
    </row>
    <row r="95" customFormat="false" ht="11.25" hidden="false" customHeight="true" outlineLevel="0" collapsed="false">
      <c r="A95" s="53" t="s">
        <v>16</v>
      </c>
      <c r="B95" s="53" t="s">
        <v>3304</v>
      </c>
      <c r="C95" s="53" t="s">
        <v>3305</v>
      </c>
      <c r="D95" s="53" t="s">
        <v>3304</v>
      </c>
      <c r="E95" s="53" t="s">
        <v>3305</v>
      </c>
      <c r="F95" s="53" t="s">
        <v>3306</v>
      </c>
      <c r="G95" s="53" t="s">
        <v>3307</v>
      </c>
    </row>
    <row r="96" customFormat="false" ht="11.25" hidden="false" customHeight="true" outlineLevel="0" collapsed="false">
      <c r="A96" s="53" t="s">
        <v>16</v>
      </c>
      <c r="B96" s="53" t="s">
        <v>3308</v>
      </c>
      <c r="C96" s="53" t="s">
        <v>3309</v>
      </c>
      <c r="D96" s="53" t="s">
        <v>3308</v>
      </c>
      <c r="E96" s="53" t="s">
        <v>3309</v>
      </c>
      <c r="F96" s="53" t="s">
        <v>3306</v>
      </c>
      <c r="G96" s="53" t="s">
        <v>3310</v>
      </c>
    </row>
    <row r="97" customFormat="false" ht="11.25" hidden="false" customHeight="true" outlineLevel="0" collapsed="false">
      <c r="A97" s="53" t="s">
        <v>16</v>
      </c>
      <c r="B97" s="53" t="s">
        <v>99</v>
      </c>
      <c r="C97" s="53" t="s">
        <v>100</v>
      </c>
      <c r="D97" s="53" t="s">
        <v>99</v>
      </c>
      <c r="E97" s="53" t="s">
        <v>100</v>
      </c>
      <c r="F97" s="53" t="s">
        <v>3306</v>
      </c>
      <c r="G97" s="53" t="s">
        <v>98</v>
      </c>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true" hidden="false" outlineLevel="0" max="1" min="1" style="678" width="13.85"/>
    <col collapsed="false" customWidth="true" hidden="false" outlineLevel="0" max="2" min="2" style="678" width="10.42"/>
    <col collapsed="false" customWidth="true" hidden="false" outlineLevel="0" max="3" min="3" style="678" width="7.57"/>
    <col collapsed="false" customWidth="true" hidden="false" outlineLevel="0" max="4" min="4" style="678" width="13.85"/>
    <col collapsed="false" customWidth="true" hidden="false" outlineLevel="0" max="5" min="5" style="678" width="11.57"/>
    <col collapsed="false" customWidth="true" hidden="false" outlineLevel="0" max="6" min="6" style="678" width="16.28"/>
    <col collapsed="false" customWidth="true" hidden="false" outlineLevel="0" max="7" min="7" style="678" width="16"/>
    <col collapsed="false" customWidth="true" hidden="false" outlineLevel="0" max="9" min="8" style="678" width="16.14"/>
  </cols>
  <sheetData>
    <row r="1" customFormat="false" ht="11.25" hidden="false" customHeight="true" outlineLevel="0" collapsed="false">
      <c r="A1" s="678" t="s">
        <v>3311</v>
      </c>
      <c r="B1" s="678" t="s">
        <v>3312</v>
      </c>
      <c r="C1" s="678" t="s">
        <v>3313</v>
      </c>
      <c r="D1" s="678" t="s">
        <v>3314</v>
      </c>
      <c r="E1" s="678" t="s">
        <v>3315</v>
      </c>
      <c r="F1" s="678" t="s">
        <v>3316</v>
      </c>
      <c r="G1" s="678" t="s">
        <v>3317</v>
      </c>
      <c r="H1" s="678" t="s">
        <v>3318</v>
      </c>
      <c r="I1" s="678" t="s">
        <v>3319</v>
      </c>
    </row>
    <row r="2" customFormat="false" ht="11.25" hidden="false" customHeight="true" outlineLevel="0" collapsed="false">
      <c r="A2" s="678" t="s">
        <v>120</v>
      </c>
      <c r="B2" s="678" t="s">
        <v>1016</v>
      </c>
      <c r="C2" s="678" t="s">
        <v>3320</v>
      </c>
      <c r="D2" s="678" t="s">
        <v>1020</v>
      </c>
      <c r="E2" s="678" t="s">
        <v>1021</v>
      </c>
      <c r="F2" s="678" t="s">
        <v>1022</v>
      </c>
      <c r="G2" s="678" t="s">
        <v>1023</v>
      </c>
      <c r="H2" s="678" t="s">
        <v>1024</v>
      </c>
      <c r="I2" s="678" t="s">
        <v>1025</v>
      </c>
    </row>
    <row r="3" customFormat="false" ht="11.25" hidden="false" customHeight="true" outlineLevel="0" collapsed="false">
      <c r="A3" s="678" t="s">
        <v>102</v>
      </c>
      <c r="B3" s="678" t="s">
        <v>3321</v>
      </c>
      <c r="C3" s="678" t="s">
        <v>3322</v>
      </c>
      <c r="D3" s="678" t="s">
        <v>3323</v>
      </c>
      <c r="E3" s="678" t="s">
        <v>3324</v>
      </c>
      <c r="F3" s="252" t="s">
        <v>3325</v>
      </c>
      <c r="G3" s="678" t="s">
        <v>1023</v>
      </c>
      <c r="H3" s="678" t="s">
        <v>3326</v>
      </c>
      <c r="I3" s="678" t="s">
        <v>3327</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AL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row r="1" customFormat="false" ht="11.25" hidden="false" customHeight="true" outlineLevel="0" collapsed="false">
      <c r="A1" s="53" t="s">
        <v>2370</v>
      </c>
      <c r="B1" s="53" t="s">
        <v>2371</v>
      </c>
      <c r="C1" s="53" t="s">
        <v>2372</v>
      </c>
      <c r="D1" s="53" t="s">
        <v>3328</v>
      </c>
      <c r="E1" s="53" t="s">
        <v>3329</v>
      </c>
      <c r="F1" s="53" t="s">
        <v>3330</v>
      </c>
      <c r="G1" s="53" t="s">
        <v>3331</v>
      </c>
      <c r="H1" s="53" t="s">
        <v>3332</v>
      </c>
      <c r="I1" s="53" t="s">
        <v>3333</v>
      </c>
      <c r="J1" s="53" t="s">
        <v>3334</v>
      </c>
      <c r="K1" s="53" t="s">
        <v>3335</v>
      </c>
      <c r="L1" s="53" t="s">
        <v>3336</v>
      </c>
      <c r="M1" s="53" t="s">
        <v>3337</v>
      </c>
      <c r="N1" s="53" t="s">
        <v>3338</v>
      </c>
      <c r="O1" s="53" t="s">
        <v>3087</v>
      </c>
      <c r="P1" s="53" t="s">
        <v>3089</v>
      </c>
      <c r="Q1" s="53" t="s">
        <v>3090</v>
      </c>
      <c r="R1" s="53" t="s">
        <v>3339</v>
      </c>
      <c r="S1" s="53" t="s">
        <v>3340</v>
      </c>
      <c r="T1" s="53" t="s">
        <v>3341</v>
      </c>
      <c r="U1" s="53" t="s">
        <v>3342</v>
      </c>
      <c r="V1" s="53" t="s">
        <v>3343</v>
      </c>
      <c r="W1" s="53" t="s">
        <v>3344</v>
      </c>
      <c r="X1" s="53" t="s">
        <v>3345</v>
      </c>
      <c r="Y1" s="53" t="s">
        <v>3346</v>
      </c>
      <c r="Z1" s="53" t="s">
        <v>3347</v>
      </c>
      <c r="AA1" s="53" t="s">
        <v>3348</v>
      </c>
      <c r="AB1" s="53" t="s">
        <v>3349</v>
      </c>
      <c r="AC1" s="53" t="s">
        <v>3350</v>
      </c>
      <c r="AD1" s="53" t="s">
        <v>3351</v>
      </c>
      <c r="AE1" s="53" t="s">
        <v>3352</v>
      </c>
      <c r="AF1" s="53" t="s">
        <v>3353</v>
      </c>
      <c r="AG1" s="53" t="s">
        <v>3354</v>
      </c>
      <c r="AH1" s="53" t="s">
        <v>3355</v>
      </c>
      <c r="AI1" s="53" t="s">
        <v>3356</v>
      </c>
      <c r="AJ1" s="53" t="s">
        <v>3357</v>
      </c>
      <c r="AK1" s="53" t="s">
        <v>3358</v>
      </c>
      <c r="AL1" s="53" t="s">
        <v>3359</v>
      </c>
    </row>
    <row r="2" customFormat="false" ht="11.25" hidden="false" customHeight="true" outlineLevel="0" collapsed="false">
      <c r="A2" s="53"/>
      <c r="B2" s="53" t="s">
        <v>47</v>
      </c>
      <c r="C2" s="53" t="s">
        <v>49</v>
      </c>
      <c r="D2" s="53"/>
      <c r="E2" s="53" t="s">
        <v>1063</v>
      </c>
      <c r="F2" s="53" t="s">
        <v>1064</v>
      </c>
      <c r="G2" s="53" t="s">
        <v>99</v>
      </c>
      <c r="H2" s="53" t="s">
        <v>99</v>
      </c>
      <c r="I2" s="53" t="s">
        <v>100</v>
      </c>
      <c r="J2" s="53" t="s">
        <v>1065</v>
      </c>
      <c r="K2" s="53" t="s">
        <v>1066</v>
      </c>
      <c r="L2" s="53" t="s">
        <v>1067</v>
      </c>
      <c r="M2" s="53" t="s">
        <v>1068</v>
      </c>
      <c r="N2" s="53" t="s">
        <v>120</v>
      </c>
      <c r="O2" s="53" t="s">
        <v>3360</v>
      </c>
      <c r="P2" s="53" t="s">
        <v>3360</v>
      </c>
      <c r="Q2" s="53" t="s">
        <v>100</v>
      </c>
      <c r="R2" s="53" t="s">
        <v>1065</v>
      </c>
      <c r="S2" s="53" t="s">
        <v>1066</v>
      </c>
      <c r="T2" s="53" t="s">
        <v>3361</v>
      </c>
      <c r="U2" s="53" t="s">
        <v>3362</v>
      </c>
      <c r="V2" s="53" t="s">
        <v>3363</v>
      </c>
      <c r="W2" s="53" t="s">
        <v>3364</v>
      </c>
      <c r="X2" s="53" t="s">
        <v>3365</v>
      </c>
      <c r="Y2" s="53" t="s">
        <v>3366</v>
      </c>
      <c r="Z2" s="53" t="s">
        <v>3367</v>
      </c>
      <c r="AA2" s="53" t="s">
        <v>3368</v>
      </c>
      <c r="AB2" s="53" t="s">
        <v>3363</v>
      </c>
      <c r="AC2" s="53" t="s">
        <v>61</v>
      </c>
      <c r="AD2" s="53" t="s">
        <v>19</v>
      </c>
      <c r="AE2" s="53" t="s">
        <v>19</v>
      </c>
      <c r="AF2" s="53" t="s">
        <v>3369</v>
      </c>
      <c r="AG2" s="53" t="s">
        <v>3370</v>
      </c>
      <c r="AH2" s="53"/>
      <c r="AI2" s="53"/>
      <c r="AJ2" s="53"/>
      <c r="AK2" s="53"/>
      <c r="AL2" s="53" t="s">
        <v>3371</v>
      </c>
    </row>
    <row r="3" customFormat="false" ht="11.25" hidden="false" customHeight="true" outlineLevel="0" collapsed="false">
      <c r="A3" s="53"/>
      <c r="B3" s="53" t="s">
        <v>47</v>
      </c>
      <c r="C3" s="53" t="s">
        <v>49</v>
      </c>
      <c r="D3" s="53"/>
      <c r="E3" s="53" t="s">
        <v>1080</v>
      </c>
      <c r="F3" s="53" t="s">
        <v>1064</v>
      </c>
      <c r="G3" s="53" t="s">
        <v>99</v>
      </c>
      <c r="H3" s="53" t="s">
        <v>99</v>
      </c>
      <c r="I3" s="53" t="s">
        <v>100</v>
      </c>
      <c r="J3" s="53" t="s">
        <v>1065</v>
      </c>
      <c r="K3" s="53" t="s">
        <v>1066</v>
      </c>
      <c r="L3" s="53" t="s">
        <v>1081</v>
      </c>
      <c r="M3" s="53" t="s">
        <v>1082</v>
      </c>
      <c r="N3" s="53" t="s">
        <v>120</v>
      </c>
      <c r="O3" s="53" t="s">
        <v>3360</v>
      </c>
      <c r="P3" s="53" t="s">
        <v>3360</v>
      </c>
      <c r="Q3" s="53" t="s">
        <v>100</v>
      </c>
      <c r="R3" s="53" t="s">
        <v>1065</v>
      </c>
      <c r="S3" s="53" t="s">
        <v>1066</v>
      </c>
      <c r="T3" s="53" t="s">
        <v>3361</v>
      </c>
      <c r="U3" s="53" t="s">
        <v>3362</v>
      </c>
      <c r="V3" s="53" t="s">
        <v>3372</v>
      </c>
      <c r="W3" s="53" t="s">
        <v>3364</v>
      </c>
      <c r="X3" s="53" t="s">
        <v>3365</v>
      </c>
      <c r="Y3" s="53" t="s">
        <v>3366</v>
      </c>
      <c r="Z3" s="53" t="s">
        <v>3373</v>
      </c>
      <c r="AA3" s="53" t="s">
        <v>3374</v>
      </c>
      <c r="AB3" s="53" t="s">
        <v>3372</v>
      </c>
      <c r="AC3" s="53" t="s">
        <v>61</v>
      </c>
      <c r="AD3" s="53" t="s">
        <v>19</v>
      </c>
      <c r="AE3" s="53" t="s">
        <v>19</v>
      </c>
      <c r="AF3" s="53" t="s">
        <v>3375</v>
      </c>
      <c r="AG3" s="53" t="s">
        <v>3376</v>
      </c>
      <c r="AH3" s="53"/>
      <c r="AI3" s="53"/>
      <c r="AJ3" s="53"/>
      <c r="AK3" s="53"/>
      <c r="AL3" s="53" t="s">
        <v>3371</v>
      </c>
    </row>
    <row r="4" customFormat="false" ht="11.25" hidden="false" customHeight="true" outlineLevel="0" collapsed="false">
      <c r="A4" s="53"/>
      <c r="B4" s="53" t="s">
        <v>47</v>
      </c>
      <c r="C4" s="53" t="s">
        <v>49</v>
      </c>
      <c r="D4" s="53"/>
      <c r="E4" s="53" t="s">
        <v>3377</v>
      </c>
      <c r="F4" s="53" t="s">
        <v>1064</v>
      </c>
      <c r="G4" s="53" t="s">
        <v>99</v>
      </c>
      <c r="H4" s="53" t="s">
        <v>99</v>
      </c>
      <c r="I4" s="53" t="s">
        <v>100</v>
      </c>
      <c r="J4" s="53" t="s">
        <v>1065</v>
      </c>
      <c r="K4" s="53" t="s">
        <v>1066</v>
      </c>
      <c r="L4" s="53" t="s">
        <v>3378</v>
      </c>
      <c r="M4" s="53" t="s">
        <v>3379</v>
      </c>
      <c r="N4" s="53" t="s">
        <v>120</v>
      </c>
      <c r="O4" s="53" t="s">
        <v>3360</v>
      </c>
      <c r="P4" s="53" t="s">
        <v>3360</v>
      </c>
      <c r="Q4" s="53" t="s">
        <v>100</v>
      </c>
      <c r="R4" s="53" t="s">
        <v>1065</v>
      </c>
      <c r="S4" s="53" t="s">
        <v>1066</v>
      </c>
      <c r="T4" s="53" t="s">
        <v>3361</v>
      </c>
      <c r="U4" s="53" t="s">
        <v>3362</v>
      </c>
      <c r="V4" s="53" t="s">
        <v>3380</v>
      </c>
      <c r="W4" s="53" t="s">
        <v>3364</v>
      </c>
      <c r="X4" s="53" t="s">
        <v>3365</v>
      </c>
      <c r="Y4" s="53" t="s">
        <v>3366</v>
      </c>
      <c r="Z4" s="53" t="s">
        <v>3381</v>
      </c>
      <c r="AA4" s="53" t="s">
        <v>3382</v>
      </c>
      <c r="AB4" s="53" t="s">
        <v>3380</v>
      </c>
      <c r="AC4" s="53" t="s">
        <v>61</v>
      </c>
      <c r="AD4" s="53" t="s">
        <v>19</v>
      </c>
      <c r="AE4" s="53" t="s">
        <v>19</v>
      </c>
      <c r="AF4" s="53" t="s">
        <v>3383</v>
      </c>
      <c r="AG4" s="53" t="s">
        <v>3384</v>
      </c>
      <c r="AH4" s="53"/>
      <c r="AI4" s="53"/>
      <c r="AJ4" s="53"/>
      <c r="AK4" s="53"/>
      <c r="AL4" s="53" t="s">
        <v>3371</v>
      </c>
    </row>
    <row r="5" customFormat="false" ht="11.25" hidden="false" customHeight="true" outlineLevel="0" collapsed="false">
      <c r="A5" s="53"/>
      <c r="B5" s="53" t="s">
        <v>47</v>
      </c>
      <c r="C5" s="53" t="s">
        <v>49</v>
      </c>
      <c r="D5" s="53"/>
      <c r="E5" s="53" t="s">
        <v>1097</v>
      </c>
      <c r="F5" s="53" t="s">
        <v>1064</v>
      </c>
      <c r="G5" s="53" t="s">
        <v>99</v>
      </c>
      <c r="H5" s="53" t="s">
        <v>99</v>
      </c>
      <c r="I5" s="53" t="s">
        <v>100</v>
      </c>
      <c r="J5" s="53" t="s">
        <v>1065</v>
      </c>
      <c r="K5" s="53" t="s">
        <v>1066</v>
      </c>
      <c r="L5" s="53" t="s">
        <v>1098</v>
      </c>
      <c r="M5" s="53" t="s">
        <v>1099</v>
      </c>
      <c r="N5" s="53" t="s">
        <v>120</v>
      </c>
      <c r="O5" s="53" t="s">
        <v>3360</v>
      </c>
      <c r="P5" s="53" t="s">
        <v>3360</v>
      </c>
      <c r="Q5" s="53" t="s">
        <v>100</v>
      </c>
      <c r="R5" s="53" t="s">
        <v>1065</v>
      </c>
      <c r="S5" s="53" t="s">
        <v>1066</v>
      </c>
      <c r="T5" s="53" t="s">
        <v>3385</v>
      </c>
      <c r="U5" s="53" t="s">
        <v>3386</v>
      </c>
      <c r="V5" s="53" t="s">
        <v>3387</v>
      </c>
      <c r="W5" s="53" t="s">
        <v>3364</v>
      </c>
      <c r="X5" s="53" t="s">
        <v>3388</v>
      </c>
      <c r="Y5" s="53" t="s">
        <v>3389</v>
      </c>
      <c r="Z5" s="53" t="s">
        <v>3390</v>
      </c>
      <c r="AA5" s="53" t="s">
        <v>3391</v>
      </c>
      <c r="AB5" s="53" t="s">
        <v>3387</v>
      </c>
      <c r="AC5" s="53" t="s">
        <v>61</v>
      </c>
      <c r="AD5" s="53" t="s">
        <v>19</v>
      </c>
      <c r="AE5" s="53" t="s">
        <v>19</v>
      </c>
      <c r="AF5" s="53" t="s">
        <v>3392</v>
      </c>
      <c r="AG5" s="53" t="s">
        <v>3393</v>
      </c>
      <c r="AH5" s="53"/>
      <c r="AI5" s="53"/>
      <c r="AJ5" s="53"/>
      <c r="AK5" s="53"/>
      <c r="AL5" s="53" t="s">
        <v>3371</v>
      </c>
    </row>
    <row r="6" customFormat="false" ht="11.25" hidden="false" customHeight="true" outlineLevel="0" collapsed="false">
      <c r="A6" s="53"/>
      <c r="B6" s="53" t="s">
        <v>47</v>
      </c>
      <c r="C6" s="53" t="s">
        <v>49</v>
      </c>
      <c r="D6" s="53"/>
      <c r="E6" s="53" t="s">
        <v>1106</v>
      </c>
      <c r="F6" s="53" t="s">
        <v>1064</v>
      </c>
      <c r="G6" s="53" t="s">
        <v>106</v>
      </c>
      <c r="H6" s="53" t="s">
        <v>107</v>
      </c>
      <c r="I6" s="53" t="s">
        <v>108</v>
      </c>
      <c r="J6" s="53" t="s">
        <v>1107</v>
      </c>
      <c r="K6" s="53" t="s">
        <v>1108</v>
      </c>
      <c r="L6" s="53" t="s">
        <v>1109</v>
      </c>
      <c r="M6" s="53" t="s">
        <v>1110</v>
      </c>
      <c r="N6" s="53" t="s">
        <v>120</v>
      </c>
      <c r="O6" s="53" t="s">
        <v>106</v>
      </c>
      <c r="P6" s="53" t="s">
        <v>107</v>
      </c>
      <c r="Q6" s="53" t="s">
        <v>108</v>
      </c>
      <c r="R6" s="53" t="s">
        <v>1107</v>
      </c>
      <c r="S6" s="53" t="s">
        <v>1108</v>
      </c>
      <c r="T6" s="53" t="s">
        <v>3361</v>
      </c>
      <c r="U6" s="53" t="s">
        <v>3362</v>
      </c>
      <c r="V6" s="53" t="s">
        <v>3394</v>
      </c>
      <c r="W6" s="53" t="s">
        <v>3364</v>
      </c>
      <c r="X6" s="53" t="s">
        <v>3365</v>
      </c>
      <c r="Y6" s="53" t="s">
        <v>3366</v>
      </c>
      <c r="Z6" s="53" t="s">
        <v>3395</v>
      </c>
      <c r="AA6" s="53" t="s">
        <v>3396</v>
      </c>
      <c r="AB6" s="53" t="s">
        <v>3394</v>
      </c>
      <c r="AC6" s="53" t="s">
        <v>61</v>
      </c>
      <c r="AD6" s="53" t="s">
        <v>19</v>
      </c>
      <c r="AE6" s="53" t="s">
        <v>19</v>
      </c>
      <c r="AF6" s="53" t="s">
        <v>3397</v>
      </c>
      <c r="AG6" s="53" t="s">
        <v>3398</v>
      </c>
      <c r="AH6" s="53"/>
      <c r="AI6" s="53"/>
      <c r="AJ6" s="53"/>
      <c r="AK6" s="53"/>
      <c r="AL6" s="53" t="s">
        <v>3371</v>
      </c>
    </row>
    <row r="7" customFormat="false" ht="11.25" hidden="false" customHeight="true" outlineLevel="0" collapsed="false">
      <c r="A7" s="53"/>
      <c r="B7" s="53" t="s">
        <v>47</v>
      </c>
      <c r="C7" s="53" t="s">
        <v>49</v>
      </c>
      <c r="D7" s="53"/>
      <c r="E7" s="53" t="s">
        <v>1118</v>
      </c>
      <c r="F7" s="53" t="s">
        <v>1119</v>
      </c>
      <c r="G7" s="53" t="s">
        <v>111</v>
      </c>
      <c r="H7" s="53" t="s">
        <v>112</v>
      </c>
      <c r="I7" s="53" t="s">
        <v>113</v>
      </c>
      <c r="J7" s="53" t="s">
        <v>1120</v>
      </c>
      <c r="K7" s="53" t="s">
        <v>1121</v>
      </c>
      <c r="L7" s="53" t="s">
        <v>1122</v>
      </c>
      <c r="M7" s="53" t="s">
        <v>1123</v>
      </c>
      <c r="N7" s="53" t="s">
        <v>120</v>
      </c>
      <c r="O7" s="53" t="s">
        <v>111</v>
      </c>
      <c r="P7" s="53" t="s">
        <v>112</v>
      </c>
      <c r="Q7" s="53" t="s">
        <v>113</v>
      </c>
      <c r="R7" s="53" t="s">
        <v>1120</v>
      </c>
      <c r="S7" s="53" t="s">
        <v>1121</v>
      </c>
      <c r="T7" s="53" t="s">
        <v>3361</v>
      </c>
      <c r="U7" s="53" t="s">
        <v>3362</v>
      </c>
      <c r="V7" s="53" t="s">
        <v>3399</v>
      </c>
      <c r="W7" s="53" t="s">
        <v>3364</v>
      </c>
      <c r="X7" s="53" t="s">
        <v>3388</v>
      </c>
      <c r="Y7" s="53" t="s">
        <v>3366</v>
      </c>
      <c r="Z7" s="53" t="s">
        <v>3400</v>
      </c>
      <c r="AA7" s="53" t="s">
        <v>3401</v>
      </c>
      <c r="AB7" s="53" t="s">
        <v>3399</v>
      </c>
      <c r="AC7" s="53" t="s">
        <v>61</v>
      </c>
      <c r="AD7" s="53" t="s">
        <v>61</v>
      </c>
      <c r="AE7" s="53" t="s">
        <v>61</v>
      </c>
      <c r="AF7" s="53" t="s">
        <v>3402</v>
      </c>
      <c r="AG7" s="53" t="s">
        <v>3403</v>
      </c>
      <c r="AH7" s="53" t="s">
        <v>3402</v>
      </c>
      <c r="AI7" s="53" t="s">
        <v>3404</v>
      </c>
      <c r="AJ7" s="53" t="s">
        <v>3402</v>
      </c>
      <c r="AK7" s="53" t="s">
        <v>3404</v>
      </c>
      <c r="AL7" s="53" t="s">
        <v>3371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false" hidden="false" outlineLevel="0" max="2" min="1" style="1247" width="9.14"/>
  </cols>
  <sheetData>
    <row r="1" customFormat="false" ht="11.25" hidden="false" customHeight="true" outlineLevel="0" collapsed="false">
      <c r="A1" s="1247" t="s">
        <v>145</v>
      </c>
      <c r="B1" s="1247" t="s">
        <v>3405</v>
      </c>
    </row>
    <row r="2" customFormat="false" ht="11.25" hidden="false" customHeight="true" outlineLevel="0" collapsed="false">
      <c r="A2" s="1247" t="s">
        <v>97</v>
      </c>
      <c r="B2" s="1247" t="s">
        <v>3406</v>
      </c>
    </row>
    <row r="3" customFormat="false" ht="11.25" hidden="false" customHeight="true" outlineLevel="0" collapsed="false">
      <c r="A3" s="1247" t="s">
        <v>104</v>
      </c>
      <c r="B3" s="1247" t="s">
        <v>3407</v>
      </c>
    </row>
    <row r="4" customFormat="false" ht="11.25" hidden="false" customHeight="true" outlineLevel="0" collapsed="false">
      <c r="A4" s="1247" t="s">
        <v>109</v>
      </c>
      <c r="B4" s="1247" t="s">
        <v>3408</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false" hidden="false" outlineLevel="0" max="1" min="1" style="678" width="9.14"/>
    <col collapsed="false" customWidth="true" hidden="false" outlineLevel="0" max="2" min="2" style="678" width="65.28"/>
  </cols>
  <sheetData>
    <row r="1" customFormat="false" ht="11.25" hidden="false" customHeight="true" outlineLevel="0" collapsed="false">
      <c r="A1" s="678" t="s">
        <v>3409</v>
      </c>
      <c r="B1" s="678" t="s">
        <v>3410</v>
      </c>
    </row>
    <row r="2" customFormat="false" ht="11.25" hidden="false" customHeight="true" outlineLevel="0" collapsed="false">
      <c r="A2" s="678" t="n">
        <v>4213775</v>
      </c>
      <c r="B2" s="678" t="s">
        <v>1390</v>
      </c>
    </row>
    <row r="3" customFormat="false" ht="11.25" hidden="false" customHeight="true" outlineLevel="0" collapsed="false">
      <c r="A3" s="678" t="n">
        <v>4213784</v>
      </c>
      <c r="B3" s="678" t="s">
        <v>1422</v>
      </c>
    </row>
    <row r="4" customFormat="false" ht="11.25" hidden="false" customHeight="true" outlineLevel="0" collapsed="false">
      <c r="A4" s="678" t="n">
        <v>4213781</v>
      </c>
      <c r="B4" s="678" t="s">
        <v>1415</v>
      </c>
    </row>
    <row r="5" customFormat="false" ht="11.25" hidden="false" customHeight="true" outlineLevel="0" collapsed="false">
      <c r="A5" s="678" t="n">
        <v>4213776</v>
      </c>
      <c r="B5" s="678" t="s">
        <v>181</v>
      </c>
    </row>
    <row r="6" customFormat="false" ht="11.25" hidden="false" customHeight="true" outlineLevel="0" collapsed="false">
      <c r="A6" s="678" t="n">
        <v>4213777</v>
      </c>
      <c r="B6" s="678" t="s">
        <v>187</v>
      </c>
    </row>
    <row r="7" customFormat="false" ht="11.25" hidden="false" customHeight="true" outlineLevel="0" collapsed="false">
      <c r="A7" s="678" t="n">
        <v>4213778</v>
      </c>
      <c r="B7" s="678" t="s">
        <v>193</v>
      </c>
    </row>
    <row r="8" customFormat="false" ht="11.25" hidden="false" customHeight="true" outlineLevel="0" collapsed="false">
      <c r="A8" s="678" t="n">
        <v>4213780</v>
      </c>
      <c r="B8" s="678" t="s">
        <v>199</v>
      </c>
    </row>
    <row r="9" customFormat="false" ht="11.25" hidden="false" customHeight="true" outlineLevel="0" collapsed="false">
      <c r="A9" s="678" t="n">
        <v>4213779</v>
      </c>
      <c r="B9" s="678" t="s">
        <v>1549</v>
      </c>
    </row>
    <row r="10" customFormat="false" ht="11.25" hidden="false" customHeight="true" outlineLevel="0" collapsed="false">
      <c r="A10" s="678" t="n">
        <v>4213783</v>
      </c>
      <c r="B10" s="678" t="s">
        <v>1562</v>
      </c>
    </row>
    <row r="11" customFormat="false" ht="11.25" hidden="false" customHeight="true" outlineLevel="0" collapsed="false">
      <c r="A11" s="678" t="n">
        <v>4213782</v>
      </c>
      <c r="B11" s="678" t="s">
        <v>205</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false" hidden="false" outlineLevel="0" max="1" min="1" style="678" width="9.14"/>
    <col collapsed="false" customWidth="true" hidden="false" outlineLevel="0" max="2" min="2" style="678" width="65.28"/>
  </cols>
  <sheetData>
    <row r="1" customFormat="false" ht="11.25" hidden="false" customHeight="true" outlineLevel="0" collapsed="false">
      <c r="A1" s="678" t="s">
        <v>3409</v>
      </c>
      <c r="B1" s="678" t="s">
        <v>3411</v>
      </c>
    </row>
    <row r="2" customFormat="false" ht="11.25" hidden="false" customHeight="true" outlineLevel="0" collapsed="false">
      <c r="A2" s="678" t="s">
        <v>128</v>
      </c>
      <c r="B2" s="678" t="s">
        <v>1650</v>
      </c>
    </row>
    <row r="3" customFormat="false" ht="11.25" hidden="false" customHeight="true" outlineLevel="0" collapsed="false">
      <c r="A3" s="678" t="s">
        <v>3412</v>
      </c>
      <c r="B3" s="678" t="s">
        <v>1659</v>
      </c>
    </row>
    <row r="4" customFormat="false" ht="11.25" hidden="false" customHeight="true" outlineLevel="0" collapsed="false">
      <c r="A4" s="678" t="s">
        <v>3413</v>
      </c>
      <c r="B4" s="678" t="s">
        <v>1667</v>
      </c>
    </row>
    <row r="5" customFormat="false" ht="11.25" hidden="false" customHeight="true" outlineLevel="0" collapsed="false">
      <c r="A5" s="678" t="s">
        <v>135</v>
      </c>
      <c r="B5" s="678" t="s">
        <v>1676</v>
      </c>
    </row>
    <row r="6" customFormat="false" ht="11.25" hidden="false" customHeight="true" outlineLevel="0" collapsed="false">
      <c r="A6" s="678" t="s">
        <v>3414</v>
      </c>
      <c r="B6" s="678" t="s">
        <v>1681</v>
      </c>
    </row>
    <row r="7" customFormat="false" ht="11.25" hidden="false" customHeight="true" outlineLevel="0" collapsed="false">
      <c r="A7" s="678" t="s">
        <v>3415</v>
      </c>
      <c r="B7" s="678" t="s">
        <v>1688</v>
      </c>
    </row>
    <row r="8" customFormat="false" ht="11.25" hidden="false" customHeight="true" outlineLevel="0" collapsed="false">
      <c r="A8" s="678" t="s">
        <v>3416</v>
      </c>
      <c r="B8" s="678" t="s">
        <v>1693</v>
      </c>
    </row>
    <row r="9" customFormat="false" ht="11.25" hidden="false" customHeight="true" outlineLevel="0" collapsed="false">
      <c r="A9" s="678" t="s">
        <v>3417</v>
      </c>
      <c r="B9" s="678" t="s">
        <v>1698</v>
      </c>
    </row>
    <row r="10" customFormat="false" ht="11.25" hidden="false" customHeight="true" outlineLevel="0" collapsed="false">
      <c r="A10" s="678" t="s">
        <v>3418</v>
      </c>
      <c r="B10" s="678" t="s">
        <v>1701</v>
      </c>
    </row>
    <row r="11" customFormat="false" ht="11.25" hidden="false" customHeight="true" outlineLevel="0" collapsed="false">
      <c r="A11" s="678" t="s">
        <v>3419</v>
      </c>
      <c r="B11" s="678" t="s">
        <v>1707</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9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row r="1" customFormat="false" ht="11.25" hidden="false" customHeight="true" outlineLevel="0" collapsed="false">
      <c r="A1" s="53" t="s">
        <v>3086</v>
      </c>
      <c r="B1" s="53" t="s">
        <v>3087</v>
      </c>
      <c r="C1" s="53" t="s">
        <v>3088</v>
      </c>
      <c r="D1" s="53" t="s">
        <v>3089</v>
      </c>
      <c r="E1" s="53" t="s">
        <v>3090</v>
      </c>
      <c r="F1" s="53" t="s">
        <v>3091</v>
      </c>
      <c r="G1" s="53" t="s">
        <v>3092</v>
      </c>
    </row>
    <row r="2" customFormat="false" ht="11.25" hidden="false" customHeight="true" outlineLevel="0" collapsed="false">
      <c r="A2" s="53" t="s">
        <v>16</v>
      </c>
      <c r="B2" s="53" t="s">
        <v>3093</v>
      </c>
      <c r="C2" s="53" t="s">
        <v>3094</v>
      </c>
      <c r="D2" s="53" t="s">
        <v>3095</v>
      </c>
      <c r="E2" s="53" t="s">
        <v>3096</v>
      </c>
      <c r="F2" s="53" t="s">
        <v>3097</v>
      </c>
      <c r="G2" s="53" t="s">
        <v>120</v>
      </c>
    </row>
    <row r="3" customFormat="false" ht="11.25" hidden="false" customHeight="true" outlineLevel="0" collapsed="false">
      <c r="A3" s="53" t="s">
        <v>16</v>
      </c>
      <c r="B3" s="53" t="s">
        <v>3093</v>
      </c>
      <c r="C3" s="53" t="s">
        <v>3094</v>
      </c>
      <c r="D3" s="53" t="s">
        <v>3093</v>
      </c>
      <c r="E3" s="53" t="s">
        <v>3094</v>
      </c>
      <c r="F3" s="53" t="s">
        <v>3098</v>
      </c>
      <c r="G3" s="53" t="s">
        <v>102</v>
      </c>
    </row>
    <row r="4" customFormat="false" ht="11.25" hidden="false" customHeight="true" outlineLevel="0" collapsed="false">
      <c r="A4" s="53" t="s">
        <v>16</v>
      </c>
      <c r="B4" s="53" t="s">
        <v>3093</v>
      </c>
      <c r="C4" s="53" t="s">
        <v>3094</v>
      </c>
      <c r="D4" s="53" t="s">
        <v>3099</v>
      </c>
      <c r="E4" s="53" t="s">
        <v>3100</v>
      </c>
      <c r="F4" s="53" t="s">
        <v>3097</v>
      </c>
      <c r="G4" s="53" t="s">
        <v>89</v>
      </c>
    </row>
    <row r="5" customFormat="false" ht="11.25" hidden="false" customHeight="true" outlineLevel="0" collapsed="false">
      <c r="A5" s="53" t="s">
        <v>16</v>
      </c>
      <c r="B5" s="53" t="s">
        <v>3093</v>
      </c>
      <c r="C5" s="53" t="s">
        <v>3094</v>
      </c>
      <c r="D5" s="53" t="s">
        <v>3101</v>
      </c>
      <c r="E5" s="53" t="s">
        <v>3102</v>
      </c>
      <c r="F5" s="53" t="s">
        <v>3097</v>
      </c>
      <c r="G5" s="53" t="s">
        <v>90</v>
      </c>
    </row>
    <row r="6" customFormat="false" ht="11.25" hidden="false" customHeight="true" outlineLevel="0" collapsed="false">
      <c r="A6" s="53" t="s">
        <v>16</v>
      </c>
      <c r="B6" s="53" t="s">
        <v>3103</v>
      </c>
      <c r="C6" s="53" t="s">
        <v>3104</v>
      </c>
      <c r="D6" s="53" t="s">
        <v>3105</v>
      </c>
      <c r="E6" s="53" t="s">
        <v>3106</v>
      </c>
      <c r="F6" s="53" t="s">
        <v>3097</v>
      </c>
      <c r="G6" s="53" t="s">
        <v>121</v>
      </c>
    </row>
    <row r="7" customFormat="false" ht="11.25" hidden="false" customHeight="true" outlineLevel="0" collapsed="false">
      <c r="A7" s="53" t="s">
        <v>16</v>
      </c>
      <c r="B7" s="53" t="s">
        <v>3103</v>
      </c>
      <c r="C7" s="53" t="s">
        <v>3104</v>
      </c>
      <c r="D7" s="53" t="s">
        <v>3103</v>
      </c>
      <c r="E7" s="53" t="s">
        <v>3104</v>
      </c>
      <c r="F7" s="53" t="s">
        <v>3098</v>
      </c>
      <c r="G7" s="53" t="s">
        <v>91</v>
      </c>
    </row>
    <row r="8" customFormat="false" ht="11.25" hidden="false" customHeight="true" outlineLevel="0" collapsed="false">
      <c r="A8" s="53" t="s">
        <v>16</v>
      </c>
      <c r="B8" s="53" t="s">
        <v>3103</v>
      </c>
      <c r="C8" s="53" t="s">
        <v>3104</v>
      </c>
      <c r="D8" s="53" t="s">
        <v>3107</v>
      </c>
      <c r="E8" s="53" t="s">
        <v>3108</v>
      </c>
      <c r="F8" s="53" t="s">
        <v>3097</v>
      </c>
      <c r="G8" s="53" t="s">
        <v>92</v>
      </c>
    </row>
    <row r="9" customFormat="false" ht="11.25" hidden="false" customHeight="true" outlineLevel="0" collapsed="false">
      <c r="A9" s="53" t="s">
        <v>16</v>
      </c>
      <c r="B9" s="53" t="s">
        <v>3103</v>
      </c>
      <c r="C9" s="53" t="s">
        <v>3104</v>
      </c>
      <c r="D9" s="53" t="s">
        <v>3109</v>
      </c>
      <c r="E9" s="53" t="s">
        <v>3110</v>
      </c>
      <c r="F9" s="53" t="s">
        <v>3097</v>
      </c>
      <c r="G9" s="53" t="s">
        <v>122</v>
      </c>
    </row>
    <row r="10" customFormat="false" ht="11.25" hidden="false" customHeight="true" outlineLevel="0" collapsed="false">
      <c r="A10" s="53" t="s">
        <v>16</v>
      </c>
      <c r="B10" s="53" t="s">
        <v>3103</v>
      </c>
      <c r="C10" s="53" t="s">
        <v>3104</v>
      </c>
      <c r="D10" s="53" t="s">
        <v>3111</v>
      </c>
      <c r="E10" s="53" t="s">
        <v>3112</v>
      </c>
      <c r="F10" s="53" t="s">
        <v>3097</v>
      </c>
      <c r="G10" s="53" t="s">
        <v>163</v>
      </c>
    </row>
    <row r="11" customFormat="false" ht="11.25" hidden="false" customHeight="true" outlineLevel="0" collapsed="false">
      <c r="A11" s="53" t="s">
        <v>16</v>
      </c>
      <c r="B11" s="53" t="s">
        <v>3103</v>
      </c>
      <c r="C11" s="53" t="s">
        <v>3104</v>
      </c>
      <c r="D11" s="53" t="s">
        <v>3113</v>
      </c>
      <c r="E11" s="53" t="s">
        <v>3114</v>
      </c>
      <c r="F11" s="53" t="s">
        <v>3097</v>
      </c>
      <c r="G11" s="53" t="s">
        <v>164</v>
      </c>
    </row>
    <row r="12" customFormat="false" ht="11.25" hidden="false" customHeight="true" outlineLevel="0" collapsed="false">
      <c r="A12" s="53" t="s">
        <v>16</v>
      </c>
      <c r="B12" s="53" t="s">
        <v>3115</v>
      </c>
      <c r="C12" s="53" t="s">
        <v>3116</v>
      </c>
      <c r="D12" s="53" t="s">
        <v>3115</v>
      </c>
      <c r="E12" s="53" t="s">
        <v>3116</v>
      </c>
      <c r="F12" s="53" t="s">
        <v>3098</v>
      </c>
      <c r="G12" s="53" t="s">
        <v>165</v>
      </c>
    </row>
    <row r="13" customFormat="false" ht="11.25" hidden="false" customHeight="true" outlineLevel="0" collapsed="false">
      <c r="A13" s="53" t="s">
        <v>16</v>
      </c>
      <c r="B13" s="53" t="s">
        <v>3115</v>
      </c>
      <c r="C13" s="53" t="s">
        <v>3116</v>
      </c>
      <c r="D13" s="53" t="s">
        <v>3117</v>
      </c>
      <c r="E13" s="53" t="s">
        <v>3118</v>
      </c>
      <c r="F13" s="53" t="s">
        <v>3097</v>
      </c>
      <c r="G13" s="53" t="s">
        <v>166</v>
      </c>
    </row>
    <row r="14" customFormat="false" ht="11.25" hidden="false" customHeight="true" outlineLevel="0" collapsed="false">
      <c r="A14" s="53" t="s">
        <v>16</v>
      </c>
      <c r="B14" s="53" t="s">
        <v>3115</v>
      </c>
      <c r="C14" s="53" t="s">
        <v>3116</v>
      </c>
      <c r="D14" s="53" t="s">
        <v>3119</v>
      </c>
      <c r="E14" s="53" t="s">
        <v>3120</v>
      </c>
      <c r="F14" s="53" t="s">
        <v>3097</v>
      </c>
      <c r="G14" s="53" t="s">
        <v>167</v>
      </c>
    </row>
    <row r="15" customFormat="false" ht="11.25" hidden="false" customHeight="true" outlineLevel="0" collapsed="false">
      <c r="A15" s="53" t="s">
        <v>16</v>
      </c>
      <c r="B15" s="53" t="s">
        <v>3115</v>
      </c>
      <c r="C15" s="53" t="s">
        <v>3116</v>
      </c>
      <c r="D15" s="53" t="s">
        <v>3121</v>
      </c>
      <c r="E15" s="53" t="s">
        <v>3122</v>
      </c>
      <c r="F15" s="53" t="s">
        <v>3097</v>
      </c>
      <c r="G15" s="53" t="s">
        <v>168</v>
      </c>
    </row>
    <row r="16" customFormat="false" ht="11.25" hidden="false" customHeight="true" outlineLevel="0" collapsed="false">
      <c r="A16" s="53" t="s">
        <v>16</v>
      </c>
      <c r="B16" s="53" t="s">
        <v>3123</v>
      </c>
      <c r="C16" s="53" t="s">
        <v>3124</v>
      </c>
      <c r="D16" s="53" t="s">
        <v>3125</v>
      </c>
      <c r="E16" s="53" t="s">
        <v>3126</v>
      </c>
      <c r="F16" s="53" t="s">
        <v>3097</v>
      </c>
      <c r="G16" s="53" t="s">
        <v>1094</v>
      </c>
    </row>
    <row r="17" customFormat="false" ht="11.25" hidden="false" customHeight="true" outlineLevel="0" collapsed="false">
      <c r="A17" s="53" t="s">
        <v>16</v>
      </c>
      <c r="B17" s="53" t="s">
        <v>3123</v>
      </c>
      <c r="C17" s="53" t="s">
        <v>3124</v>
      </c>
      <c r="D17" s="53" t="s">
        <v>3123</v>
      </c>
      <c r="E17" s="53" t="s">
        <v>3124</v>
      </c>
      <c r="F17" s="53" t="s">
        <v>3098</v>
      </c>
      <c r="G17" s="53" t="s">
        <v>1100</v>
      </c>
    </row>
    <row r="18" customFormat="false" ht="11.25" hidden="false" customHeight="true" outlineLevel="0" collapsed="false">
      <c r="A18" s="53" t="s">
        <v>16</v>
      </c>
      <c r="B18" s="53" t="s">
        <v>3123</v>
      </c>
      <c r="C18" s="53" t="s">
        <v>3124</v>
      </c>
      <c r="D18" s="53" t="s">
        <v>3127</v>
      </c>
      <c r="E18" s="53" t="s">
        <v>3128</v>
      </c>
      <c r="F18" s="53" t="s">
        <v>3129</v>
      </c>
      <c r="G18" s="53" t="s">
        <v>1102</v>
      </c>
    </row>
    <row r="19" customFormat="false" ht="11.25" hidden="false" customHeight="true" outlineLevel="0" collapsed="false">
      <c r="A19" s="53" t="s">
        <v>16</v>
      </c>
      <c r="B19" s="53" t="s">
        <v>3123</v>
      </c>
      <c r="C19" s="53" t="s">
        <v>3124</v>
      </c>
      <c r="D19" s="53" t="s">
        <v>3130</v>
      </c>
      <c r="E19" s="53" t="s">
        <v>3131</v>
      </c>
      <c r="F19" s="53" t="s">
        <v>3097</v>
      </c>
      <c r="G19" s="53" t="s">
        <v>1111</v>
      </c>
    </row>
    <row r="20" customFormat="false" ht="11.25" hidden="false" customHeight="true" outlineLevel="0" collapsed="false">
      <c r="A20" s="53" t="s">
        <v>16</v>
      </c>
      <c r="B20" s="53" t="s">
        <v>3123</v>
      </c>
      <c r="C20" s="53" t="s">
        <v>3124</v>
      </c>
      <c r="D20" s="53" t="s">
        <v>3132</v>
      </c>
      <c r="E20" s="53" t="s">
        <v>3133</v>
      </c>
      <c r="F20" s="53" t="s">
        <v>3097</v>
      </c>
      <c r="G20" s="53" t="s">
        <v>1114</v>
      </c>
    </row>
    <row r="21" customFormat="false" ht="11.25" hidden="false" customHeight="true" outlineLevel="0" collapsed="false">
      <c r="A21" s="53" t="s">
        <v>16</v>
      </c>
      <c r="B21" s="53" t="s">
        <v>3123</v>
      </c>
      <c r="C21" s="53" t="s">
        <v>3124</v>
      </c>
      <c r="D21" s="53" t="s">
        <v>3134</v>
      </c>
      <c r="E21" s="53" t="s">
        <v>3135</v>
      </c>
      <c r="F21" s="53" t="s">
        <v>3097</v>
      </c>
      <c r="G21" s="53" t="s">
        <v>1116</v>
      </c>
    </row>
    <row r="22" customFormat="false" ht="11.25" hidden="false" customHeight="true" outlineLevel="0" collapsed="false">
      <c r="A22" s="53" t="s">
        <v>16</v>
      </c>
      <c r="B22" s="53" t="s">
        <v>3136</v>
      </c>
      <c r="C22" s="53" t="s">
        <v>3137</v>
      </c>
      <c r="D22" s="53" t="s">
        <v>3138</v>
      </c>
      <c r="E22" s="53" t="s">
        <v>3139</v>
      </c>
      <c r="F22" s="53" t="s">
        <v>3129</v>
      </c>
      <c r="G22" s="53" t="s">
        <v>1124</v>
      </c>
    </row>
    <row r="23" customFormat="false" ht="11.25" hidden="false" customHeight="true" outlineLevel="0" collapsed="false">
      <c r="A23" s="53" t="s">
        <v>16</v>
      </c>
      <c r="B23" s="53" t="s">
        <v>3136</v>
      </c>
      <c r="C23" s="53" t="s">
        <v>3137</v>
      </c>
      <c r="D23" s="53" t="s">
        <v>3136</v>
      </c>
      <c r="E23" s="53" t="s">
        <v>3137</v>
      </c>
      <c r="F23" s="53" t="s">
        <v>3098</v>
      </c>
      <c r="G23" s="53" t="s">
        <v>1126</v>
      </c>
    </row>
    <row r="24" customFormat="false" ht="11.25" hidden="false" customHeight="true" outlineLevel="0" collapsed="false">
      <c r="A24" s="53" t="s">
        <v>16</v>
      </c>
      <c r="B24" s="53" t="s">
        <v>3136</v>
      </c>
      <c r="C24" s="53" t="s">
        <v>3137</v>
      </c>
      <c r="D24" s="53" t="s">
        <v>3140</v>
      </c>
      <c r="E24" s="53" t="s">
        <v>3141</v>
      </c>
      <c r="F24" s="53" t="s">
        <v>3097</v>
      </c>
      <c r="G24" s="53" t="s">
        <v>1128</v>
      </c>
    </row>
    <row r="25" customFormat="false" ht="11.25" hidden="false" customHeight="true" outlineLevel="0" collapsed="false">
      <c r="A25" s="53" t="s">
        <v>16</v>
      </c>
      <c r="B25" s="53" t="s">
        <v>3136</v>
      </c>
      <c r="C25" s="53" t="s">
        <v>3137</v>
      </c>
      <c r="D25" s="53" t="s">
        <v>3142</v>
      </c>
      <c r="E25" s="53" t="s">
        <v>3143</v>
      </c>
      <c r="F25" s="53" t="s">
        <v>3097</v>
      </c>
      <c r="G25" s="53" t="s">
        <v>1130</v>
      </c>
    </row>
    <row r="26" customFormat="false" ht="11.25" hidden="false" customHeight="true" outlineLevel="0" collapsed="false">
      <c r="A26" s="53" t="s">
        <v>16</v>
      </c>
      <c r="B26" s="53" t="s">
        <v>3136</v>
      </c>
      <c r="C26" s="53" t="s">
        <v>3137</v>
      </c>
      <c r="D26" s="53" t="s">
        <v>3144</v>
      </c>
      <c r="E26" s="53" t="s">
        <v>3145</v>
      </c>
      <c r="F26" s="53" t="s">
        <v>3097</v>
      </c>
      <c r="G26" s="53" t="s">
        <v>1132</v>
      </c>
    </row>
    <row r="27" customFormat="false" ht="11.25" hidden="false" customHeight="true" outlineLevel="0" collapsed="false">
      <c r="A27" s="53" t="s">
        <v>16</v>
      </c>
      <c r="B27" s="53" t="s">
        <v>3146</v>
      </c>
      <c r="C27" s="53" t="s">
        <v>3147</v>
      </c>
      <c r="D27" s="53" t="s">
        <v>3148</v>
      </c>
      <c r="E27" s="53" t="s">
        <v>3149</v>
      </c>
      <c r="F27" s="53" t="s">
        <v>3097</v>
      </c>
      <c r="G27" s="53" t="s">
        <v>1134</v>
      </c>
    </row>
    <row r="28" customFormat="false" ht="11.25" hidden="false" customHeight="true" outlineLevel="0" collapsed="false">
      <c r="A28" s="53" t="s">
        <v>16</v>
      </c>
      <c r="B28" s="53" t="s">
        <v>3146</v>
      </c>
      <c r="C28" s="53" t="s">
        <v>3147</v>
      </c>
      <c r="D28" s="53" t="s">
        <v>3150</v>
      </c>
      <c r="E28" s="53" t="s">
        <v>3151</v>
      </c>
      <c r="F28" s="53" t="s">
        <v>3129</v>
      </c>
      <c r="G28" s="53" t="s">
        <v>1148</v>
      </c>
    </row>
    <row r="29" customFormat="false" ht="11.25" hidden="false" customHeight="true" outlineLevel="0" collapsed="false">
      <c r="A29" s="53" t="s">
        <v>16</v>
      </c>
      <c r="B29" s="53" t="s">
        <v>3146</v>
      </c>
      <c r="C29" s="53" t="s">
        <v>3147</v>
      </c>
      <c r="D29" s="53" t="s">
        <v>3152</v>
      </c>
      <c r="E29" s="53" t="s">
        <v>3153</v>
      </c>
      <c r="F29" s="53" t="s">
        <v>3097</v>
      </c>
      <c r="G29" s="53" t="s">
        <v>1149</v>
      </c>
    </row>
    <row r="30" customFormat="false" ht="11.25" hidden="false" customHeight="true" outlineLevel="0" collapsed="false">
      <c r="A30" s="53" t="s">
        <v>16</v>
      </c>
      <c r="B30" s="53" t="s">
        <v>3146</v>
      </c>
      <c r="C30" s="53" t="s">
        <v>3147</v>
      </c>
      <c r="D30" s="53" t="s">
        <v>3146</v>
      </c>
      <c r="E30" s="53" t="s">
        <v>3147</v>
      </c>
      <c r="F30" s="53" t="s">
        <v>3098</v>
      </c>
      <c r="G30" s="53" t="s">
        <v>1150</v>
      </c>
    </row>
    <row r="31" customFormat="false" ht="11.25" hidden="false" customHeight="true" outlineLevel="0" collapsed="false">
      <c r="A31" s="53" t="s">
        <v>16</v>
      </c>
      <c r="B31" s="53" t="s">
        <v>3146</v>
      </c>
      <c r="C31" s="53" t="s">
        <v>3147</v>
      </c>
      <c r="D31" s="53" t="s">
        <v>3154</v>
      </c>
      <c r="E31" s="53" t="s">
        <v>3155</v>
      </c>
      <c r="F31" s="53" t="s">
        <v>3097</v>
      </c>
      <c r="G31" s="53" t="s">
        <v>1151</v>
      </c>
    </row>
    <row r="32" customFormat="false" ht="11.25" hidden="false" customHeight="true" outlineLevel="0" collapsed="false">
      <c r="A32" s="53" t="s">
        <v>16</v>
      </c>
      <c r="B32" s="53" t="s">
        <v>3156</v>
      </c>
      <c r="C32" s="53" t="s">
        <v>3157</v>
      </c>
      <c r="D32" s="53" t="s">
        <v>3158</v>
      </c>
      <c r="E32" s="53" t="s">
        <v>3159</v>
      </c>
      <c r="F32" s="53" t="s">
        <v>3129</v>
      </c>
      <c r="G32" s="53" t="s">
        <v>1152</v>
      </c>
    </row>
    <row r="33" customFormat="false" ht="11.25" hidden="false" customHeight="true" outlineLevel="0" collapsed="false">
      <c r="A33" s="53" t="s">
        <v>16</v>
      </c>
      <c r="B33" s="53" t="s">
        <v>3156</v>
      </c>
      <c r="C33" s="53" t="s">
        <v>3157</v>
      </c>
      <c r="D33" s="53" t="s">
        <v>3156</v>
      </c>
      <c r="E33" s="53" t="s">
        <v>3157</v>
      </c>
      <c r="F33" s="53" t="s">
        <v>3098</v>
      </c>
      <c r="G33" s="53" t="s">
        <v>1153</v>
      </c>
    </row>
    <row r="34" customFormat="false" ht="11.25" hidden="false" customHeight="true" outlineLevel="0" collapsed="false">
      <c r="A34" s="53" t="s">
        <v>16</v>
      </c>
      <c r="B34" s="53" t="s">
        <v>3156</v>
      </c>
      <c r="C34" s="53" t="s">
        <v>3157</v>
      </c>
      <c r="D34" s="53" t="s">
        <v>3160</v>
      </c>
      <c r="E34" s="53" t="s">
        <v>3161</v>
      </c>
      <c r="F34" s="53" t="s">
        <v>3097</v>
      </c>
      <c r="G34" s="53" t="s">
        <v>1722</v>
      </c>
    </row>
    <row r="35" customFormat="false" ht="11.25" hidden="false" customHeight="true" outlineLevel="0" collapsed="false">
      <c r="A35" s="53" t="s">
        <v>16</v>
      </c>
      <c r="B35" s="53" t="s">
        <v>3156</v>
      </c>
      <c r="C35" s="53" t="s">
        <v>3157</v>
      </c>
      <c r="D35" s="53" t="s">
        <v>3162</v>
      </c>
      <c r="E35" s="53" t="s">
        <v>3163</v>
      </c>
      <c r="F35" s="53" t="s">
        <v>3097</v>
      </c>
      <c r="G35" s="53" t="s">
        <v>1727</v>
      </c>
    </row>
    <row r="36" customFormat="false" ht="11.25" hidden="false" customHeight="true" outlineLevel="0" collapsed="false">
      <c r="A36" s="53" t="s">
        <v>16</v>
      </c>
      <c r="B36" s="53" t="s">
        <v>3164</v>
      </c>
      <c r="C36" s="53" t="s">
        <v>3165</v>
      </c>
      <c r="D36" s="53" t="s">
        <v>3166</v>
      </c>
      <c r="E36" s="53" t="s">
        <v>3167</v>
      </c>
      <c r="F36" s="53" t="s">
        <v>3097</v>
      </c>
      <c r="G36" s="53" t="s">
        <v>1732</v>
      </c>
    </row>
    <row r="37" customFormat="false" ht="11.25" hidden="false" customHeight="true" outlineLevel="0" collapsed="false">
      <c r="A37" s="53" t="s">
        <v>16</v>
      </c>
      <c r="B37" s="53" t="s">
        <v>3164</v>
      </c>
      <c r="C37" s="53" t="s">
        <v>3165</v>
      </c>
      <c r="D37" s="53" t="s">
        <v>3168</v>
      </c>
      <c r="E37" s="53" t="s">
        <v>3169</v>
      </c>
      <c r="F37" s="53" t="s">
        <v>3097</v>
      </c>
      <c r="G37" s="53" t="s">
        <v>1736</v>
      </c>
    </row>
    <row r="38" customFormat="false" ht="11.25" hidden="false" customHeight="true" outlineLevel="0" collapsed="false">
      <c r="A38" s="53" t="s">
        <v>16</v>
      </c>
      <c r="B38" s="53" t="s">
        <v>3164</v>
      </c>
      <c r="C38" s="53" t="s">
        <v>3165</v>
      </c>
      <c r="D38" s="53" t="s">
        <v>3164</v>
      </c>
      <c r="E38" s="53" t="s">
        <v>3165</v>
      </c>
      <c r="F38" s="53" t="s">
        <v>3098</v>
      </c>
      <c r="G38" s="53" t="s">
        <v>1744</v>
      </c>
    </row>
    <row r="39" customFormat="false" ht="11.25" hidden="false" customHeight="true" outlineLevel="0" collapsed="false">
      <c r="A39" s="53" t="s">
        <v>16</v>
      </c>
      <c r="B39" s="53" t="s">
        <v>3164</v>
      </c>
      <c r="C39" s="53" t="s">
        <v>3165</v>
      </c>
      <c r="D39" s="53" t="s">
        <v>3170</v>
      </c>
      <c r="E39" s="53" t="s">
        <v>3171</v>
      </c>
      <c r="F39" s="53" t="s">
        <v>3097</v>
      </c>
      <c r="G39" s="53" t="s">
        <v>1750</v>
      </c>
    </row>
    <row r="40" customFormat="false" ht="11.25" hidden="false" customHeight="true" outlineLevel="0" collapsed="false">
      <c r="A40" s="53" t="s">
        <v>16</v>
      </c>
      <c r="B40" s="53" t="s">
        <v>3164</v>
      </c>
      <c r="C40" s="53" t="s">
        <v>3165</v>
      </c>
      <c r="D40" s="53" t="s">
        <v>3172</v>
      </c>
      <c r="E40" s="53" t="s">
        <v>3173</v>
      </c>
      <c r="F40" s="53" t="s">
        <v>3097</v>
      </c>
      <c r="G40" s="53" t="s">
        <v>1755</v>
      </c>
    </row>
    <row r="41" customFormat="false" ht="11.25" hidden="false" customHeight="true" outlineLevel="0" collapsed="false">
      <c r="A41" s="53" t="s">
        <v>16</v>
      </c>
      <c r="B41" s="53" t="s">
        <v>3174</v>
      </c>
      <c r="C41" s="53" t="s">
        <v>3175</v>
      </c>
      <c r="D41" s="53" t="s">
        <v>3176</v>
      </c>
      <c r="E41" s="53" t="s">
        <v>3177</v>
      </c>
      <c r="F41" s="53" t="s">
        <v>3097</v>
      </c>
      <c r="G41" s="53" t="s">
        <v>1759</v>
      </c>
    </row>
    <row r="42" customFormat="false" ht="11.25" hidden="false" customHeight="true" outlineLevel="0" collapsed="false">
      <c r="A42" s="53" t="s">
        <v>16</v>
      </c>
      <c r="B42" s="53" t="s">
        <v>3174</v>
      </c>
      <c r="C42" s="53" t="s">
        <v>3175</v>
      </c>
      <c r="D42" s="53" t="s">
        <v>3178</v>
      </c>
      <c r="E42" s="53" t="s">
        <v>3179</v>
      </c>
      <c r="F42" s="53" t="s">
        <v>3097</v>
      </c>
      <c r="G42" s="53" t="s">
        <v>1762</v>
      </c>
    </row>
    <row r="43" customFormat="false" ht="11.25" hidden="false" customHeight="true" outlineLevel="0" collapsed="false">
      <c r="A43" s="53" t="s">
        <v>16</v>
      </c>
      <c r="B43" s="53" t="s">
        <v>3174</v>
      </c>
      <c r="C43" s="53" t="s">
        <v>3175</v>
      </c>
      <c r="D43" s="53" t="s">
        <v>3174</v>
      </c>
      <c r="E43" s="53" t="s">
        <v>3175</v>
      </c>
      <c r="F43" s="53" t="s">
        <v>3098</v>
      </c>
      <c r="G43" s="53" t="s">
        <v>1769</v>
      </c>
    </row>
    <row r="44" customFormat="false" ht="11.25" hidden="false" customHeight="true" outlineLevel="0" collapsed="false">
      <c r="A44" s="53" t="s">
        <v>16</v>
      </c>
      <c r="B44" s="53" t="s">
        <v>3174</v>
      </c>
      <c r="C44" s="53" t="s">
        <v>3175</v>
      </c>
      <c r="D44" s="53" t="s">
        <v>3180</v>
      </c>
      <c r="E44" s="53" t="s">
        <v>3181</v>
      </c>
      <c r="F44" s="53" t="s">
        <v>3097</v>
      </c>
      <c r="G44" s="53" t="s">
        <v>1778</v>
      </c>
    </row>
    <row r="45" customFormat="false" ht="11.25" hidden="false" customHeight="true" outlineLevel="0" collapsed="false">
      <c r="A45" s="53" t="s">
        <v>16</v>
      </c>
      <c r="B45" s="53" t="s">
        <v>3182</v>
      </c>
      <c r="C45" s="53" t="s">
        <v>3183</v>
      </c>
      <c r="D45" s="53" t="s">
        <v>3184</v>
      </c>
      <c r="E45" s="53" t="s">
        <v>3185</v>
      </c>
      <c r="F45" s="53" t="s">
        <v>3186</v>
      </c>
      <c r="G45" s="53" t="s">
        <v>1783</v>
      </c>
    </row>
    <row r="46" customFormat="false" ht="11.25" hidden="false" customHeight="true" outlineLevel="0" collapsed="false">
      <c r="A46" s="53" t="s">
        <v>16</v>
      </c>
      <c r="B46" s="53" t="s">
        <v>3182</v>
      </c>
      <c r="C46" s="53" t="s">
        <v>3183</v>
      </c>
      <c r="D46" s="53" t="s">
        <v>3187</v>
      </c>
      <c r="E46" s="53" t="s">
        <v>3188</v>
      </c>
      <c r="F46" s="53" t="s">
        <v>3097</v>
      </c>
      <c r="G46" s="53" t="s">
        <v>1787</v>
      </c>
    </row>
    <row r="47" customFormat="false" ht="11.25" hidden="false" customHeight="true" outlineLevel="0" collapsed="false">
      <c r="A47" s="53" t="s">
        <v>16</v>
      </c>
      <c r="B47" s="53" t="s">
        <v>3182</v>
      </c>
      <c r="C47" s="53" t="s">
        <v>3183</v>
      </c>
      <c r="D47" s="53" t="s">
        <v>3182</v>
      </c>
      <c r="E47" s="53" t="s">
        <v>3183</v>
      </c>
      <c r="F47" s="53" t="s">
        <v>3098</v>
      </c>
      <c r="G47" s="53" t="s">
        <v>1792</v>
      </c>
    </row>
    <row r="48" customFormat="false" ht="11.25" hidden="false" customHeight="true" outlineLevel="0" collapsed="false">
      <c r="A48" s="53" t="s">
        <v>16</v>
      </c>
      <c r="B48" s="53" t="s">
        <v>3182</v>
      </c>
      <c r="C48" s="53" t="s">
        <v>3183</v>
      </c>
      <c r="D48" s="53" t="s">
        <v>3189</v>
      </c>
      <c r="E48" s="53" t="s">
        <v>3190</v>
      </c>
      <c r="F48" s="53" t="s">
        <v>3097</v>
      </c>
      <c r="G48" s="53" t="s">
        <v>1797</v>
      </c>
    </row>
    <row r="49" customFormat="false" ht="11.25" hidden="false" customHeight="true" outlineLevel="0" collapsed="false">
      <c r="A49" s="53" t="s">
        <v>16</v>
      </c>
      <c r="B49" s="53" t="s">
        <v>3191</v>
      </c>
      <c r="C49" s="53" t="s">
        <v>3192</v>
      </c>
      <c r="D49" s="53" t="s">
        <v>3193</v>
      </c>
      <c r="E49" s="53" t="s">
        <v>3194</v>
      </c>
      <c r="F49" s="53" t="s">
        <v>3097</v>
      </c>
      <c r="G49" s="53" t="s">
        <v>1800</v>
      </c>
    </row>
    <row r="50" customFormat="false" ht="11.25" hidden="false" customHeight="true" outlineLevel="0" collapsed="false">
      <c r="A50" s="53" t="s">
        <v>16</v>
      </c>
      <c r="B50" s="53" t="s">
        <v>3191</v>
      </c>
      <c r="C50" s="53" t="s">
        <v>3192</v>
      </c>
      <c r="D50" s="53" t="s">
        <v>3195</v>
      </c>
      <c r="E50" s="53" t="s">
        <v>3196</v>
      </c>
      <c r="F50" s="53" t="s">
        <v>3129</v>
      </c>
      <c r="G50" s="53" t="s">
        <v>1804</v>
      </c>
    </row>
    <row r="51" customFormat="false" ht="11.25" hidden="false" customHeight="true" outlineLevel="0" collapsed="false">
      <c r="A51" s="53" t="s">
        <v>16</v>
      </c>
      <c r="B51" s="53" t="s">
        <v>3191</v>
      </c>
      <c r="C51" s="53" t="s">
        <v>3192</v>
      </c>
      <c r="D51" s="53" t="s">
        <v>3152</v>
      </c>
      <c r="E51" s="53" t="s">
        <v>3197</v>
      </c>
      <c r="F51" s="53" t="s">
        <v>3097</v>
      </c>
      <c r="G51" s="53" t="s">
        <v>1809</v>
      </c>
    </row>
    <row r="52" customFormat="false" ht="11.25" hidden="false" customHeight="true" outlineLevel="0" collapsed="false">
      <c r="A52" s="53" t="s">
        <v>16</v>
      </c>
      <c r="B52" s="53" t="s">
        <v>3191</v>
      </c>
      <c r="C52" s="53" t="s">
        <v>3192</v>
      </c>
      <c r="D52" s="53" t="s">
        <v>3198</v>
      </c>
      <c r="E52" s="53" t="s">
        <v>3199</v>
      </c>
      <c r="F52" s="53" t="s">
        <v>3097</v>
      </c>
      <c r="G52" s="53" t="s">
        <v>1813</v>
      </c>
    </row>
    <row r="53" customFormat="false" ht="11.25" hidden="false" customHeight="true" outlineLevel="0" collapsed="false">
      <c r="A53" s="53" t="s">
        <v>16</v>
      </c>
      <c r="B53" s="53" t="s">
        <v>3191</v>
      </c>
      <c r="C53" s="53" t="s">
        <v>3192</v>
      </c>
      <c r="D53" s="53" t="s">
        <v>3191</v>
      </c>
      <c r="E53" s="53" t="s">
        <v>3192</v>
      </c>
      <c r="F53" s="53" t="s">
        <v>3098</v>
      </c>
      <c r="G53" s="53" t="s">
        <v>1815</v>
      </c>
    </row>
    <row r="54" customFormat="false" ht="11.25" hidden="false" customHeight="true" outlineLevel="0" collapsed="false">
      <c r="A54" s="53" t="s">
        <v>16</v>
      </c>
      <c r="B54" s="53" t="s">
        <v>3191</v>
      </c>
      <c r="C54" s="53" t="s">
        <v>3192</v>
      </c>
      <c r="D54" s="53" t="s">
        <v>3200</v>
      </c>
      <c r="E54" s="53" t="s">
        <v>3201</v>
      </c>
      <c r="F54" s="53" t="s">
        <v>3097</v>
      </c>
      <c r="G54" s="53" t="s">
        <v>1818</v>
      </c>
    </row>
    <row r="55" customFormat="false" ht="11.25" hidden="false" customHeight="true" outlineLevel="0" collapsed="false">
      <c r="A55" s="53" t="s">
        <v>16</v>
      </c>
      <c r="B55" s="53" t="s">
        <v>106</v>
      </c>
      <c r="C55" s="53" t="s">
        <v>3202</v>
      </c>
      <c r="D55" s="53" t="s">
        <v>3203</v>
      </c>
      <c r="E55" s="53" t="s">
        <v>3204</v>
      </c>
      <c r="F55" s="53" t="s">
        <v>3129</v>
      </c>
      <c r="G55" s="53" t="s">
        <v>1823</v>
      </c>
    </row>
    <row r="56" customFormat="false" ht="11.25" hidden="false" customHeight="true" outlineLevel="0" collapsed="false">
      <c r="A56" s="53" t="s">
        <v>16</v>
      </c>
      <c r="B56" s="53" t="s">
        <v>106</v>
      </c>
      <c r="C56" s="53" t="s">
        <v>3202</v>
      </c>
      <c r="D56" s="53" t="s">
        <v>3205</v>
      </c>
      <c r="E56" s="53" t="s">
        <v>3206</v>
      </c>
      <c r="F56" s="53" t="s">
        <v>3097</v>
      </c>
      <c r="G56" s="53" t="s">
        <v>1827</v>
      </c>
    </row>
    <row r="57" customFormat="false" ht="11.25" hidden="false" customHeight="true" outlineLevel="0" collapsed="false">
      <c r="A57" s="53" t="s">
        <v>16</v>
      </c>
      <c r="B57" s="53" t="s">
        <v>106</v>
      </c>
      <c r="C57" s="53" t="s">
        <v>3202</v>
      </c>
      <c r="D57" s="53" t="s">
        <v>3207</v>
      </c>
      <c r="E57" s="53" t="s">
        <v>3208</v>
      </c>
      <c r="F57" s="53" t="s">
        <v>3097</v>
      </c>
      <c r="G57" s="53" t="s">
        <v>1830</v>
      </c>
    </row>
    <row r="58" customFormat="false" ht="11.25" hidden="false" customHeight="true" outlineLevel="0" collapsed="false">
      <c r="A58" s="53" t="s">
        <v>16</v>
      </c>
      <c r="B58" s="53" t="s">
        <v>106</v>
      </c>
      <c r="C58" s="53" t="s">
        <v>3202</v>
      </c>
      <c r="D58" s="53" t="s">
        <v>3209</v>
      </c>
      <c r="E58" s="53" t="s">
        <v>3210</v>
      </c>
      <c r="F58" s="53" t="s">
        <v>3097</v>
      </c>
      <c r="G58" s="53" t="s">
        <v>1833</v>
      </c>
    </row>
    <row r="59" customFormat="false" ht="11.25" hidden="false" customHeight="true" outlineLevel="0" collapsed="false">
      <c r="A59" s="53" t="s">
        <v>16</v>
      </c>
      <c r="B59" s="53" t="s">
        <v>106</v>
      </c>
      <c r="C59" s="53" t="s">
        <v>3202</v>
      </c>
      <c r="D59" s="53" t="s">
        <v>106</v>
      </c>
      <c r="E59" s="53" t="s">
        <v>3202</v>
      </c>
      <c r="F59" s="53" t="s">
        <v>3098</v>
      </c>
      <c r="G59" s="53" t="s">
        <v>1837</v>
      </c>
    </row>
    <row r="60" customFormat="false" ht="11.25" hidden="false" customHeight="true" outlineLevel="0" collapsed="false">
      <c r="A60" s="53" t="s">
        <v>16</v>
      </c>
      <c r="B60" s="53" t="s">
        <v>106</v>
      </c>
      <c r="C60" s="53" t="s">
        <v>3202</v>
      </c>
      <c r="D60" s="53" t="s">
        <v>107</v>
      </c>
      <c r="E60" s="53" t="s">
        <v>108</v>
      </c>
      <c r="F60" s="53" t="s">
        <v>3097</v>
      </c>
      <c r="G60" s="53" t="s">
        <v>105</v>
      </c>
    </row>
    <row r="61" customFormat="false" ht="11.25" hidden="false" customHeight="true" outlineLevel="0" collapsed="false">
      <c r="A61" s="53" t="s">
        <v>16</v>
      </c>
      <c r="B61" s="53" t="s">
        <v>3211</v>
      </c>
      <c r="C61" s="53" t="s">
        <v>3212</v>
      </c>
      <c r="D61" s="53" t="s">
        <v>3213</v>
      </c>
      <c r="E61" s="53" t="s">
        <v>3214</v>
      </c>
      <c r="F61" s="53" t="s">
        <v>3097</v>
      </c>
      <c r="G61" s="53" t="s">
        <v>3215</v>
      </c>
    </row>
    <row r="62" customFormat="false" ht="11.25" hidden="false" customHeight="true" outlineLevel="0" collapsed="false">
      <c r="A62" s="53" t="s">
        <v>16</v>
      </c>
      <c r="B62" s="53" t="s">
        <v>3211</v>
      </c>
      <c r="C62" s="53" t="s">
        <v>3212</v>
      </c>
      <c r="D62" s="53" t="s">
        <v>3168</v>
      </c>
      <c r="E62" s="53" t="s">
        <v>3216</v>
      </c>
      <c r="F62" s="53" t="s">
        <v>3097</v>
      </c>
      <c r="G62" s="53" t="s">
        <v>3217</v>
      </c>
    </row>
    <row r="63" customFormat="false" ht="11.25" hidden="false" customHeight="true" outlineLevel="0" collapsed="false">
      <c r="A63" s="53" t="s">
        <v>16</v>
      </c>
      <c r="B63" s="53" t="s">
        <v>3211</v>
      </c>
      <c r="C63" s="53" t="s">
        <v>3212</v>
      </c>
      <c r="D63" s="53" t="s">
        <v>3218</v>
      </c>
      <c r="E63" s="53" t="s">
        <v>3219</v>
      </c>
      <c r="F63" s="53" t="s">
        <v>3097</v>
      </c>
      <c r="G63" s="53" t="s">
        <v>3220</v>
      </c>
    </row>
    <row r="64" customFormat="false" ht="11.25" hidden="false" customHeight="true" outlineLevel="0" collapsed="false">
      <c r="A64" s="53" t="s">
        <v>16</v>
      </c>
      <c r="B64" s="53" t="s">
        <v>3211</v>
      </c>
      <c r="C64" s="53" t="s">
        <v>3212</v>
      </c>
      <c r="D64" s="53" t="s">
        <v>3221</v>
      </c>
      <c r="E64" s="53" t="s">
        <v>3222</v>
      </c>
      <c r="F64" s="53" t="s">
        <v>3097</v>
      </c>
      <c r="G64" s="53" t="s">
        <v>3223</v>
      </c>
    </row>
    <row r="65" customFormat="false" ht="11.25" hidden="false" customHeight="true" outlineLevel="0" collapsed="false">
      <c r="A65" s="53" t="s">
        <v>16</v>
      </c>
      <c r="B65" s="53" t="s">
        <v>3211</v>
      </c>
      <c r="C65" s="53" t="s">
        <v>3212</v>
      </c>
      <c r="D65" s="53" t="s">
        <v>3224</v>
      </c>
      <c r="E65" s="53" t="s">
        <v>3225</v>
      </c>
      <c r="F65" s="53" t="s">
        <v>3097</v>
      </c>
      <c r="G65" s="53" t="s">
        <v>3226</v>
      </c>
    </row>
    <row r="66" customFormat="false" ht="11.25" hidden="false" customHeight="true" outlineLevel="0" collapsed="false">
      <c r="A66" s="53" t="s">
        <v>16</v>
      </c>
      <c r="B66" s="53" t="s">
        <v>3211</v>
      </c>
      <c r="C66" s="53" t="s">
        <v>3212</v>
      </c>
      <c r="D66" s="53" t="s">
        <v>3227</v>
      </c>
      <c r="E66" s="53" t="s">
        <v>3228</v>
      </c>
      <c r="F66" s="53" t="s">
        <v>3097</v>
      </c>
      <c r="G66" s="53" t="s">
        <v>3229</v>
      </c>
    </row>
    <row r="67" customFormat="false" ht="11.25" hidden="false" customHeight="true" outlineLevel="0" collapsed="false">
      <c r="A67" s="53" t="s">
        <v>16</v>
      </c>
      <c r="B67" s="53" t="s">
        <v>3211</v>
      </c>
      <c r="C67" s="53" t="s">
        <v>3212</v>
      </c>
      <c r="D67" s="53" t="s">
        <v>3230</v>
      </c>
      <c r="E67" s="53" t="s">
        <v>3231</v>
      </c>
      <c r="F67" s="53" t="s">
        <v>3097</v>
      </c>
      <c r="G67" s="53" t="s">
        <v>2150</v>
      </c>
    </row>
    <row r="68" customFormat="false" ht="11.25" hidden="false" customHeight="true" outlineLevel="0" collapsed="false">
      <c r="A68" s="53" t="s">
        <v>16</v>
      </c>
      <c r="B68" s="53" t="s">
        <v>3211</v>
      </c>
      <c r="C68" s="53" t="s">
        <v>3212</v>
      </c>
      <c r="D68" s="53" t="s">
        <v>3172</v>
      </c>
      <c r="E68" s="53" t="s">
        <v>3232</v>
      </c>
      <c r="F68" s="53" t="s">
        <v>3097</v>
      </c>
      <c r="G68" s="53" t="s">
        <v>3233</v>
      </c>
    </row>
    <row r="69" customFormat="false" ht="11.25" hidden="false" customHeight="true" outlineLevel="0" collapsed="false">
      <c r="A69" s="53" t="s">
        <v>16</v>
      </c>
      <c r="B69" s="53" t="s">
        <v>3211</v>
      </c>
      <c r="C69" s="53" t="s">
        <v>3212</v>
      </c>
      <c r="D69" s="53" t="s">
        <v>3234</v>
      </c>
      <c r="E69" s="53" t="s">
        <v>3235</v>
      </c>
      <c r="F69" s="53" t="s">
        <v>3097</v>
      </c>
      <c r="G69" s="53" t="s">
        <v>2353</v>
      </c>
    </row>
    <row r="70" customFormat="false" ht="11.25" hidden="false" customHeight="true" outlineLevel="0" collapsed="false">
      <c r="A70" s="53" t="s">
        <v>16</v>
      </c>
      <c r="B70" s="53" t="s">
        <v>3211</v>
      </c>
      <c r="C70" s="53" t="s">
        <v>3212</v>
      </c>
      <c r="D70" s="53" t="s">
        <v>3211</v>
      </c>
      <c r="E70" s="53" t="s">
        <v>3212</v>
      </c>
      <c r="F70" s="53" t="s">
        <v>3098</v>
      </c>
      <c r="G70" s="53" t="s">
        <v>3236</v>
      </c>
    </row>
    <row r="71" customFormat="false" ht="11.25" hidden="false" customHeight="true" outlineLevel="0" collapsed="false">
      <c r="A71" s="53" t="s">
        <v>16</v>
      </c>
      <c r="B71" s="53" t="s">
        <v>3211</v>
      </c>
      <c r="C71" s="53" t="s">
        <v>3212</v>
      </c>
      <c r="D71" s="53" t="s">
        <v>3237</v>
      </c>
      <c r="E71" s="53" t="s">
        <v>3238</v>
      </c>
      <c r="F71" s="53" t="s">
        <v>3097</v>
      </c>
      <c r="G71" s="53" t="s">
        <v>3239</v>
      </c>
    </row>
    <row r="72" customFormat="false" ht="11.25" hidden="false" customHeight="true" outlineLevel="0" collapsed="false">
      <c r="A72" s="53" t="s">
        <v>16</v>
      </c>
      <c r="B72" s="53" t="s">
        <v>3211</v>
      </c>
      <c r="C72" s="53" t="s">
        <v>3212</v>
      </c>
      <c r="D72" s="53" t="s">
        <v>3240</v>
      </c>
      <c r="E72" s="53" t="s">
        <v>3241</v>
      </c>
      <c r="F72" s="53" t="s">
        <v>3097</v>
      </c>
      <c r="G72" s="53" t="s">
        <v>3242</v>
      </c>
    </row>
    <row r="73" customFormat="false" ht="11.25" hidden="false" customHeight="true" outlineLevel="0" collapsed="false">
      <c r="A73" s="53" t="s">
        <v>16</v>
      </c>
      <c r="B73" s="53" t="s">
        <v>3243</v>
      </c>
      <c r="C73" s="53" t="s">
        <v>3244</v>
      </c>
      <c r="D73" s="53" t="s">
        <v>3245</v>
      </c>
      <c r="E73" s="53" t="s">
        <v>3246</v>
      </c>
      <c r="F73" s="53" t="s">
        <v>3097</v>
      </c>
      <c r="G73" s="53" t="s">
        <v>3247</v>
      </c>
    </row>
    <row r="74" customFormat="false" ht="11.25" hidden="false" customHeight="true" outlineLevel="0" collapsed="false">
      <c r="A74" s="53" t="s">
        <v>16</v>
      </c>
      <c r="B74" s="53" t="s">
        <v>3243</v>
      </c>
      <c r="C74" s="53" t="s">
        <v>3244</v>
      </c>
      <c r="D74" s="53" t="s">
        <v>3248</v>
      </c>
      <c r="E74" s="53" t="s">
        <v>3249</v>
      </c>
      <c r="F74" s="53" t="s">
        <v>3129</v>
      </c>
      <c r="G74" s="53" t="s">
        <v>3250</v>
      </c>
    </row>
    <row r="75" customFormat="false" ht="11.25" hidden="false" customHeight="true" outlineLevel="0" collapsed="false">
      <c r="A75" s="53" t="s">
        <v>16</v>
      </c>
      <c r="B75" s="53" t="s">
        <v>3243</v>
      </c>
      <c r="C75" s="53" t="s">
        <v>3244</v>
      </c>
      <c r="D75" s="53" t="s">
        <v>3251</v>
      </c>
      <c r="E75" s="53" t="s">
        <v>3252</v>
      </c>
      <c r="F75" s="53" t="s">
        <v>3097</v>
      </c>
      <c r="G75" s="53" t="s">
        <v>3253</v>
      </c>
    </row>
    <row r="76" customFormat="false" ht="11.25" hidden="false" customHeight="true" outlineLevel="0" collapsed="false">
      <c r="A76" s="53" t="s">
        <v>16</v>
      </c>
      <c r="B76" s="53" t="s">
        <v>3243</v>
      </c>
      <c r="C76" s="53" t="s">
        <v>3244</v>
      </c>
      <c r="D76" s="53" t="s">
        <v>3254</v>
      </c>
      <c r="E76" s="53" t="s">
        <v>3255</v>
      </c>
      <c r="F76" s="53" t="s">
        <v>3097</v>
      </c>
      <c r="G76" s="53" t="s">
        <v>3256</v>
      </c>
    </row>
    <row r="77" customFormat="false" ht="11.25" hidden="false" customHeight="true" outlineLevel="0" collapsed="false">
      <c r="A77" s="53" t="s">
        <v>16</v>
      </c>
      <c r="B77" s="53" t="s">
        <v>3243</v>
      </c>
      <c r="C77" s="53" t="s">
        <v>3244</v>
      </c>
      <c r="D77" s="53" t="s">
        <v>3243</v>
      </c>
      <c r="E77" s="53" t="s">
        <v>3244</v>
      </c>
      <c r="F77" s="53" t="s">
        <v>3098</v>
      </c>
      <c r="G77" s="53" t="s">
        <v>3257</v>
      </c>
    </row>
    <row r="78" customFormat="false" ht="11.25" hidden="false" customHeight="true" outlineLevel="0" collapsed="false">
      <c r="A78" s="53" t="s">
        <v>16</v>
      </c>
      <c r="B78" s="53" t="s">
        <v>3243</v>
      </c>
      <c r="C78" s="53" t="s">
        <v>3244</v>
      </c>
      <c r="D78" s="53" t="s">
        <v>3258</v>
      </c>
      <c r="E78" s="53" t="s">
        <v>3259</v>
      </c>
      <c r="F78" s="53" t="s">
        <v>3097</v>
      </c>
      <c r="G78" s="53" t="s">
        <v>3260</v>
      </c>
    </row>
    <row r="79" customFormat="false" ht="11.25" hidden="false" customHeight="true" outlineLevel="0" collapsed="false">
      <c r="A79" s="53" t="s">
        <v>16</v>
      </c>
      <c r="B79" s="53" t="s">
        <v>111</v>
      </c>
      <c r="C79" s="53" t="s">
        <v>3261</v>
      </c>
      <c r="D79" s="53" t="s">
        <v>3262</v>
      </c>
      <c r="E79" s="53" t="s">
        <v>3263</v>
      </c>
      <c r="F79" s="53" t="s">
        <v>3097</v>
      </c>
      <c r="G79" s="53" t="s">
        <v>3264</v>
      </c>
    </row>
    <row r="80" customFormat="false" ht="11.25" hidden="false" customHeight="true" outlineLevel="0" collapsed="false">
      <c r="A80" s="53" t="s">
        <v>16</v>
      </c>
      <c r="B80" s="53" t="s">
        <v>111</v>
      </c>
      <c r="C80" s="53" t="s">
        <v>3261</v>
      </c>
      <c r="D80" s="53" t="s">
        <v>112</v>
      </c>
      <c r="E80" s="53" t="s">
        <v>113</v>
      </c>
      <c r="F80" s="53" t="s">
        <v>3129</v>
      </c>
      <c r="G80" s="53" t="s">
        <v>110</v>
      </c>
    </row>
    <row r="81" customFormat="false" ht="11.25" hidden="false" customHeight="true" outlineLevel="0" collapsed="false">
      <c r="A81" s="53" t="s">
        <v>16</v>
      </c>
      <c r="B81" s="53" t="s">
        <v>111</v>
      </c>
      <c r="C81" s="53" t="s">
        <v>3261</v>
      </c>
      <c r="D81" s="53" t="s">
        <v>3265</v>
      </c>
      <c r="E81" s="53" t="s">
        <v>3266</v>
      </c>
      <c r="F81" s="53" t="s">
        <v>3097</v>
      </c>
      <c r="G81" s="53" t="s">
        <v>3267</v>
      </c>
    </row>
    <row r="82" customFormat="false" ht="11.25" hidden="false" customHeight="true" outlineLevel="0" collapsed="false">
      <c r="A82" s="53" t="s">
        <v>16</v>
      </c>
      <c r="B82" s="53" t="s">
        <v>111</v>
      </c>
      <c r="C82" s="53" t="s">
        <v>3261</v>
      </c>
      <c r="D82" s="53" t="s">
        <v>3268</v>
      </c>
      <c r="E82" s="53" t="s">
        <v>3269</v>
      </c>
      <c r="F82" s="53" t="s">
        <v>3097</v>
      </c>
      <c r="G82" s="53" t="s">
        <v>3270</v>
      </c>
    </row>
    <row r="83" customFormat="false" ht="11.25" hidden="false" customHeight="true" outlineLevel="0" collapsed="false">
      <c r="A83" s="53" t="s">
        <v>16</v>
      </c>
      <c r="B83" s="53" t="s">
        <v>111</v>
      </c>
      <c r="C83" s="53" t="s">
        <v>3261</v>
      </c>
      <c r="D83" s="53" t="s">
        <v>3271</v>
      </c>
      <c r="E83" s="53" t="s">
        <v>3272</v>
      </c>
      <c r="F83" s="53" t="s">
        <v>3097</v>
      </c>
      <c r="G83" s="53" t="s">
        <v>3273</v>
      </c>
    </row>
    <row r="84" customFormat="false" ht="11.25" hidden="false" customHeight="true" outlineLevel="0" collapsed="false">
      <c r="A84" s="53" t="s">
        <v>16</v>
      </c>
      <c r="B84" s="53" t="s">
        <v>111</v>
      </c>
      <c r="C84" s="53" t="s">
        <v>3261</v>
      </c>
      <c r="D84" s="53" t="s">
        <v>111</v>
      </c>
      <c r="E84" s="53" t="s">
        <v>3261</v>
      </c>
      <c r="F84" s="53" t="s">
        <v>3098</v>
      </c>
      <c r="G84" s="53" t="s">
        <v>3274</v>
      </c>
    </row>
    <row r="85" customFormat="false" ht="11.25" hidden="false" customHeight="true" outlineLevel="0" collapsed="false">
      <c r="A85" s="53" t="s">
        <v>16</v>
      </c>
      <c r="B85" s="53" t="s">
        <v>111</v>
      </c>
      <c r="C85" s="53" t="s">
        <v>3261</v>
      </c>
      <c r="D85" s="53" t="s">
        <v>3275</v>
      </c>
      <c r="E85" s="53" t="s">
        <v>3276</v>
      </c>
      <c r="F85" s="53" t="s">
        <v>3097</v>
      </c>
      <c r="G85" s="53" t="s">
        <v>3277</v>
      </c>
    </row>
    <row r="86" customFormat="false" ht="11.25" hidden="false" customHeight="true" outlineLevel="0" collapsed="false">
      <c r="A86" s="53" t="s">
        <v>16</v>
      </c>
      <c r="B86" s="53" t="s">
        <v>3278</v>
      </c>
      <c r="C86" s="53" t="s">
        <v>3279</v>
      </c>
      <c r="D86" s="53" t="s">
        <v>3280</v>
      </c>
      <c r="E86" s="53" t="s">
        <v>3281</v>
      </c>
      <c r="F86" s="53" t="s">
        <v>3186</v>
      </c>
      <c r="G86" s="53" t="s">
        <v>3282</v>
      </c>
    </row>
    <row r="87" customFormat="false" ht="11.25" hidden="false" customHeight="true" outlineLevel="0" collapsed="false">
      <c r="A87" s="53" t="s">
        <v>16</v>
      </c>
      <c r="B87" s="53" t="s">
        <v>3278</v>
      </c>
      <c r="C87" s="53" t="s">
        <v>3279</v>
      </c>
      <c r="D87" s="53" t="s">
        <v>3283</v>
      </c>
      <c r="E87" s="53" t="s">
        <v>3284</v>
      </c>
      <c r="F87" s="53" t="s">
        <v>3097</v>
      </c>
      <c r="G87" s="53" t="s">
        <v>3285</v>
      </c>
    </row>
    <row r="88" customFormat="false" ht="11.25" hidden="false" customHeight="true" outlineLevel="0" collapsed="false">
      <c r="A88" s="53" t="s">
        <v>16</v>
      </c>
      <c r="B88" s="53" t="s">
        <v>3278</v>
      </c>
      <c r="C88" s="53" t="s">
        <v>3279</v>
      </c>
      <c r="D88" s="53" t="s">
        <v>3286</v>
      </c>
      <c r="E88" s="53" t="s">
        <v>3287</v>
      </c>
      <c r="F88" s="53" t="s">
        <v>3097</v>
      </c>
      <c r="G88" s="53" t="s">
        <v>3288</v>
      </c>
    </row>
    <row r="89" customFormat="false" ht="11.25" hidden="false" customHeight="true" outlineLevel="0" collapsed="false">
      <c r="A89" s="53" t="s">
        <v>16</v>
      </c>
      <c r="B89" s="53" t="s">
        <v>3278</v>
      </c>
      <c r="C89" s="53" t="s">
        <v>3279</v>
      </c>
      <c r="D89" s="53" t="s">
        <v>3289</v>
      </c>
      <c r="E89" s="53" t="s">
        <v>3290</v>
      </c>
      <c r="F89" s="53" t="s">
        <v>3097</v>
      </c>
      <c r="G89" s="53" t="s">
        <v>3291</v>
      </c>
    </row>
    <row r="90" customFormat="false" ht="11.25" hidden="false" customHeight="true" outlineLevel="0" collapsed="false">
      <c r="A90" s="53" t="s">
        <v>16</v>
      </c>
      <c r="B90" s="53" t="s">
        <v>3278</v>
      </c>
      <c r="C90" s="53" t="s">
        <v>3279</v>
      </c>
      <c r="D90" s="53" t="s">
        <v>3292</v>
      </c>
      <c r="E90" s="53" t="s">
        <v>3293</v>
      </c>
      <c r="F90" s="53" t="s">
        <v>3097</v>
      </c>
      <c r="G90" s="53" t="s">
        <v>3294</v>
      </c>
    </row>
    <row r="91" customFormat="false" ht="11.25" hidden="false" customHeight="true" outlineLevel="0" collapsed="false">
      <c r="A91" s="53" t="s">
        <v>16</v>
      </c>
      <c r="B91" s="53" t="s">
        <v>3278</v>
      </c>
      <c r="C91" s="53" t="s">
        <v>3279</v>
      </c>
      <c r="D91" s="53" t="s">
        <v>3295</v>
      </c>
      <c r="E91" s="53" t="s">
        <v>3296</v>
      </c>
      <c r="F91" s="53" t="s">
        <v>3097</v>
      </c>
      <c r="G91" s="53" t="s">
        <v>3297</v>
      </c>
    </row>
    <row r="92" customFormat="false" ht="11.25" hidden="false" customHeight="true" outlineLevel="0" collapsed="false">
      <c r="A92" s="53" t="s">
        <v>16</v>
      </c>
      <c r="B92" s="53" t="s">
        <v>3278</v>
      </c>
      <c r="C92" s="53" t="s">
        <v>3279</v>
      </c>
      <c r="D92" s="53" t="s">
        <v>3180</v>
      </c>
      <c r="E92" s="53" t="s">
        <v>3298</v>
      </c>
      <c r="F92" s="53" t="s">
        <v>3097</v>
      </c>
      <c r="G92" s="53" t="s">
        <v>3299</v>
      </c>
    </row>
    <row r="93" customFormat="false" ht="11.25" hidden="false" customHeight="true" outlineLevel="0" collapsed="false">
      <c r="A93" s="53" t="s">
        <v>16</v>
      </c>
      <c r="B93" s="53" t="s">
        <v>3278</v>
      </c>
      <c r="C93" s="53" t="s">
        <v>3279</v>
      </c>
      <c r="D93" s="53" t="s">
        <v>3300</v>
      </c>
      <c r="E93" s="53" t="s">
        <v>3301</v>
      </c>
      <c r="F93" s="53" t="s">
        <v>3097</v>
      </c>
      <c r="G93" s="53" t="s">
        <v>3302</v>
      </c>
    </row>
    <row r="94" customFormat="false" ht="11.25" hidden="false" customHeight="true" outlineLevel="0" collapsed="false">
      <c r="A94" s="53" t="s">
        <v>16</v>
      </c>
      <c r="B94" s="53" t="s">
        <v>3278</v>
      </c>
      <c r="C94" s="53" t="s">
        <v>3279</v>
      </c>
      <c r="D94" s="53" t="s">
        <v>3278</v>
      </c>
      <c r="E94" s="53" t="s">
        <v>3279</v>
      </c>
      <c r="F94" s="53" t="s">
        <v>3098</v>
      </c>
      <c r="G94" s="53" t="s">
        <v>3303</v>
      </c>
    </row>
    <row r="95" customFormat="false" ht="11.25" hidden="false" customHeight="true" outlineLevel="0" collapsed="false">
      <c r="A95" s="53" t="s">
        <v>16</v>
      </c>
      <c r="B95" s="53" t="s">
        <v>3304</v>
      </c>
      <c r="C95" s="53" t="s">
        <v>3305</v>
      </c>
      <c r="D95" s="53" t="s">
        <v>3304</v>
      </c>
      <c r="E95" s="53" t="s">
        <v>3305</v>
      </c>
      <c r="F95" s="53" t="s">
        <v>3306</v>
      </c>
      <c r="G95" s="53" t="s">
        <v>3307</v>
      </c>
    </row>
    <row r="96" customFormat="false" ht="11.25" hidden="false" customHeight="true" outlineLevel="0" collapsed="false">
      <c r="A96" s="53" t="s">
        <v>16</v>
      </c>
      <c r="B96" s="53" t="s">
        <v>3308</v>
      </c>
      <c r="C96" s="53" t="s">
        <v>3309</v>
      </c>
      <c r="D96" s="53" t="s">
        <v>3308</v>
      </c>
      <c r="E96" s="53" t="s">
        <v>3309</v>
      </c>
      <c r="F96" s="53" t="s">
        <v>3306</v>
      </c>
      <c r="G96" s="53" t="s">
        <v>3310</v>
      </c>
    </row>
    <row r="97" customFormat="false" ht="11.25" hidden="false" customHeight="true" outlineLevel="0" collapsed="false">
      <c r="A97" s="53" t="s">
        <v>16</v>
      </c>
      <c r="B97" s="53" t="s">
        <v>99</v>
      </c>
      <c r="C97" s="53" t="s">
        <v>100</v>
      </c>
      <c r="D97" s="53" t="s">
        <v>99</v>
      </c>
      <c r="E97" s="53" t="s">
        <v>100</v>
      </c>
      <c r="F97" s="53" t="s">
        <v>3306</v>
      </c>
      <c r="G97" s="53" t="s">
        <v>98</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false" hidden="false" outlineLevel="0" max="1" min="1" style="678" width="9.14"/>
    <col collapsed="false" customWidth="true" hidden="false" outlineLevel="0" max="2" min="2" style="678" width="84.28"/>
    <col collapsed="false" customWidth="false" hidden="false" outlineLevel="0" max="3" min="3" style="678" width="9.14"/>
  </cols>
  <sheetData>
    <row r="1" customFormat="false" ht="11.25" hidden="false" customHeight="true" outlineLevel="0" collapsed="false">
      <c r="A1" s="678" t="s">
        <v>3420</v>
      </c>
      <c r="B1" s="678" t="s">
        <v>3421</v>
      </c>
      <c r="C1" s="678" t="s">
        <v>1335</v>
      </c>
    </row>
    <row r="2" customFormat="false" ht="11.25" hidden="false" customHeight="true" outlineLevel="0" collapsed="false">
      <c r="A2" s="678" t="n">
        <v>4189678</v>
      </c>
      <c r="B2" s="678" t="s">
        <v>3422</v>
      </c>
      <c r="C2" s="678" t="s">
        <v>3423</v>
      </c>
    </row>
    <row r="3" customFormat="false" ht="11.25" hidden="false" customHeight="true" outlineLevel="0" collapsed="false">
      <c r="A3" s="678" t="n">
        <v>4190415</v>
      </c>
      <c r="B3" s="678" t="s">
        <v>3424</v>
      </c>
      <c r="C3" s="678" t="s">
        <v>3423</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5" zeroHeight="false" outlineLevelRow="0" outlineLevelCol="0"/>
  <cols>
    <col collapsed="false" customWidth="true" hidden="false" outlineLevel="0" max="1" min="1" style="1248" width="38.42"/>
    <col collapsed="false" customWidth="false" hidden="false" outlineLevel="0" max="5" min="2" style="1248" width="9.14"/>
  </cols>
  <sheetData>
    <row r="1" customFormat="false" ht="15" hidden="false" customHeight="true" outlineLevel="0" collapsed="false">
      <c r="A1" s="1249" t="s">
        <v>3425</v>
      </c>
      <c r="B1" s="1249" t="s">
        <v>3426</v>
      </c>
      <c r="C1" s="1249"/>
      <c r="D1" s="1249"/>
      <c r="E1" s="1249"/>
    </row>
    <row r="2" customFormat="false" ht="15" hidden="false" customHeight="true" outlineLevel="0" collapsed="false">
      <c r="A2" s="1249"/>
      <c r="B2" s="1249"/>
      <c r="C2" s="1249"/>
      <c r="D2" s="1249"/>
      <c r="E2" s="1249"/>
    </row>
    <row r="3" customFormat="false" ht="15" hidden="false" customHeight="true" outlineLevel="0" collapsed="false">
      <c r="A3" s="1249"/>
      <c r="B3" s="1249"/>
      <c r="C3" s="1249"/>
      <c r="D3" s="1249"/>
      <c r="E3" s="1249"/>
    </row>
    <row r="4" customFormat="false" ht="15" hidden="false" customHeight="true" outlineLevel="0" collapsed="false">
      <c r="A4" s="1249"/>
      <c r="B4" s="1249"/>
      <c r="C4" s="1249"/>
      <c r="D4" s="1249"/>
      <c r="E4" s="1249"/>
    </row>
    <row r="5" customFormat="false" ht="15" hidden="false" customHeight="true" outlineLevel="0" collapsed="false">
      <c r="A5" s="1249"/>
      <c r="B5" s="1249"/>
      <c r="C5" s="1249"/>
      <c r="D5" s="1249"/>
      <c r="E5" s="1249"/>
    </row>
    <row r="6" customFormat="false" ht="15" hidden="false" customHeight="true" outlineLevel="0" collapsed="false">
      <c r="A6" s="1249"/>
      <c r="B6" s="1249"/>
      <c r="C6" s="1249"/>
      <c r="D6" s="1249"/>
      <c r="E6" s="1249"/>
    </row>
    <row r="7" customFormat="false" ht="15" hidden="false" customHeight="true" outlineLevel="0" collapsed="false">
      <c r="A7" s="1249"/>
      <c r="B7" s="1249"/>
      <c r="C7" s="1249"/>
      <c r="D7" s="1249"/>
      <c r="E7" s="1249"/>
    </row>
    <row r="8" customFormat="false" ht="15" hidden="false" customHeight="true" outlineLevel="0" collapsed="false">
      <c r="A8" s="1249"/>
      <c r="B8" s="1249"/>
      <c r="C8" s="1249"/>
      <c r="D8" s="1249"/>
      <c r="E8" s="1249"/>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row r="1" customFormat="false" ht="11.25" hidden="false" customHeight="true" outlineLevel="0" collapsed="false">
      <c r="A1" s="53" t="s">
        <v>3427</v>
      </c>
      <c r="B1" s="53" t="n">
        <f aca="false">TRUE()</f>
        <v>1</v>
      </c>
    </row>
    <row r="2" customFormat="false" ht="11.25" hidden="false" customHeight="true" outlineLevel="0" collapsed="false">
      <c r="A2" s="53" t="s">
        <v>3428</v>
      </c>
      <c r="B2" s="53" t="n">
        <f aca="false">FALSE()</f>
        <v>0</v>
      </c>
    </row>
    <row r="3" customFormat="false" ht="11.25" hidden="false" customHeight="true" outlineLevel="0" collapsed="false">
      <c r="A3" s="53" t="s">
        <v>3429</v>
      </c>
      <c r="B3" s="53" t="n">
        <f aca="false">TRUE()</f>
        <v>1</v>
      </c>
    </row>
    <row r="4" customFormat="false" ht="11.25" hidden="false" customHeight="true" outlineLevel="0" collapsed="false">
      <c r="A4" s="53" t="s">
        <v>3430</v>
      </c>
      <c r="B4" s="53" t="n">
        <f aca="false">FALSE()</f>
        <v>0</v>
      </c>
    </row>
    <row r="5" customFormat="false" ht="11.25" hidden="false" customHeight="true" outlineLevel="0" collapsed="false">
      <c r="A5" s="53" t="s">
        <v>3431</v>
      </c>
      <c r="B5" s="53" t="n">
        <f aca="false">FALSE()</f>
        <v>0</v>
      </c>
    </row>
    <row r="6" customFormat="false" ht="11.25" hidden="false" customHeight="true" outlineLevel="0" collapsed="false">
      <c r="A6" s="53" t="s">
        <v>3432</v>
      </c>
      <c r="B6" s="53" t="n">
        <f aca="false">FALSE()</f>
        <v>0</v>
      </c>
    </row>
    <row r="7" customFormat="false" ht="11.25" hidden="false" customHeight="true" outlineLevel="0" collapsed="false">
      <c r="A7" s="53" t="s">
        <v>3433</v>
      </c>
      <c r="B7" s="53" t="n">
        <f aca="false">FALSE()</f>
        <v>0</v>
      </c>
    </row>
    <row r="8" customFormat="false" ht="11.25" hidden="false" customHeight="true" outlineLevel="0" collapsed="false">
      <c r="A8" s="53" t="s">
        <v>3434</v>
      </c>
      <c r="B8" s="53" t="n">
        <f aca="false">FALSE()</f>
        <v>0</v>
      </c>
    </row>
    <row r="9" customFormat="false" ht="11.25" hidden="false" customHeight="true" outlineLevel="0" collapsed="false">
      <c r="A9" s="53" t="s">
        <v>3435</v>
      </c>
      <c r="B9" s="53" t="n">
        <f aca="false">FALSE()</f>
        <v>0</v>
      </c>
    </row>
    <row r="10" customFormat="false" ht="11.25" hidden="false" customHeight="true" outlineLevel="0" collapsed="false">
      <c r="A10" s="53" t="s">
        <v>3436</v>
      </c>
      <c r="B10" s="53" t="n">
        <f aca="false">TRUE()</f>
        <v>1</v>
      </c>
    </row>
    <row r="11" customFormat="false" ht="11.25" hidden="false" customHeight="true" outlineLevel="0" collapsed="false">
      <c r="A11" s="53" t="s">
        <v>3437</v>
      </c>
      <c r="B11" s="53" t="n">
        <f aca="false">FALSE()</f>
        <v>0</v>
      </c>
    </row>
    <row r="12" customFormat="false" ht="11.25" hidden="false" customHeight="true" outlineLevel="0" collapsed="false">
      <c r="A12" s="53" t="s">
        <v>3438</v>
      </c>
      <c r="B12" s="53" t="n">
        <f aca="false">FALSE()</f>
        <v>0</v>
      </c>
    </row>
    <row r="13" customFormat="false" ht="11.25" hidden="false" customHeight="true" outlineLevel="0" collapsed="false">
      <c r="A13" s="53" t="s">
        <v>3439</v>
      </c>
      <c r="B13" s="53" t="n">
        <f aca="false">FALSE()</f>
        <v>0</v>
      </c>
    </row>
    <row r="14" customFormat="false" ht="11.25" hidden="false" customHeight="true" outlineLevel="0" collapsed="false">
      <c r="A14" s="53" t="s">
        <v>3440</v>
      </c>
      <c r="B14" s="53" t="n">
        <f aca="false">FALSE()</f>
        <v>0</v>
      </c>
    </row>
    <row r="15" customFormat="false" ht="11.25" hidden="false" customHeight="true" outlineLevel="0" collapsed="false">
      <c r="A15" s="53" t="s">
        <v>3441</v>
      </c>
      <c r="B15" s="53" t="n">
        <f aca="false">TRUE()</f>
        <v>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2.75" zeroHeight="false" outlineLevelRow="0" outlineLevelCol="0"/>
  <cols>
    <col collapsed="false" customWidth="false" hidden="false" outlineLevel="0" max="1" min="1" style="1" width="9.14"/>
  </cols>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5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true" hidden="false" outlineLevel="0" max="1" min="1" style="53" width="36.28"/>
    <col collapsed="false" customWidth="true" hidden="false" outlineLevel="0" max="2" min="2" style="53" width="21.14"/>
  </cols>
  <sheetData>
    <row r="1" customFormat="false" ht="11.25" hidden="false" customHeight="true" outlineLevel="0" collapsed="false">
      <c r="A1" s="1250" t="s">
        <v>3442</v>
      </c>
      <c r="B1" s="1250" t="s">
        <v>3443</v>
      </c>
    </row>
    <row r="2" customFormat="false" ht="11.25" hidden="false" customHeight="true" outlineLevel="0" collapsed="false">
      <c r="A2" s="174" t="s">
        <v>3444</v>
      </c>
      <c r="B2" s="174" t="s">
        <v>3445</v>
      </c>
    </row>
    <row r="3" customFormat="false" ht="11.25" hidden="false" customHeight="true" outlineLevel="0" collapsed="false">
      <c r="A3" s="174" t="s">
        <v>3446</v>
      </c>
      <c r="B3" s="174" t="s">
        <v>3447</v>
      </c>
    </row>
    <row r="4" customFormat="false" ht="11.25" hidden="false" customHeight="true" outlineLevel="0" collapsed="false">
      <c r="A4" s="174" t="s">
        <v>3448</v>
      </c>
      <c r="B4" s="174" t="s">
        <v>3449</v>
      </c>
    </row>
    <row r="5" customFormat="false" ht="11.25" hidden="false" customHeight="true" outlineLevel="0" collapsed="false">
      <c r="A5" s="174" t="s">
        <v>3450</v>
      </c>
      <c r="B5" s="174" t="s">
        <v>3451</v>
      </c>
    </row>
    <row r="6" customFormat="false" ht="11.25" hidden="false" customHeight="true" outlineLevel="0" collapsed="false">
      <c r="A6" s="174" t="s">
        <v>3452</v>
      </c>
      <c r="B6" s="174" t="s">
        <v>3453</v>
      </c>
    </row>
    <row r="7" customFormat="false" ht="11.25" hidden="false" customHeight="true" outlineLevel="0" collapsed="false">
      <c r="A7" s="174" t="s">
        <v>3454</v>
      </c>
      <c r="B7" s="174" t="s">
        <v>3455</v>
      </c>
    </row>
    <row r="8" customFormat="false" ht="11.25" hidden="false" customHeight="true" outlineLevel="0" collapsed="false">
      <c r="A8" s="174" t="s">
        <v>3456</v>
      </c>
      <c r="B8" s="174" t="s">
        <v>3457</v>
      </c>
    </row>
    <row r="9" customFormat="false" ht="11.25" hidden="false" customHeight="true" outlineLevel="0" collapsed="false">
      <c r="A9" s="174" t="s">
        <v>3458</v>
      </c>
      <c r="B9" s="174" t="s">
        <v>3459</v>
      </c>
    </row>
    <row r="10" customFormat="false" ht="11.25" hidden="false" customHeight="true" outlineLevel="0" collapsed="false">
      <c r="A10" s="174" t="s">
        <v>3460</v>
      </c>
      <c r="B10" s="174" t="s">
        <v>3461</v>
      </c>
    </row>
    <row r="11" customFormat="false" ht="11.25" hidden="false" customHeight="true" outlineLevel="0" collapsed="false">
      <c r="A11" s="174" t="s">
        <v>3462</v>
      </c>
      <c r="B11" s="174" t="s">
        <v>3463</v>
      </c>
    </row>
    <row r="12" customFormat="false" ht="11.25" hidden="false" customHeight="true" outlineLevel="0" collapsed="false">
      <c r="A12" s="174" t="s">
        <v>3464</v>
      </c>
      <c r="B12" s="174" t="s">
        <v>3465</v>
      </c>
    </row>
    <row r="13" customFormat="false" ht="11.25" hidden="false" customHeight="true" outlineLevel="0" collapsed="false">
      <c r="A13" s="174" t="s">
        <v>3466</v>
      </c>
      <c r="B13" s="174" t="s">
        <v>3467</v>
      </c>
    </row>
    <row r="14" customFormat="false" ht="11.25" hidden="false" customHeight="true" outlineLevel="0" collapsed="false">
      <c r="A14" s="174" t="s">
        <v>3468</v>
      </c>
      <c r="B14" s="174" t="s">
        <v>3469</v>
      </c>
    </row>
    <row r="15" customFormat="false" ht="11.25" hidden="false" customHeight="true" outlineLevel="0" collapsed="false">
      <c r="A15" s="174" t="s">
        <v>3470</v>
      </c>
      <c r="B15" s="174" t="s">
        <v>3471</v>
      </c>
    </row>
    <row r="16" customFormat="false" ht="11.25" hidden="false" customHeight="true" outlineLevel="0" collapsed="false">
      <c r="A16" s="174" t="s">
        <v>3472</v>
      </c>
      <c r="B16" s="174" t="s">
        <v>3473</v>
      </c>
    </row>
    <row r="17" customFormat="false" ht="11.25" hidden="false" customHeight="true" outlineLevel="0" collapsed="false">
      <c r="A17" s="174" t="s">
        <v>3474</v>
      </c>
      <c r="B17" s="174" t="s">
        <v>3475</v>
      </c>
    </row>
    <row r="18" customFormat="false" ht="11.25" hidden="false" customHeight="true" outlineLevel="0" collapsed="false">
      <c r="A18" s="174" t="s">
        <v>3476</v>
      </c>
      <c r="B18" s="174" t="s">
        <v>3477</v>
      </c>
    </row>
    <row r="19" customFormat="false" ht="11.25" hidden="false" customHeight="true" outlineLevel="0" collapsed="false">
      <c r="A19" s="174" t="s">
        <v>3478</v>
      </c>
      <c r="B19" s="174" t="s">
        <v>3479</v>
      </c>
    </row>
    <row r="20" customFormat="false" ht="11.25" hidden="false" customHeight="true" outlineLevel="0" collapsed="false">
      <c r="A20" s="174" t="s">
        <v>3480</v>
      </c>
      <c r="B20" s="174" t="s">
        <v>3481</v>
      </c>
    </row>
    <row r="21" customFormat="false" ht="11.25" hidden="false" customHeight="true" outlineLevel="0" collapsed="false">
      <c r="A21" s="174" t="s">
        <v>3482</v>
      </c>
      <c r="B21" s="174" t="s">
        <v>3483</v>
      </c>
    </row>
    <row r="22" customFormat="false" ht="11.25" hidden="false" customHeight="true" outlineLevel="0" collapsed="false">
      <c r="A22" s="174" t="s">
        <v>3484</v>
      </c>
      <c r="B22" s="174" t="s">
        <v>3485</v>
      </c>
    </row>
    <row r="23" customFormat="false" ht="11.25" hidden="false" customHeight="true" outlineLevel="0" collapsed="false">
      <c r="A23" s="174" t="s">
        <v>3486</v>
      </c>
      <c r="B23" s="174" t="s">
        <v>3487</v>
      </c>
    </row>
    <row r="24" customFormat="false" ht="11.25" hidden="false" customHeight="true" outlineLevel="0" collapsed="false">
      <c r="A24" s="174" t="s">
        <v>3488</v>
      </c>
      <c r="B24" s="174" t="s">
        <v>3489</v>
      </c>
    </row>
    <row r="25" customFormat="false" ht="11.25" hidden="false" customHeight="true" outlineLevel="0" collapsed="false">
      <c r="A25" s="174" t="s">
        <v>3490</v>
      </c>
      <c r="B25" s="174" t="s">
        <v>3491</v>
      </c>
    </row>
    <row r="26" customFormat="false" ht="11.25" hidden="false" customHeight="true" outlineLevel="0" collapsed="false">
      <c r="A26" s="174" t="s">
        <v>3492</v>
      </c>
      <c r="B26" s="174" t="s">
        <v>3493</v>
      </c>
    </row>
    <row r="27" customFormat="false" ht="11.25" hidden="false" customHeight="true" outlineLevel="0" collapsed="false">
      <c r="A27" s="174" t="s">
        <v>3494</v>
      </c>
      <c r="B27" s="174" t="s">
        <v>3495</v>
      </c>
    </row>
    <row r="28" customFormat="false" ht="11.25" hidden="false" customHeight="true" outlineLevel="0" collapsed="false">
      <c r="A28" s="174" t="s">
        <v>3496</v>
      </c>
      <c r="B28" s="174" t="s">
        <v>3497</v>
      </c>
    </row>
    <row r="29" customFormat="false" ht="11.25" hidden="false" customHeight="true" outlineLevel="0" collapsed="false">
      <c r="A29" s="174" t="s">
        <v>3498</v>
      </c>
      <c r="B29" s="174" t="s">
        <v>3499</v>
      </c>
    </row>
    <row r="30" customFormat="false" ht="11.25" hidden="false" customHeight="true" outlineLevel="0" collapsed="false">
      <c r="A30" s="174" t="s">
        <v>3500</v>
      </c>
      <c r="B30" s="174" t="s">
        <v>3501</v>
      </c>
    </row>
    <row r="31" customFormat="false" ht="11.25" hidden="false" customHeight="true" outlineLevel="0" collapsed="false">
      <c r="A31" s="174" t="s">
        <v>3502</v>
      </c>
      <c r="B31" s="174" t="s">
        <v>3503</v>
      </c>
    </row>
    <row r="32" customFormat="false" ht="11.25" hidden="false" customHeight="true" outlineLevel="0" collapsed="false">
      <c r="A32" s="174" t="s">
        <v>3504</v>
      </c>
      <c r="B32" s="174" t="s">
        <v>3505</v>
      </c>
    </row>
    <row r="33" customFormat="false" ht="11.25" hidden="false" customHeight="true" outlineLevel="0" collapsed="false">
      <c r="A33" s="174" t="s">
        <v>3506</v>
      </c>
      <c r="B33" s="174" t="s">
        <v>3507</v>
      </c>
    </row>
    <row r="34" customFormat="false" ht="11.25" hidden="false" customHeight="true" outlineLevel="0" collapsed="false">
      <c r="A34" s="174" t="s">
        <v>3508</v>
      </c>
      <c r="B34" s="174" t="s">
        <v>3509</v>
      </c>
    </row>
    <row r="35" customFormat="false" ht="11.25" hidden="false" customHeight="true" outlineLevel="0" collapsed="false">
      <c r="A35" s="174" t="s">
        <v>3510</v>
      </c>
      <c r="B35" s="174" t="s">
        <v>3511</v>
      </c>
    </row>
    <row r="36" customFormat="false" ht="11.25" hidden="false" customHeight="true" outlineLevel="0" collapsed="false">
      <c r="A36" s="174" t="s">
        <v>3512</v>
      </c>
      <c r="B36" s="174" t="s">
        <v>3513</v>
      </c>
    </row>
    <row r="37" customFormat="false" ht="11.25" hidden="false" customHeight="true" outlineLevel="0" collapsed="false">
      <c r="A37" s="174" t="s">
        <v>3514</v>
      </c>
      <c r="B37" s="174" t="s">
        <v>3515</v>
      </c>
    </row>
    <row r="38" customFormat="false" ht="11.25" hidden="false" customHeight="true" outlineLevel="0" collapsed="false">
      <c r="A38" s="174" t="s">
        <v>3516</v>
      </c>
      <c r="B38" s="174" t="s">
        <v>3517</v>
      </c>
    </row>
    <row r="39" customFormat="false" ht="11.25" hidden="false" customHeight="true" outlineLevel="0" collapsed="false">
      <c r="A39" s="174" t="s">
        <v>3518</v>
      </c>
      <c r="B39" s="174" t="s">
        <v>3519</v>
      </c>
    </row>
    <row r="40" customFormat="false" ht="11.25" hidden="false" customHeight="true" outlineLevel="0" collapsed="false">
      <c r="A40" s="174" t="s">
        <v>3520</v>
      </c>
      <c r="B40" s="174" t="s">
        <v>3521</v>
      </c>
    </row>
    <row r="41" customFormat="false" ht="11.25" hidden="false" customHeight="true" outlineLevel="0" collapsed="false">
      <c r="A41" s="174" t="s">
        <v>3522</v>
      </c>
      <c r="B41" s="174" t="s">
        <v>3523</v>
      </c>
    </row>
    <row r="42" customFormat="false" ht="11.25" hidden="false" customHeight="true" outlineLevel="0" collapsed="false">
      <c r="A42" s="174" t="s">
        <v>3524</v>
      </c>
      <c r="B42" s="174" t="s">
        <v>3525</v>
      </c>
    </row>
    <row r="43" customFormat="false" ht="11.25" hidden="false" customHeight="true" outlineLevel="0" collapsed="false">
      <c r="A43" s="174" t="s">
        <v>3526</v>
      </c>
      <c r="B43" s="174" t="s">
        <v>3527</v>
      </c>
    </row>
    <row r="44" customFormat="false" ht="11.25" hidden="false" customHeight="true" outlineLevel="0" collapsed="false">
      <c r="A44" s="174" t="s">
        <v>3528</v>
      </c>
      <c r="B44" s="174" t="s">
        <v>3529</v>
      </c>
    </row>
    <row r="45" customFormat="false" ht="11.25" hidden="false" customHeight="true" outlineLevel="0" collapsed="false">
      <c r="A45" s="174" t="s">
        <v>3530</v>
      </c>
      <c r="B45" s="174" t="s">
        <v>3531</v>
      </c>
    </row>
    <row r="46" customFormat="false" ht="11.25" hidden="false" customHeight="true" outlineLevel="0" collapsed="false">
      <c r="A46" s="174" t="s">
        <v>3532</v>
      </c>
      <c r="B46" s="174" t="s">
        <v>3533</v>
      </c>
    </row>
    <row r="47" customFormat="false" ht="11.25" hidden="false" customHeight="true" outlineLevel="0" collapsed="false">
      <c r="A47" s="174" t="s">
        <v>3534</v>
      </c>
      <c r="B47" s="174" t="s">
        <v>3535</v>
      </c>
    </row>
    <row r="48" customFormat="false" ht="11.25" hidden="false" customHeight="true" outlineLevel="0" collapsed="false">
      <c r="A48" s="174" t="s">
        <v>3536</v>
      </c>
      <c r="B48" s="174" t="s">
        <v>3537</v>
      </c>
    </row>
    <row r="49" customFormat="false" ht="11.25" hidden="false" customHeight="true" outlineLevel="0" collapsed="false">
      <c r="A49" s="174" t="s">
        <v>3538</v>
      </c>
      <c r="B49" s="174" t="s">
        <v>3539</v>
      </c>
    </row>
    <row r="50" customFormat="false" ht="11.25" hidden="false" customHeight="true" outlineLevel="0" collapsed="false">
      <c r="A50" s="174" t="s">
        <v>3540</v>
      </c>
      <c r="B50" s="174" t="s">
        <v>3541</v>
      </c>
    </row>
    <row r="51" customFormat="false" ht="11.25" hidden="false" customHeight="true" outlineLevel="0" collapsed="false">
      <c r="A51" s="174" t="s">
        <v>3542</v>
      </c>
      <c r="B51" s="174" t="s">
        <v>3543</v>
      </c>
    </row>
    <row r="52" customFormat="false" ht="11.25" hidden="false" customHeight="true" outlineLevel="0" collapsed="false">
      <c r="A52" s="174" t="s">
        <v>3544</v>
      </c>
      <c r="B52" s="174" t="s">
        <v>3545</v>
      </c>
    </row>
    <row r="53" customFormat="false" ht="11.25" hidden="false" customHeight="true" outlineLevel="0" collapsed="false">
      <c r="A53" s="174" t="s">
        <v>3546</v>
      </c>
      <c r="B53" s="174" t="s">
        <v>3547</v>
      </c>
    </row>
    <row r="54" customFormat="false" ht="11.25" hidden="false" customHeight="true" outlineLevel="0" collapsed="false">
      <c r="A54" s="174" t="s">
        <v>3548</v>
      </c>
      <c r="B54" s="174" t="s">
        <v>3549</v>
      </c>
    </row>
    <row r="55" customFormat="false" ht="11.25" hidden="false" customHeight="true" outlineLevel="0" collapsed="false">
      <c r="A55" s="174" t="s">
        <v>3550</v>
      </c>
      <c r="B55" s="174" t="s">
        <v>3551</v>
      </c>
    </row>
    <row r="56" customFormat="false" ht="11.25" hidden="false" customHeight="true" outlineLevel="0" collapsed="false">
      <c r="A56" s="174" t="s">
        <v>3552</v>
      </c>
      <c r="B56" s="174" t="s">
        <v>3553</v>
      </c>
    </row>
    <row r="57" customFormat="false" ht="11.25" hidden="false" customHeight="true" outlineLevel="0" collapsed="false">
      <c r="A57" s="174" t="s">
        <v>3554</v>
      </c>
      <c r="B57" s="174" t="s">
        <v>3555</v>
      </c>
    </row>
    <row r="58" customFormat="false" ht="11.25" hidden="false" customHeight="true" outlineLevel="0" collapsed="false">
      <c r="A58" s="174" t="s">
        <v>3556</v>
      </c>
      <c r="B58" s="174" t="s">
        <v>3557</v>
      </c>
    </row>
    <row r="59" customFormat="false" ht="11.25" hidden="false" customHeight="true" outlineLevel="0" collapsed="false">
      <c r="A59" s="174" t="s">
        <v>3558</v>
      </c>
      <c r="B59" s="174" t="s">
        <v>3559</v>
      </c>
    </row>
    <row r="60" customFormat="false" ht="11.25" hidden="false" customHeight="true" outlineLevel="0" collapsed="false">
      <c r="A60" s="174" t="s">
        <v>3560</v>
      </c>
      <c r="B60" s="174" t="s">
        <v>3561</v>
      </c>
    </row>
    <row r="61" customFormat="false" ht="11.25" hidden="false" customHeight="true" outlineLevel="0" collapsed="false">
      <c r="A61" s="174"/>
      <c r="B61" s="174" t="s">
        <v>3562</v>
      </c>
    </row>
    <row r="62" customFormat="false" ht="11.25" hidden="false" customHeight="true" outlineLevel="0" collapsed="false">
      <c r="A62" s="174"/>
      <c r="B62" s="174" t="s">
        <v>3563</v>
      </c>
    </row>
    <row r="63" customFormat="false" ht="11.25" hidden="false" customHeight="true" outlineLevel="0" collapsed="false">
      <c r="A63" s="174"/>
      <c r="B63" s="174" t="s">
        <v>3564</v>
      </c>
    </row>
    <row r="64" customFormat="false" ht="11.25" hidden="false" customHeight="true" outlineLevel="0" collapsed="false">
      <c r="A64" s="174"/>
      <c r="B64" s="174" t="s">
        <v>3565</v>
      </c>
    </row>
    <row r="65" customFormat="false" ht="11.25" hidden="false" customHeight="true" outlineLevel="0" collapsed="false">
      <c r="A65" s="174"/>
      <c r="B65" s="174" t="s">
        <v>3566</v>
      </c>
    </row>
    <row r="66" customFormat="false" ht="11.25" hidden="false" customHeight="true" outlineLevel="0" collapsed="false">
      <c r="A66" s="174"/>
      <c r="B66" s="174" t="s">
        <v>3567</v>
      </c>
    </row>
    <row r="67" customFormat="false" ht="11.25" hidden="false" customHeight="true" outlineLevel="0" collapsed="false">
      <c r="A67" s="174"/>
      <c r="B67" s="174" t="s">
        <v>3568</v>
      </c>
    </row>
    <row r="68" customFormat="false" ht="11.25" hidden="false" customHeight="true" outlineLevel="0" collapsed="false">
      <c r="A68" s="174"/>
      <c r="B68" s="174" t="s">
        <v>3569</v>
      </c>
    </row>
    <row r="69" customFormat="false" ht="11.25" hidden="false" customHeight="true" outlineLevel="0" collapsed="false">
      <c r="A69" s="174"/>
      <c r="B69" s="174" t="s">
        <v>3570</v>
      </c>
    </row>
    <row r="70" customFormat="false" ht="11.25" hidden="false" customHeight="true" outlineLevel="0" collapsed="false">
      <c r="A70" s="174"/>
      <c r="B70" s="174" t="s">
        <v>3571</v>
      </c>
    </row>
    <row r="71" customFormat="false" ht="11.25" hidden="false" customHeight="true" outlineLevel="0" collapsed="false">
      <c r="A71" s="174"/>
      <c r="B71" s="174"/>
    </row>
    <row r="72" customFormat="false" ht="11.25" hidden="false" customHeight="true" outlineLevel="0" collapsed="false">
      <c r="A72" s="174"/>
      <c r="B72" s="174"/>
    </row>
    <row r="73" customFormat="false" ht="11.25" hidden="false" customHeight="true" outlineLevel="0" collapsed="false">
      <c r="A73" s="174"/>
      <c r="B73" s="174"/>
    </row>
    <row r="74" customFormat="false" ht="11.25" hidden="false" customHeight="true" outlineLevel="0" collapsed="false">
      <c r="A74" s="174"/>
      <c r="B74" s="174"/>
    </row>
    <row r="75" customFormat="false" ht="11.25" hidden="false" customHeight="true" outlineLevel="0" collapsed="false">
      <c r="A75" s="174"/>
      <c r="B75" s="174"/>
    </row>
    <row r="76" customFormat="false" ht="11.25" hidden="false" customHeight="true" outlineLevel="0" collapsed="false">
      <c r="A76" s="174"/>
      <c r="B76" s="174"/>
    </row>
    <row r="77" customFormat="false" ht="11.25" hidden="false" customHeight="true" outlineLevel="0" collapsed="false">
      <c r="A77" s="174"/>
      <c r="B77" s="174"/>
    </row>
    <row r="78" customFormat="false" ht="11.25" hidden="false" customHeight="true" outlineLevel="0" collapsed="false">
      <c r="A78" s="174"/>
      <c r="B78" s="174"/>
    </row>
    <row r="79" customFormat="false" ht="11.25" hidden="false" customHeight="true" outlineLevel="0" collapsed="false">
      <c r="A79" s="174"/>
      <c r="B79" s="174"/>
    </row>
    <row r="80" customFormat="false" ht="11.25" hidden="false" customHeight="true" outlineLevel="0" collapsed="false">
      <c r="A80" s="174"/>
      <c r="B80" s="174"/>
    </row>
    <row r="81" customFormat="false" ht="11.25" hidden="false" customHeight="true" outlineLevel="0" collapsed="false">
      <c r="A81" s="174"/>
      <c r="B81" s="174"/>
    </row>
    <row r="82" customFormat="false" ht="11.25" hidden="false" customHeight="true" outlineLevel="0" collapsed="false">
      <c r="A82" s="174"/>
      <c r="B82" s="174"/>
    </row>
    <row r="83" customFormat="false" ht="11.25" hidden="false" customHeight="true" outlineLevel="0" collapsed="false">
      <c r="A83" s="174"/>
      <c r="B83" s="174"/>
    </row>
    <row r="84" customFormat="false" ht="11.25" hidden="false" customHeight="true" outlineLevel="0" collapsed="false">
      <c r="A84" s="174"/>
      <c r="B84" s="174"/>
    </row>
    <row r="85" customFormat="false" ht="11.25" hidden="false" customHeight="true" outlineLevel="0" collapsed="false">
      <c r="A85" s="174"/>
      <c r="B85" s="174"/>
    </row>
    <row r="86" customFormat="false" ht="11.25" hidden="false" customHeight="true" outlineLevel="0" collapsed="false">
      <c r="A86" s="174"/>
      <c r="B86" s="174"/>
    </row>
    <row r="87" customFormat="false" ht="11.25" hidden="false" customHeight="true" outlineLevel="0" collapsed="false">
      <c r="A87" s="174"/>
      <c r="B87" s="174"/>
    </row>
    <row r="88" customFormat="false" ht="11.25" hidden="false" customHeight="true" outlineLevel="0" collapsed="false">
      <c r="A88" s="174"/>
      <c r="B88" s="174"/>
    </row>
    <row r="89" customFormat="false" ht="11.25" hidden="false" customHeight="true" outlineLevel="0" collapsed="false">
      <c r="A89" s="174"/>
      <c r="B89" s="174"/>
    </row>
    <row r="90" customFormat="false" ht="11.25" hidden="false" customHeight="true" outlineLevel="0" collapsed="false">
      <c r="A90" s="174"/>
      <c r="B90" s="174"/>
    </row>
    <row r="91" customFormat="false" ht="11.25" hidden="false" customHeight="true" outlineLevel="0" collapsed="false">
      <c r="A91" s="174"/>
      <c r="B91" s="174"/>
    </row>
    <row r="92" customFormat="false" ht="11.25" hidden="false" customHeight="true" outlineLevel="0" collapsed="false">
      <c r="A92" s="174"/>
      <c r="B92" s="174"/>
    </row>
    <row r="93" customFormat="false" ht="11.25" hidden="false" customHeight="true" outlineLevel="0" collapsed="false">
      <c r="A93" s="174"/>
      <c r="B93" s="174"/>
    </row>
    <row r="94" customFormat="false" ht="11.25" hidden="false" customHeight="true" outlineLevel="0" collapsed="false">
      <c r="A94" s="174"/>
      <c r="B94" s="174"/>
    </row>
    <row r="95" customFormat="false" ht="11.25" hidden="false" customHeight="true" outlineLevel="0" collapsed="false">
      <c r="A95" s="174"/>
      <c r="B95" s="174"/>
    </row>
    <row r="96" customFormat="false" ht="11.25" hidden="false" customHeight="true" outlineLevel="0" collapsed="false">
      <c r="A96" s="174"/>
      <c r="B96" s="174"/>
    </row>
    <row r="97" customFormat="false" ht="11.25" hidden="false" customHeight="true" outlineLevel="0" collapsed="false">
      <c r="A97" s="174"/>
      <c r="B97" s="174"/>
    </row>
    <row r="98" customFormat="false" ht="11.25" hidden="false" customHeight="true" outlineLevel="0" collapsed="false">
      <c r="A98" s="174"/>
      <c r="B98" s="174"/>
    </row>
    <row r="99" customFormat="false" ht="11.25" hidden="false" customHeight="true" outlineLevel="0" collapsed="false">
      <c r="A99" s="174"/>
      <c r="B99" s="174"/>
    </row>
    <row r="100" customFormat="false" ht="11.25" hidden="false" customHeight="true" outlineLevel="0" collapsed="false">
      <c r="A100" s="174"/>
      <c r="B100" s="174"/>
    </row>
    <row r="101" customFormat="false" ht="11.25" hidden="false" customHeight="true" outlineLevel="0" collapsed="false">
      <c r="A101" s="174"/>
      <c r="B101" s="174"/>
    </row>
    <row r="102" customFormat="false" ht="11.25" hidden="false" customHeight="true" outlineLevel="0" collapsed="false">
      <c r="A102" s="174"/>
      <c r="B102" s="174"/>
    </row>
    <row r="103" customFormat="false" ht="11.25" hidden="false" customHeight="true" outlineLevel="0" collapsed="false">
      <c r="A103" s="174"/>
      <c r="B103" s="174"/>
    </row>
    <row r="104" customFormat="false" ht="11.25" hidden="false" customHeight="true" outlineLevel="0" collapsed="false">
      <c r="A104" s="174"/>
      <c r="B104" s="174"/>
    </row>
    <row r="105" customFormat="false" ht="11.25" hidden="false" customHeight="true" outlineLevel="0" collapsed="false">
      <c r="A105" s="174"/>
      <c r="B105" s="174"/>
    </row>
    <row r="106" customFormat="false" ht="11.25" hidden="false" customHeight="true" outlineLevel="0" collapsed="false">
      <c r="A106" s="174"/>
      <c r="B106" s="174"/>
    </row>
    <row r="107" customFormat="false" ht="11.25" hidden="false" customHeight="true" outlineLevel="0" collapsed="false">
      <c r="A107" s="174"/>
      <c r="B107" s="174"/>
    </row>
    <row r="108" customFormat="false" ht="11.25" hidden="false" customHeight="true" outlineLevel="0" collapsed="false">
      <c r="A108" s="174"/>
      <c r="B108" s="174"/>
    </row>
    <row r="109" customFormat="false" ht="11.25" hidden="false" customHeight="true" outlineLevel="0" collapsed="false">
      <c r="A109" s="174"/>
      <c r="B109" s="174"/>
    </row>
    <row r="110" customFormat="false" ht="11.25" hidden="false" customHeight="true" outlineLevel="0" collapsed="false">
      <c r="A110" s="174"/>
      <c r="B110" s="174"/>
    </row>
    <row r="111" customFormat="false" ht="11.25" hidden="false" customHeight="true" outlineLevel="0" collapsed="false">
      <c r="A111" s="174"/>
      <c r="B111" s="174"/>
    </row>
    <row r="112" customFormat="false" ht="11.25" hidden="false" customHeight="true" outlineLevel="0" collapsed="false">
      <c r="A112" s="174"/>
      <c r="B112" s="174"/>
    </row>
    <row r="113" customFormat="false" ht="11.25" hidden="false" customHeight="true" outlineLevel="0" collapsed="false">
      <c r="A113" s="174"/>
      <c r="B113" s="174"/>
    </row>
    <row r="114" customFormat="false" ht="11.25" hidden="false" customHeight="true" outlineLevel="0" collapsed="false">
      <c r="A114" s="174"/>
      <c r="B114" s="174"/>
    </row>
    <row r="115" customFormat="false" ht="11.25" hidden="false" customHeight="true" outlineLevel="0" collapsed="false">
      <c r="A115" s="174"/>
      <c r="B115" s="174"/>
    </row>
    <row r="116" customFormat="false" ht="11.25" hidden="false" customHeight="true" outlineLevel="0" collapsed="false">
      <c r="A116" s="174"/>
      <c r="B116" s="174"/>
    </row>
    <row r="117" customFormat="false" ht="11.25" hidden="false" customHeight="true" outlineLevel="0" collapsed="false">
      <c r="A117" s="174"/>
      <c r="B117" s="174"/>
    </row>
    <row r="118" customFormat="false" ht="11.25" hidden="false" customHeight="true" outlineLevel="0" collapsed="false">
      <c r="A118" s="174"/>
      <c r="B118" s="174"/>
    </row>
    <row r="119" customFormat="false" ht="11.25" hidden="false" customHeight="true" outlineLevel="0" collapsed="false">
      <c r="A119" s="174"/>
      <c r="B119" s="174"/>
    </row>
    <row r="120" customFormat="false" ht="11.25" hidden="false" customHeight="true" outlineLevel="0" collapsed="false">
      <c r="A120" s="174"/>
      <c r="B120" s="174"/>
    </row>
    <row r="121" customFormat="false" ht="11.25" hidden="false" customHeight="true" outlineLevel="0" collapsed="false">
      <c r="A121" s="174"/>
      <c r="B121" s="174"/>
    </row>
    <row r="122" customFormat="false" ht="11.25" hidden="false" customHeight="true" outlineLevel="0" collapsed="false">
      <c r="A122" s="174"/>
      <c r="B122" s="174"/>
    </row>
    <row r="123" customFormat="false" ht="11.25" hidden="false" customHeight="true" outlineLevel="0" collapsed="false">
      <c r="A123" s="174"/>
      <c r="B123" s="174"/>
    </row>
    <row r="124" customFormat="false" ht="11.25" hidden="false" customHeight="true" outlineLevel="0" collapsed="false">
      <c r="A124" s="174"/>
      <c r="B124" s="174"/>
    </row>
    <row r="125" customFormat="false" ht="11.25" hidden="false" customHeight="true" outlineLevel="0" collapsed="false">
      <c r="A125" s="174"/>
      <c r="B125" s="174"/>
    </row>
    <row r="126" customFormat="false" ht="11.25" hidden="false" customHeight="true" outlineLevel="0" collapsed="false">
      <c r="A126" s="174"/>
      <c r="B126" s="174"/>
    </row>
    <row r="127" customFormat="false" ht="11.25" hidden="false" customHeight="true" outlineLevel="0" collapsed="false">
      <c r="A127" s="174"/>
      <c r="B127" s="174"/>
    </row>
    <row r="128" customFormat="false" ht="11.25" hidden="false" customHeight="true" outlineLevel="0" collapsed="false">
      <c r="A128" s="174"/>
      <c r="B128" s="174"/>
    </row>
    <row r="129" customFormat="false" ht="11.25" hidden="false" customHeight="true" outlineLevel="0" collapsed="false">
      <c r="A129" s="174"/>
      <c r="B129" s="174"/>
    </row>
    <row r="130" customFormat="false" ht="11.25" hidden="false" customHeight="true" outlineLevel="0" collapsed="false">
      <c r="A130" s="174"/>
      <c r="B130" s="174"/>
    </row>
    <row r="131" customFormat="false" ht="11.25" hidden="false" customHeight="true" outlineLevel="0" collapsed="false">
      <c r="A131" s="174"/>
      <c r="B131" s="174"/>
    </row>
    <row r="132" customFormat="false" ht="11.25" hidden="false" customHeight="true" outlineLevel="0" collapsed="false">
      <c r="A132" s="174"/>
      <c r="B132" s="174"/>
    </row>
    <row r="133" customFormat="false" ht="11.25" hidden="false" customHeight="true" outlineLevel="0" collapsed="false">
      <c r="A133" s="174"/>
      <c r="B133" s="174"/>
    </row>
    <row r="134" customFormat="false" ht="11.25" hidden="false" customHeight="true" outlineLevel="0" collapsed="false">
      <c r="A134" s="174"/>
      <c r="B134" s="174"/>
    </row>
    <row r="135" customFormat="false" ht="11.25" hidden="false" customHeight="true" outlineLevel="0" collapsed="false">
      <c r="A135" s="174"/>
      <c r="B135" s="174"/>
    </row>
    <row r="136" customFormat="false" ht="11.25" hidden="false" customHeight="true" outlineLevel="0" collapsed="false">
      <c r="A136" s="174"/>
      <c r="B136" s="174"/>
    </row>
    <row r="137" customFormat="false" ht="11.25" hidden="false" customHeight="true" outlineLevel="0" collapsed="false">
      <c r="A137" s="174"/>
      <c r="B137" s="174"/>
    </row>
    <row r="138" customFormat="false" ht="11.25" hidden="false" customHeight="true" outlineLevel="0" collapsed="false">
      <c r="A138" s="174"/>
      <c r="B138" s="174"/>
    </row>
    <row r="139" customFormat="false" ht="11.25" hidden="false" customHeight="true" outlineLevel="0" collapsed="false">
      <c r="A139" s="174"/>
      <c r="B139" s="174"/>
    </row>
    <row r="140" customFormat="false" ht="11.25" hidden="false" customHeight="true" outlineLevel="0" collapsed="false">
      <c r="A140" s="174"/>
      <c r="B140" s="174"/>
    </row>
    <row r="141" customFormat="false" ht="11.25" hidden="false" customHeight="true" outlineLevel="0" collapsed="false">
      <c r="A141" s="174"/>
      <c r="B141" s="174"/>
    </row>
    <row r="142" customFormat="false" ht="11.25" hidden="false" customHeight="true" outlineLevel="0" collapsed="false">
      <c r="A142" s="174"/>
      <c r="B142" s="174"/>
    </row>
    <row r="143" customFormat="false" ht="11.25" hidden="false" customHeight="true" outlineLevel="0" collapsed="false">
      <c r="A143" s="174"/>
      <c r="B143" s="174"/>
    </row>
    <row r="144" customFormat="false" ht="11.25" hidden="false" customHeight="true" outlineLevel="0" collapsed="false">
      <c r="A144" s="174"/>
      <c r="B144" s="174"/>
    </row>
    <row r="145" customFormat="false" ht="11.25" hidden="false" customHeight="true" outlineLevel="0" collapsed="false">
      <c r="A145" s="174"/>
      <c r="B145" s="174"/>
    </row>
    <row r="146" customFormat="false" ht="11.25" hidden="false" customHeight="true" outlineLevel="0" collapsed="false">
      <c r="A146" s="174"/>
      <c r="B146" s="174"/>
    </row>
    <row r="147" customFormat="false" ht="11.25" hidden="false" customHeight="true" outlineLevel="0" collapsed="false">
      <c r="A147" s="174"/>
      <c r="B147" s="174"/>
    </row>
    <row r="148" customFormat="false" ht="11.25" hidden="false" customHeight="true" outlineLevel="0" collapsed="false">
      <c r="A148" s="174"/>
      <c r="B148" s="174"/>
    </row>
    <row r="149" customFormat="false" ht="11.25" hidden="false" customHeight="true" outlineLevel="0" collapsed="false">
      <c r="A149" s="174"/>
      <c r="B149" s="174"/>
    </row>
    <row r="150" customFormat="false" ht="11.25" hidden="false" customHeight="true" outlineLevel="0" collapsed="false">
      <c r="A150" s="174"/>
      <c r="B150" s="174"/>
    </row>
    <row r="151" customFormat="false" ht="11.25" hidden="false" customHeight="true" outlineLevel="0" collapsed="false">
      <c r="A151" s="174"/>
      <c r="B151" s="174"/>
    </row>
    <row r="152" customFormat="false" ht="11.25" hidden="false" customHeight="true" outlineLevel="0" collapsed="false">
      <c r="A152" s="174"/>
      <c r="B152" s="174"/>
    </row>
    <row r="153" customFormat="false" ht="11.25" hidden="false" customHeight="true" outlineLevel="0" collapsed="false">
      <c r="A153" s="174"/>
      <c r="B153" s="174"/>
    </row>
    <row r="154" customFormat="false" ht="11.25" hidden="false" customHeight="true" outlineLevel="0" collapsed="false">
      <c r="A154" s="174"/>
      <c r="B154" s="174"/>
    </row>
    <row r="155" customFormat="false" ht="11.25" hidden="false" customHeight="true" outlineLevel="0" collapsed="false">
      <c r="A155" s="174"/>
      <c r="B155" s="174"/>
    </row>
    <row r="156" customFormat="false" ht="11.25" hidden="false" customHeight="true" outlineLevel="0" collapsed="false">
      <c r="A156" s="174"/>
      <c r="B156" s="174"/>
    </row>
    <row r="157" customFormat="false" ht="11.25" hidden="false" customHeight="true" outlineLevel="0" collapsed="false">
      <c r="A157" s="174"/>
      <c r="B157" s="174"/>
    </row>
    <row r="158" customFormat="false" ht="11.25" hidden="false" customHeight="true" outlineLevel="0" collapsed="false">
      <c r="A158" s="174"/>
      <c r="B158" s="174"/>
    </row>
    <row r="159" customFormat="false" ht="11.25" hidden="false" customHeight="true" outlineLevel="0" collapsed="false">
      <c r="A159" s="174"/>
      <c r="B159" s="174"/>
    </row>
    <row r="160" customFormat="false" ht="11.25" hidden="false" customHeight="true" outlineLevel="0" collapsed="false">
      <c r="A160" s="174"/>
      <c r="B160" s="174"/>
    </row>
    <row r="161" customFormat="false" ht="11.25" hidden="false" customHeight="true" outlineLevel="0" collapsed="false">
      <c r="A161" s="174"/>
      <c r="B161" s="174"/>
    </row>
    <row r="162" customFormat="false" ht="11.25" hidden="false" customHeight="true" outlineLevel="0" collapsed="false">
      <c r="A162" s="174"/>
      <c r="B162" s="174"/>
    </row>
    <row r="163" customFormat="false" ht="11.25" hidden="false" customHeight="true" outlineLevel="0" collapsed="false">
      <c r="A163" s="174"/>
      <c r="B163" s="174"/>
    </row>
    <row r="164" customFormat="false" ht="11.25" hidden="false" customHeight="true" outlineLevel="0" collapsed="false">
      <c r="A164" s="174"/>
      <c r="B164" s="174"/>
    </row>
    <row r="165" customFormat="false" ht="11.25" hidden="false" customHeight="true" outlineLevel="0" collapsed="false">
      <c r="A165" s="174"/>
      <c r="B165" s="174"/>
    </row>
    <row r="166" customFormat="false" ht="11.25" hidden="false" customHeight="true" outlineLevel="0" collapsed="false">
      <c r="A166" s="174"/>
      <c r="B166" s="174"/>
    </row>
    <row r="167" customFormat="false" ht="11.25" hidden="false" customHeight="true" outlineLevel="0" collapsed="false">
      <c r="A167" s="174"/>
      <c r="B167" s="174"/>
    </row>
    <row r="168" customFormat="false" ht="11.25" hidden="false" customHeight="true" outlineLevel="0" collapsed="false">
      <c r="A168" s="174"/>
      <c r="B168" s="174"/>
    </row>
    <row r="169" customFormat="false" ht="11.25" hidden="false" customHeight="true" outlineLevel="0" collapsed="false">
      <c r="A169" s="174"/>
      <c r="B169" s="174"/>
    </row>
    <row r="170" customFormat="false" ht="11.25" hidden="false" customHeight="true" outlineLevel="0" collapsed="false">
      <c r="A170" s="174"/>
      <c r="B170" s="174"/>
    </row>
    <row r="171" customFormat="false" ht="11.25" hidden="false" customHeight="true" outlineLevel="0" collapsed="false">
      <c r="A171" s="174"/>
      <c r="B171" s="174"/>
    </row>
    <row r="172" customFormat="false" ht="11.25" hidden="false" customHeight="true" outlineLevel="0" collapsed="false">
      <c r="A172" s="174"/>
      <c r="B172" s="174"/>
    </row>
    <row r="173" customFormat="false" ht="11.25" hidden="false" customHeight="true" outlineLevel="0" collapsed="false">
      <c r="A173" s="174"/>
      <c r="B173" s="174"/>
    </row>
    <row r="174" customFormat="false" ht="11.25" hidden="false" customHeight="true" outlineLevel="0" collapsed="false">
      <c r="A174" s="174"/>
      <c r="B174" s="174"/>
    </row>
    <row r="175" customFormat="false" ht="11.25" hidden="false" customHeight="true" outlineLevel="0" collapsed="false">
      <c r="A175" s="174"/>
      <c r="B175" s="174"/>
    </row>
    <row r="176" customFormat="false" ht="11.25" hidden="false" customHeight="true" outlineLevel="0" collapsed="false">
      <c r="A176" s="174"/>
      <c r="B176" s="174"/>
    </row>
    <row r="177" customFormat="false" ht="11.25" hidden="false" customHeight="true" outlineLevel="0" collapsed="false">
      <c r="A177" s="174"/>
      <c r="B177" s="174"/>
    </row>
    <row r="178" customFormat="false" ht="11.25" hidden="false" customHeight="true" outlineLevel="0" collapsed="false">
      <c r="A178" s="174"/>
      <c r="B178" s="174"/>
    </row>
    <row r="179" customFormat="false" ht="11.25" hidden="false" customHeight="true" outlineLevel="0" collapsed="false">
      <c r="A179" s="174"/>
      <c r="B179" s="174"/>
    </row>
    <row r="180" customFormat="false" ht="11.25" hidden="false" customHeight="true" outlineLevel="0" collapsed="false">
      <c r="A180" s="174"/>
      <c r="B180" s="174"/>
    </row>
    <row r="181" customFormat="false" ht="11.25" hidden="false" customHeight="true" outlineLevel="0" collapsed="false">
      <c r="A181" s="174"/>
      <c r="B181" s="174"/>
    </row>
    <row r="182" customFormat="false" ht="11.25" hidden="false" customHeight="true" outlineLevel="0" collapsed="false">
      <c r="A182" s="174"/>
      <c r="B182" s="174"/>
    </row>
    <row r="183" customFormat="false" ht="11.25" hidden="false" customHeight="true" outlineLevel="0" collapsed="false">
      <c r="A183" s="174"/>
      <c r="B183" s="174"/>
    </row>
    <row r="184" customFormat="false" ht="11.25" hidden="false" customHeight="true" outlineLevel="0" collapsed="false">
      <c r="A184" s="174"/>
      <c r="B184" s="174"/>
    </row>
    <row r="185" customFormat="false" ht="11.25" hidden="false" customHeight="true" outlineLevel="0" collapsed="false">
      <c r="A185" s="174"/>
      <c r="B185" s="174"/>
    </row>
    <row r="186" customFormat="false" ht="11.25" hidden="false" customHeight="true" outlineLevel="0" collapsed="false">
      <c r="A186" s="174"/>
      <c r="B186" s="174"/>
    </row>
    <row r="187" customFormat="false" ht="11.25" hidden="false" customHeight="true" outlineLevel="0" collapsed="false">
      <c r="A187" s="174"/>
      <c r="B187" s="174"/>
    </row>
    <row r="188" customFormat="false" ht="11.25" hidden="false" customHeight="true" outlineLevel="0" collapsed="false">
      <c r="A188" s="174"/>
      <c r="B188" s="174"/>
    </row>
    <row r="189" customFormat="false" ht="11.25" hidden="false" customHeight="true" outlineLevel="0" collapsed="false">
      <c r="A189" s="174"/>
      <c r="B189" s="174"/>
    </row>
    <row r="190" customFormat="false" ht="11.25" hidden="false" customHeight="true" outlineLevel="0" collapsed="false">
      <c r="A190" s="174"/>
      <c r="B190" s="174"/>
    </row>
    <row r="191" customFormat="false" ht="11.25" hidden="false" customHeight="true" outlineLevel="0" collapsed="false">
      <c r="A191" s="174"/>
      <c r="B191" s="174"/>
    </row>
    <row r="192" customFormat="false" ht="11.25" hidden="false" customHeight="true" outlineLevel="0" collapsed="false">
      <c r="A192" s="174"/>
      <c r="B192" s="174"/>
    </row>
    <row r="193" customFormat="false" ht="11.25" hidden="false" customHeight="true" outlineLevel="0" collapsed="false">
      <c r="A193" s="174"/>
      <c r="B193" s="174"/>
    </row>
    <row r="194" customFormat="false" ht="11.25" hidden="false" customHeight="true" outlineLevel="0" collapsed="false">
      <c r="A194" s="174"/>
      <c r="B194" s="174"/>
    </row>
    <row r="195" customFormat="false" ht="11.25" hidden="false" customHeight="true" outlineLevel="0" collapsed="false">
      <c r="A195" s="174"/>
      <c r="B195" s="174"/>
    </row>
    <row r="196" customFormat="false" ht="11.25" hidden="false" customHeight="true" outlineLevel="0" collapsed="false">
      <c r="A196" s="174"/>
      <c r="B196" s="174"/>
    </row>
    <row r="197" customFormat="false" ht="11.25" hidden="false" customHeight="true" outlineLevel="0" collapsed="false">
      <c r="A197" s="174"/>
      <c r="B197" s="174"/>
    </row>
    <row r="198" customFormat="false" ht="11.25" hidden="false" customHeight="true" outlineLevel="0" collapsed="false">
      <c r="A198" s="174"/>
      <c r="B198" s="174"/>
    </row>
    <row r="199" customFormat="false" ht="11.25" hidden="false" customHeight="true" outlineLevel="0" collapsed="false">
      <c r="A199" s="174"/>
      <c r="B199" s="174"/>
    </row>
    <row r="200" customFormat="false" ht="11.25" hidden="false" customHeight="true" outlineLevel="0" collapsed="false">
      <c r="A200" s="174"/>
      <c r="B200" s="174"/>
    </row>
    <row r="201" customFormat="false" ht="11.25" hidden="false" customHeight="true" outlineLevel="0" collapsed="false">
      <c r="A201" s="174"/>
      <c r="B201" s="174"/>
    </row>
    <row r="202" customFormat="false" ht="11.25" hidden="false" customHeight="true" outlineLevel="0" collapsed="false">
      <c r="A202" s="174"/>
      <c r="B202" s="174"/>
    </row>
    <row r="203" customFormat="false" ht="11.25" hidden="false" customHeight="true" outlineLevel="0" collapsed="false">
      <c r="A203" s="174"/>
      <c r="B203" s="174"/>
    </row>
    <row r="204" customFormat="false" ht="11.25" hidden="false" customHeight="true" outlineLevel="0" collapsed="false">
      <c r="A204" s="174"/>
      <c r="B204" s="174"/>
    </row>
    <row r="205" customFormat="false" ht="11.25" hidden="false" customHeight="true" outlineLevel="0" collapsed="false">
      <c r="A205" s="174"/>
      <c r="B205" s="174"/>
    </row>
    <row r="206" customFormat="false" ht="11.25" hidden="false" customHeight="true" outlineLevel="0" collapsed="false">
      <c r="A206" s="174"/>
      <c r="B206" s="174"/>
    </row>
    <row r="207" customFormat="false" ht="11.25" hidden="false" customHeight="true" outlineLevel="0" collapsed="false">
      <c r="A207" s="174"/>
      <c r="B207" s="174"/>
    </row>
    <row r="208" customFormat="false" ht="11.25" hidden="false" customHeight="true" outlineLevel="0" collapsed="false">
      <c r="A208" s="174"/>
      <c r="B208" s="174"/>
    </row>
    <row r="209" customFormat="false" ht="11.25" hidden="false" customHeight="true" outlineLevel="0" collapsed="false">
      <c r="A209" s="174"/>
      <c r="B209" s="174"/>
    </row>
    <row r="210" customFormat="false" ht="11.25" hidden="false" customHeight="true" outlineLevel="0" collapsed="false">
      <c r="A210" s="174"/>
      <c r="B210" s="174"/>
    </row>
    <row r="211" customFormat="false" ht="11.25" hidden="false" customHeight="true" outlineLevel="0" collapsed="false">
      <c r="A211" s="174"/>
      <c r="B211" s="174"/>
    </row>
    <row r="212" customFormat="false" ht="11.25" hidden="false" customHeight="true" outlineLevel="0" collapsed="false">
      <c r="A212" s="174"/>
      <c r="B212" s="174"/>
    </row>
    <row r="213" customFormat="false" ht="11.25" hidden="false" customHeight="true" outlineLevel="0" collapsed="false">
      <c r="A213" s="174"/>
      <c r="B213" s="174"/>
    </row>
    <row r="214" customFormat="false" ht="11.25" hidden="false" customHeight="true" outlineLevel="0" collapsed="false">
      <c r="A214" s="174"/>
      <c r="B214" s="174"/>
    </row>
    <row r="215" customFormat="false" ht="11.25" hidden="false" customHeight="true" outlineLevel="0" collapsed="false">
      <c r="A215" s="174"/>
      <c r="B215" s="174"/>
    </row>
    <row r="216" customFormat="false" ht="11.25" hidden="false" customHeight="true" outlineLevel="0" collapsed="false">
      <c r="A216" s="174"/>
      <c r="B216" s="174"/>
    </row>
    <row r="217" customFormat="false" ht="11.25" hidden="false" customHeight="true" outlineLevel="0" collapsed="false">
      <c r="A217" s="174"/>
      <c r="B217" s="174"/>
    </row>
    <row r="218" customFormat="false" ht="11.25" hidden="false" customHeight="true" outlineLevel="0" collapsed="false">
      <c r="A218" s="174"/>
      <c r="B218" s="174"/>
    </row>
    <row r="219" customFormat="false" ht="11.25" hidden="false" customHeight="true" outlineLevel="0" collapsed="false">
      <c r="A219" s="174"/>
      <c r="B219" s="174"/>
    </row>
    <row r="220" customFormat="false" ht="11.25" hidden="false" customHeight="true" outlineLevel="0" collapsed="false">
      <c r="A220" s="174"/>
      <c r="B220" s="174"/>
    </row>
    <row r="221" customFormat="false" ht="11.25" hidden="false" customHeight="true" outlineLevel="0" collapsed="false">
      <c r="A221" s="174"/>
      <c r="B221" s="174"/>
    </row>
    <row r="222" customFormat="false" ht="11.25" hidden="false" customHeight="true" outlineLevel="0" collapsed="false">
      <c r="A222" s="174"/>
      <c r="B222" s="174"/>
    </row>
    <row r="223" customFormat="false" ht="11.25" hidden="false" customHeight="true" outlineLevel="0" collapsed="false">
      <c r="A223" s="174"/>
      <c r="B223" s="174"/>
    </row>
    <row r="224" customFormat="false" ht="11.25" hidden="false" customHeight="true" outlineLevel="0" collapsed="false">
      <c r="A224" s="174"/>
      <c r="B224" s="174"/>
    </row>
    <row r="225" customFormat="false" ht="11.25" hidden="false" customHeight="true" outlineLevel="0" collapsed="false">
      <c r="A225" s="174"/>
      <c r="B225" s="174"/>
    </row>
    <row r="226" customFormat="false" ht="11.25" hidden="false" customHeight="true" outlineLevel="0" collapsed="false">
      <c r="A226" s="174"/>
      <c r="B226" s="174"/>
    </row>
    <row r="227" customFormat="false" ht="11.25" hidden="false" customHeight="true" outlineLevel="0" collapsed="false">
      <c r="A227" s="174"/>
      <c r="B227" s="174"/>
    </row>
    <row r="228" customFormat="false" ht="11.25" hidden="false" customHeight="true" outlineLevel="0" collapsed="false">
      <c r="A228" s="174"/>
      <c r="B228" s="174"/>
    </row>
    <row r="229" customFormat="false" ht="11.25" hidden="false" customHeight="true" outlineLevel="0" collapsed="false">
      <c r="A229" s="174"/>
      <c r="B229" s="174"/>
    </row>
    <row r="230" customFormat="false" ht="11.25" hidden="false" customHeight="true" outlineLevel="0" collapsed="false">
      <c r="A230" s="174"/>
      <c r="B230" s="174"/>
    </row>
    <row r="231" customFormat="false" ht="11.25" hidden="false" customHeight="true" outlineLevel="0" collapsed="false">
      <c r="A231" s="174"/>
      <c r="B231" s="174"/>
    </row>
    <row r="232" customFormat="false" ht="11.25" hidden="false" customHeight="true" outlineLevel="0" collapsed="false">
      <c r="A232" s="174"/>
      <c r="B232" s="174"/>
    </row>
    <row r="233" customFormat="false" ht="11.25" hidden="false" customHeight="true" outlineLevel="0" collapsed="false">
      <c r="A233" s="174"/>
      <c r="B233" s="174"/>
    </row>
    <row r="234" customFormat="false" ht="11.25" hidden="false" customHeight="true" outlineLevel="0" collapsed="false">
      <c r="A234" s="174"/>
      <c r="B234" s="174"/>
    </row>
    <row r="235" customFormat="false" ht="11.25" hidden="false" customHeight="true" outlineLevel="0" collapsed="false">
      <c r="A235" s="174"/>
      <c r="B235" s="174"/>
    </row>
    <row r="236" customFormat="false" ht="11.25" hidden="false" customHeight="true" outlineLevel="0" collapsed="false">
      <c r="A236" s="174"/>
      <c r="B236" s="174"/>
    </row>
    <row r="237" customFormat="false" ht="11.25" hidden="false" customHeight="true" outlineLevel="0" collapsed="false">
      <c r="A237" s="174"/>
      <c r="B237" s="174"/>
    </row>
    <row r="238" customFormat="false" ht="11.25" hidden="false" customHeight="true" outlineLevel="0" collapsed="false">
      <c r="A238" s="174"/>
      <c r="B238" s="174"/>
    </row>
    <row r="239" customFormat="false" ht="11.25" hidden="false" customHeight="true" outlineLevel="0" collapsed="false">
      <c r="A239" s="174"/>
      <c r="B239" s="174"/>
    </row>
    <row r="240" customFormat="false" ht="11.25" hidden="false" customHeight="true" outlineLevel="0" collapsed="false">
      <c r="A240" s="174"/>
      <c r="B240" s="174"/>
    </row>
    <row r="241" customFormat="false" ht="11.25" hidden="false" customHeight="true" outlineLevel="0" collapsed="false">
      <c r="A241" s="174"/>
      <c r="B241" s="174"/>
    </row>
    <row r="242" customFormat="false" ht="11.25" hidden="false" customHeight="true" outlineLevel="0" collapsed="false">
      <c r="A242" s="174"/>
      <c r="B242" s="174"/>
    </row>
    <row r="243" customFormat="false" ht="11.25" hidden="false" customHeight="true" outlineLevel="0" collapsed="false">
      <c r="A243" s="174"/>
      <c r="B243" s="174"/>
    </row>
    <row r="244" customFormat="false" ht="11.25" hidden="false" customHeight="true" outlineLevel="0" collapsed="false">
      <c r="A244" s="174"/>
      <c r="B244" s="174"/>
    </row>
    <row r="245" customFormat="false" ht="11.25" hidden="false" customHeight="true" outlineLevel="0" collapsed="false">
      <c r="A245" s="174"/>
      <c r="B245" s="174"/>
    </row>
    <row r="246" customFormat="false" ht="11.25" hidden="false" customHeight="true" outlineLevel="0" collapsed="false">
      <c r="A246" s="174"/>
      <c r="B246" s="174"/>
    </row>
    <row r="247" customFormat="false" ht="11.25" hidden="false" customHeight="true" outlineLevel="0" collapsed="false">
      <c r="A247" s="174"/>
      <c r="B247" s="174"/>
    </row>
    <row r="248" customFormat="false" ht="11.25" hidden="false" customHeight="true" outlineLevel="0" collapsed="false">
      <c r="A248" s="174"/>
      <c r="B248" s="174"/>
    </row>
    <row r="249" customFormat="false" ht="11.25" hidden="false" customHeight="true" outlineLevel="0" collapsed="false">
      <c r="A249" s="174"/>
      <c r="B249" s="174"/>
    </row>
    <row r="250" customFormat="false" ht="11.25" hidden="false" customHeight="true" outlineLevel="0" collapsed="false">
      <c r="A250" s="174"/>
      <c r="B250" s="174"/>
    </row>
    <row r="251" customFormat="false" ht="11.25" hidden="false" customHeight="true" outlineLevel="0" collapsed="false">
      <c r="A251" s="174"/>
      <c r="B251" s="174"/>
    </row>
    <row r="252" customFormat="false" ht="11.25" hidden="false" customHeight="true" outlineLevel="0" collapsed="false">
      <c r="A252" s="174"/>
      <c r="B252" s="174"/>
    </row>
    <row r="253" customFormat="false" ht="11.25" hidden="false" customHeight="true" outlineLevel="0" collapsed="false">
      <c r="A253" s="174"/>
      <c r="B253" s="174"/>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true" hidden="false" outlineLevel="0" max="1" min="1" style="53" width="3.71"/>
    <col collapsed="false" customWidth="true" hidden="false" outlineLevel="0" max="2" min="2" style="53" width="90.71"/>
    <col collapsed="false" customWidth="false" hidden="false" outlineLevel="0" max="4" min="3" style="53" width="9.14"/>
  </cols>
  <sheetData>
    <row r="1" customFormat="false" ht="11.25" hidden="false" customHeight="true" outlineLevel="0" collapsed="false">
      <c r="B1" s="1251" t="s">
        <v>3572</v>
      </c>
    </row>
    <row r="2" customFormat="false" ht="90" hidden="false" customHeight="true" outlineLevel="0" collapsed="false">
      <c r="B2" s="1252" t="s">
        <v>3573</v>
      </c>
    </row>
    <row r="3" customFormat="false" ht="67.5" hidden="false" customHeight="true" outlineLevel="0" collapsed="false">
      <c r="B3" s="1252" t="s">
        <v>3574</v>
      </c>
    </row>
    <row r="4" customFormat="false" ht="33.75" hidden="false" customHeight="true" outlineLevel="0" collapsed="false">
      <c r="B4" s="1252" t="s">
        <v>3575</v>
      </c>
    </row>
    <row r="5" customFormat="false" ht="11.25" hidden="false" customHeight="true" outlineLevel="0" collapsed="false">
      <c r="B5" s="1252" t="s">
        <v>3576</v>
      </c>
    </row>
    <row r="6" customFormat="false" ht="22.5" hidden="false" customHeight="true" outlineLevel="0" collapsed="false">
      <c r="B6" s="1252" t="s">
        <v>3577</v>
      </c>
    </row>
    <row r="7" customFormat="false" ht="22.5" hidden="false" customHeight="true" outlineLevel="0" collapsed="false">
      <c r="B7" s="1252" t="s">
        <v>3578</v>
      </c>
    </row>
    <row r="8" customFormat="false" ht="22.5" hidden="false" customHeight="true" outlineLevel="0" collapsed="false">
      <c r="B8" s="1252" t="s">
        <v>3579</v>
      </c>
    </row>
    <row r="9" customFormat="false" ht="22.5" hidden="false" customHeight="true" outlineLevel="0" collapsed="false">
      <c r="B9" s="1252" t="s">
        <v>3580</v>
      </c>
    </row>
    <row r="10" customFormat="false" ht="56.25" hidden="false" customHeight="true" outlineLevel="0" collapsed="false">
      <c r="B10" s="1252" t="s">
        <v>3581</v>
      </c>
    </row>
    <row r="11" customFormat="false" ht="12.75" hidden="false" customHeight="true" outlineLevel="0" collapsed="false">
      <c r="B11" s="1253" t="s">
        <v>3582</v>
      </c>
    </row>
    <row r="12" customFormat="false" ht="11.25" hidden="false" customHeight="true" outlineLevel="0" collapsed="false">
      <c r="B12" s="1251" t="s">
        <v>3583</v>
      </c>
    </row>
    <row r="13" customFormat="false" ht="22.5" hidden="false" customHeight="true" outlineLevel="0" collapsed="false">
      <c r="B13" s="1252" t="s">
        <v>3584</v>
      </c>
    </row>
    <row r="14" customFormat="false" ht="67.5" hidden="false" customHeight="true" outlineLevel="0" collapsed="false">
      <c r="B14" s="1252" t="s">
        <v>3585</v>
      </c>
    </row>
    <row r="15" customFormat="false" ht="22.5" hidden="false" customHeight="true" outlineLevel="0" collapsed="false">
      <c r="B15" s="1252" t="s">
        <v>3586</v>
      </c>
    </row>
    <row r="16" customFormat="false" ht="11.25" hidden="false" customHeight="true" outlineLevel="0" collapsed="false">
      <c r="B16" s="1251" t="s">
        <v>3587</v>
      </c>
      <c r="D16" s="678"/>
    </row>
    <row r="17" customFormat="false" ht="33.75" hidden="false" customHeight="true" outlineLevel="0" collapsed="false">
      <c r="B17" s="1252" t="s">
        <v>3588</v>
      </c>
    </row>
    <row r="18" customFormat="false" ht="33.75" hidden="false" customHeight="true" outlineLevel="0" collapsed="false">
      <c r="B18" s="1252" t="s">
        <v>3589</v>
      </c>
    </row>
    <row r="19" customFormat="false" ht="11.25" hidden="false" customHeight="true" outlineLevel="0" collapsed="false">
      <c r="B19" s="1252" t="s">
        <v>3590</v>
      </c>
    </row>
    <row r="20" customFormat="false" ht="33.75" hidden="false" customHeight="true" outlineLevel="0" collapsed="false">
      <c r="B20" s="1252" t="s">
        <v>3591</v>
      </c>
    </row>
    <row r="21" customFormat="false" ht="11.25" hidden="false" customHeight="true" outlineLevel="0" collapsed="false">
      <c r="B21" s="1251" t="s">
        <v>3592</v>
      </c>
    </row>
    <row r="22" customFormat="false" ht="11.25" hidden="false" customHeight="true" outlineLevel="0" collapsed="false">
      <c r="B22" s="1252" t="s">
        <v>3593</v>
      </c>
    </row>
    <row r="24" customFormat="false" ht="22.5" hidden="false" customHeight="true" outlineLevel="0" collapsed="false">
      <c r="B24" s="1254" t="s">
        <v>3594</v>
      </c>
    </row>
    <row r="26" customFormat="false" ht="11.25" hidden="false" customHeight="true" outlineLevel="0" collapsed="false">
      <c r="B26" s="1251" t="s">
        <v>3595</v>
      </c>
    </row>
    <row r="27" customFormat="false" ht="22.5" hidden="false" customHeight="true" outlineLevel="0" collapsed="false">
      <c r="B27" s="367" t="s">
        <v>409</v>
      </c>
    </row>
    <row r="28" customFormat="false" ht="56.25" hidden="false" customHeight="true" outlineLevel="0" collapsed="false">
      <c r="B28" s="367" t="s">
        <v>3596</v>
      </c>
    </row>
    <row r="29" customFormat="false" ht="11.25" hidden="false" customHeight="true" outlineLevel="0" collapsed="false">
      <c r="B29" s="1255" t="s">
        <v>3597</v>
      </c>
    </row>
    <row r="30" customFormat="false" ht="22.5" hidden="false" customHeight="true" outlineLevel="0" collapsed="false">
      <c r="B30" s="367" t="s">
        <v>3598</v>
      </c>
    </row>
    <row r="32" customFormat="false" ht="11.25" hidden="false" customHeight="true" outlineLevel="0" collapsed="false">
      <c r="B32" s="1256" t="s">
        <v>3599</v>
      </c>
    </row>
    <row r="33" customFormat="false" ht="14.25" hidden="false" customHeight="true" outlineLevel="0" collapsed="false">
      <c r="A33" s="1257" t="n">
        <v>1</v>
      </c>
      <c r="B33" s="1258" t="s">
        <v>3600</v>
      </c>
    </row>
    <row r="34" customFormat="false" ht="14.25" hidden="false" customHeight="true" outlineLevel="0" collapsed="false">
      <c r="A34" s="1257" t="n">
        <v>2</v>
      </c>
      <c r="B34" s="1258" t="s">
        <v>3601</v>
      </c>
    </row>
    <row r="35" customFormat="false" ht="11.25" hidden="false" customHeight="true" outlineLevel="0" collapsed="false">
      <c r="B35" s="1256" t="s">
        <v>3602</v>
      </c>
    </row>
    <row r="36" customFormat="false" ht="11.25" hidden="false" customHeight="true" outlineLevel="0" collapsed="false">
      <c r="B36" s="1258" t="s">
        <v>3603</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LibreOffice/7.4.3.2$Linux_X86_64 LibreOffice_project/40$Build-2</Application>
  <AppVersion>15.0000</AppVers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cp:lastModifiedBy>
  <cp:lastPrinted>2013-08-29T08:11:20Z</cp:lastPrinted>
  <dcterms:modified xsi:type="dcterms:W3CDTF">2024-04-01T13:16:25Z</dcterms:modified>
  <cp:revision>0</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file>